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待开发" sheetId="12" state="hidden" r:id="rId18"/>
    <sheet name="剩余法-现房" sheetId="43" state="hidden" r:id="rId19"/>
    <sheet name="比较法-住宅、综合" sheetId="39" state="hidden" r:id="rId20"/>
    <sheet name="结果一览表" sheetId="78" r:id="rId21"/>
    <sheet name="结果一览表 (基)" sheetId="81" r:id="rId22"/>
    <sheet name="结果（终）" sheetId="89" r:id="rId23"/>
    <sheet name="001汇总表" sheetId="90"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不动产收益法平" sheetId="15" state="hidden" r:id="rId32"/>
    <sheet name="酒店收入计算" sheetId="57" state="hidden" r:id="rId33"/>
    <sheet name="不动产收益法2" sheetId="68" state="hidden" r:id="rId34"/>
    <sheet name="不动产收益法3" sheetId="69" state="hidden" r:id="rId35"/>
    <sheet name="不动产收益法4" sheetId="70" state="hidden" r:id="rId36"/>
    <sheet name="不动产收益法5" sheetId="71" state="hidden" r:id="rId37"/>
    <sheet name="不动产收益法6" sheetId="72" state="hidden" r:id="rId38"/>
    <sheet name="基准地价 (划拨)" sheetId="86" r:id="rId39"/>
    <sheet name="比较法-工业" sheetId="40" state="hidden" r:id="rId40"/>
    <sheet name="顺义案例" sheetId="85" state="hidden" r:id="rId41"/>
    <sheet name="成本逼近法" sheetId="11"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成本逼近法 (划拨)" sheetId="87" r:id="rId50"/>
    <sheet name="成本案例" sheetId="84" r:id="rId51"/>
    <sheet name="地价" sheetId="59" state="hidden" r:id="rId52"/>
    <sheet name="附属物-树木" sheetId="73" r:id="rId53"/>
    <sheet name="存贷款利率" sheetId="65" state="hidden" r:id="rId54"/>
    <sheet name="附属物-墙地泉" sheetId="82" r:id="rId55"/>
    <sheet name="附属物列表" sheetId="83" r:id="rId56"/>
    <sheet name="搬迁费" sheetId="77" r:id="rId57"/>
    <sheet name="建筑物价格" sheetId="74" r:id="rId58"/>
    <sheet name="停产停业损失补偿" sheetId="75" r:id="rId59"/>
    <sheet name="租金案例" sheetId="76" state="hidden" r:id="rId60"/>
    <sheet name="土地案例（昌平未来城）" sheetId="79" state="hidden" r:id="rId61"/>
  </sheets>
  <externalReferences>
    <externalReference r:id="rId62"/>
    <externalReference r:id="rId63"/>
    <externalReference r:id="rId64"/>
    <externalReference r:id="rId65"/>
    <externalReference r:id="rId66"/>
  </externalReferences>
  <definedNames>
    <definedName name="_xlnm._FilterDatabase" localSheetId="39" hidden="1">'比较法-工业'!$A$1:$L$45</definedName>
    <definedName name="_xlnm._FilterDatabase" localSheetId="19" hidden="1">'比较法-住宅、综合'!$A$1:$L$50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52" hidden="1">'附属物-树木'!$A$1:$G$43</definedName>
    <definedName name="_xlnm._FilterDatabase" localSheetId="10" hidden="1">'数据-基础表'!$A$12:$AT$572</definedName>
    <definedName name="_xlnm._FilterDatabase" localSheetId="9" hidden="1">项目基本情况!$A$48:$N$48</definedName>
    <definedName name="a" localSheetId="50">'[1]不动产比较法-办公'!$B$115:$M$115</definedName>
    <definedName name="a">'[2]不动产比较法-办公'!$B$115:$M$115</definedName>
    <definedName name="CX">[3]分值!$AM$3:$AP$94</definedName>
    <definedName name="FSW">[3]附属物!$B:$F</definedName>
    <definedName name="GD">[3]分值!$AD$3:$AH$13</definedName>
    <definedName name="_xlnm.Print_Area" localSheetId="50">成本案例!$M$1:$AA$9</definedName>
    <definedName name="SSHF">#REF!</definedName>
    <definedName name="ZG">[3]分值!$AJ$3:$AK$28</definedName>
    <definedName name="八级">区片价!$P$1:$P$40</definedName>
    <definedName name="办公层高" localSheetId="50">'[4]不动产比较法-办公'!$B$119:$M$119</definedName>
    <definedName name="办公层高">'不动产比较法-办公'!$B$119:$M$119</definedName>
    <definedName name="办公朝向" localSheetId="50">'[4]不动产比较法-办公'!$B$91:$M$91</definedName>
    <definedName name="办公朝向">'不动产比较法-办公'!$B$91:$M$91</definedName>
    <definedName name="办公道路级别" localSheetId="50">'[4]不动产比较法-办公'!$B$87:$M$87</definedName>
    <definedName name="办公道路级别">'不动产比较法-办公'!$B$87:$M$87</definedName>
    <definedName name="办公公共部分装修" localSheetId="50">'[4]不动产比较法-办公'!$B$108:$M$108</definedName>
    <definedName name="办公公共部分装修">'不动产比较法-办公'!$B$108:$M$108</definedName>
    <definedName name="办公基础设施水平" localSheetId="50">'[4]不动产比较法-办公'!$B$117:$M$117</definedName>
    <definedName name="办公基础设施水平">'不动产比较法-办公'!$B$117:$M$117</definedName>
    <definedName name="办公集聚程度" localSheetId="50">[4]定义!$M$1:$M$6</definedName>
    <definedName name="办公集聚程度">定义!$M$1:$M$6</definedName>
    <definedName name="办公建筑结构" localSheetId="50">'[4]不动产比较法-办公'!$B$106:$M$106</definedName>
    <definedName name="办公建筑结构">'不动产比较法-办公'!$B$106:$M$106</definedName>
    <definedName name="办公建筑类型" localSheetId="50">'[4]不动产比较法-办公'!$B$101:$M$101</definedName>
    <definedName name="办公建筑类型">'不动产比较法-办公'!$B$101:$M$101</definedName>
    <definedName name="办公交易情况" localSheetId="50">'[4]不动产比较法-办公'!$A$62:$M$62</definedName>
    <definedName name="办公交易情况">'不动产比较法-办公'!$A$62:$M$62</definedName>
    <definedName name="办公楼层" localSheetId="50">'[4]不动产比较法-办公'!$B$89:$M$89</definedName>
    <definedName name="办公楼层">'不动产比较法-办公'!$B$89:$M$89</definedName>
    <definedName name="办公内部装修" localSheetId="50">'[4]不动产比较法-办公'!$B$123:$M$123</definedName>
    <definedName name="办公内部装修">'不动产比较法-办公'!$B$123:$M$123</definedName>
    <definedName name="办公物业管理" localSheetId="50">'[4]不动产比较法-办公'!$B$115:$M$115</definedName>
    <definedName name="办公物业管理">'不动产比较法-办公'!$B$115:$M$115</definedName>
    <definedName name="办公用途" localSheetId="50">'[4]不动产比较法-办公'!$B$64:$M$64</definedName>
    <definedName name="办公用途">'不动产比较法-办公'!$B$64:$M$64</definedName>
    <definedName name="仓储公共部分装修" localSheetId="50">'[4]不动产比较法-仓储'!$B$77:$M$77</definedName>
    <definedName name="仓储公共部分装修">'不动产比较法-仓储'!$B$77:$M$77</definedName>
    <definedName name="仓储交易情况" localSheetId="50">'[4]不动产比较法-仓储'!$A$49:$M$49</definedName>
    <definedName name="仓储交易情况">'不动产比较法-仓储'!$A$49:$M$49</definedName>
    <definedName name="仓储楼层" localSheetId="50">'[4]不动产比较法-仓储'!$B$69:$M$69</definedName>
    <definedName name="仓储楼层">'不动产比较法-仓储'!$B$69:$M$69</definedName>
    <definedName name="仓储物业等级" localSheetId="50">'[4]不动产比较法-仓储'!$B$82:$M$82</definedName>
    <definedName name="仓储物业等级">'不动产比较法-仓储'!$B$82:$M$82</definedName>
    <definedName name="仓储用途" localSheetId="50">'[4]不动产比较法-仓储'!$B$51:$M$51</definedName>
    <definedName name="仓储用途">'不动产比较法-仓储'!$B$51:$M$51</definedName>
    <definedName name="产业集聚程度" localSheetId="50">[4]定义!$N$1:$N$6</definedName>
    <definedName name="产业集聚程度">定义!$N$1:$N$6</definedName>
    <definedName name="车位公共部分装修" localSheetId="50">'[4]不动产比较法-车位'!$B$83:$M$83</definedName>
    <definedName name="车位公共部分装修">'不动产比较法-车位'!$B$83:$M$83</definedName>
    <definedName name="车位交易情况" localSheetId="50">'[4]不动产比较法-车位'!$A$51:$M$51</definedName>
    <definedName name="车位交易情况">'不动产比较法-车位'!$A$51:$M$51</definedName>
    <definedName name="车位类型" localSheetId="50">'[4]不动产比较法-车位'!$B$93:$M$93</definedName>
    <definedName name="车位类型">'不动产比较法-车位'!$B$93:$M$93</definedName>
    <definedName name="车位楼层" localSheetId="50">'[4]不动产比较法-车位'!$B$71:$M$71</definedName>
    <definedName name="车位楼层">'不动产比较法-车位'!$B$71:$M$71</definedName>
    <definedName name="车位配套类型" localSheetId="50">'[4]不动产比较法-车位'!$B$79:$M$79</definedName>
    <definedName name="车位配套类型">'不动产比较法-车位'!$B$79:$M$79</definedName>
    <definedName name="车位物业等级" localSheetId="50">'[4]不动产比较法-车位'!$B$88:$M$88</definedName>
    <definedName name="车位物业等级">'不动产比较法-车位'!$B$88:$M$88</definedName>
    <definedName name="车位用途" localSheetId="50">'[4]不动产比较法-车位'!$B$53:$M$53</definedName>
    <definedName name="车位用途">'不动产比较法-车位'!$B$53:$M$53</definedName>
    <definedName name="城镇土地纳税等级分级范围" localSheetId="50">'[4]数据-取费表'!$A$53:$A$63</definedName>
    <definedName name="城镇土地纳税等级分级范围">'数据-取费表'!$A$53:$A$63</definedName>
    <definedName name="单价内涵" localSheetId="50">[4]定义!$V$1:$V$3</definedName>
    <definedName name="单价内涵">定义!$V$1:$V$3</definedName>
    <definedName name="地类判定" localSheetId="50">[4]定义!$H$1:$H$9</definedName>
    <definedName name="地类判定">定义!$H$1:$H$9</definedName>
    <definedName name="二级">区片价!$J$1:$J$20</definedName>
    <definedName name="二级分类" localSheetId="50">[4]修正!$C$17:$C$39</definedName>
    <definedName name="二级分类">修正!$C$17:$C$39</definedName>
    <definedName name="法定最高年限" localSheetId="50">[4]定义!$G$2:$G$4</definedName>
    <definedName name="法定最高年限">定义!$G$2:$G$4</definedName>
    <definedName name="工业公共部分装修" localSheetId="50">'[4]不动产比较法-工业'!$B$95:$M$95</definedName>
    <definedName name="工业公共部分装修">'不动产比较法-工业'!$B$95:$M$95</definedName>
    <definedName name="工业基础设施水平" localSheetId="50">'[4]不动产比较法-工业'!$B$102:$M$102</definedName>
    <definedName name="工业基础设施水平">'不动产比较法-工业'!$B$102:$M$102</definedName>
    <definedName name="工业建筑结构" localSheetId="50">'[4]不动产比较法-工业'!$B$93:$M$93</definedName>
    <definedName name="工业建筑结构">'不动产比较法-工业'!$B$93:$M$93</definedName>
    <definedName name="工业建筑类型" localSheetId="50">'[4]不动产比较法-工业'!$B$88:$M$88</definedName>
    <definedName name="工业建筑类型">'不动产比较法-工业'!$B$88:$M$88</definedName>
    <definedName name="工业交易情况" localSheetId="50">'[4]不动产比较法-工业'!$A$55:$M$55</definedName>
    <definedName name="工业交易情况">'不动产比较法-工业'!$A$55:$M$55</definedName>
    <definedName name="工业内部装修" localSheetId="50">'[4]不动产比较法-工业'!$B$104:$M$104</definedName>
    <definedName name="工业内部装修">'不动产比较法-工业'!$B$104:$M$104</definedName>
    <definedName name="工业物业管理" localSheetId="50">'[4]不动产比较法-工业'!$B$100:$M$100</definedName>
    <definedName name="工业物业管理">'不动产比较法-工业'!$B$100:$M$100</definedName>
    <definedName name="工业用途" localSheetId="50">'[4]不动产比较法-工业'!$B$57:$M$57</definedName>
    <definedName name="工业用途">'不动产比较法-工业'!$B$57:$M$57</definedName>
    <definedName name="公共配套设施" localSheetId="50">[4]定义!$Q$1:$Q$6</definedName>
    <definedName name="公共配套设施">定义!$Q$1:$Q$6</definedName>
    <definedName name="公用设施及基础设施水平" localSheetId="50">[1]定义!$Q$1:$Q$6</definedName>
    <definedName name="公用设施及基础设施水平">[2]定义!$Q$1:$Q$6</definedName>
    <definedName name="估价方法" localSheetId="50">[4]定义!$B$1:$B$50</definedName>
    <definedName name="估价方法">定义!$B$1:$B$50</definedName>
    <definedName name="环境" localSheetId="50">[4]定义!$S$1:$S$6</definedName>
    <definedName name="环境">定义!$S$1:$S$6</definedName>
    <definedName name="基础设施水平" localSheetId="50">[4]定义!$R$1:$R$6</definedName>
    <definedName name="基础设施水平">定义!$R$1:$R$6</definedName>
    <definedName name="季度" localSheetId="38">'基准地价 (划拨)'!$N$19:$AG$19</definedName>
    <definedName name="季度">基准地价!$N$19:$AG$19</definedName>
    <definedName name="季度2014">地价!$A$2:$A$22</definedName>
    <definedName name="价值类型2" localSheetId="50">[4]定义!$B$54:$B$56</definedName>
    <definedName name="价值类型2">定义!$B$54:$B$56</definedName>
    <definedName name="交通便捷度" localSheetId="50">[4]定义!$O$1:$O$6</definedName>
    <definedName name="交通便捷度">定义!$O$1:$O$6</definedName>
    <definedName name="九级">区片价!$Q$1:$Q$46</definedName>
    <definedName name="居住社区成熟度" localSheetId="50">[4]定义!$K$1:$K$6</definedName>
    <definedName name="居住社区成熟度">定义!$K$1:$K$6</definedName>
    <definedName name="类别" localSheetId="50">[4]定义!$J$1:$J$3</definedName>
    <definedName name="类别">定义!$J$1:$J$3</definedName>
    <definedName name="临街状况" localSheetId="50">[4]定义!$T$1:$T$5</definedName>
    <definedName name="临街状况">定义!$T$1:$T$5</definedName>
    <definedName name="六级">区片价!$N$1:$N$49</definedName>
    <definedName name="内部装修维护情况" localSheetId="50">[4]定义!$U$1:$U$6</definedName>
    <definedName name="内部装修维护情况">定义!$U$1:$U$6</definedName>
    <definedName name="判定" localSheetId="50">[4]定义!$D$1:$D$4</definedName>
    <definedName name="判定">定义!$D$1:$D$4</definedName>
    <definedName name="七级">区片价!$O$1:$O$49</definedName>
    <definedName name="七通一平" localSheetId="50">[4]修正!$A$6:$A$14</definedName>
    <definedName name="七通一平">修正!$A$6:$A$14</definedName>
    <definedName name="区域土地利用方向" localSheetId="50">[4]定义!$P$1:$P$6</definedName>
    <definedName name="区域土地利用方向">定义!$P$1:$P$6</definedName>
    <definedName name="三级">区片价!$K$1:$K$21</definedName>
    <definedName name="商业层高" localSheetId="50">'[4]不动产比较法-商业'!$B$116:$M$116</definedName>
    <definedName name="商业层高">'不动产比较法-商业'!$B$116:$M$116</definedName>
    <definedName name="商业成新度">'不动产比较法-商业'!$B$109:$M$109</definedName>
    <definedName name="商业繁华度" localSheetId="50">[4]定义!$L$1:$L$6</definedName>
    <definedName name="商业繁华度">定义!$L$1:$L$6</definedName>
    <definedName name="商业公共部分装修" localSheetId="50">'[4]不动产比较法-商业'!$B$107:$M$107</definedName>
    <definedName name="商业公共部分装修">'不动产比较法-商业'!$B$107:$M$107</definedName>
    <definedName name="商业基础设施水平" localSheetId="50">'[4]不动产比较法-商业'!$B$112:$M$112</definedName>
    <definedName name="商业基础设施水平">'不动产比较法-商业'!$B$112:$M$112</definedName>
    <definedName name="商业建筑结构" localSheetId="50">'[4]不动产比较法-商业'!$B$105:$M$105</definedName>
    <definedName name="商业建筑结构">'不动产比较法-商业'!$B$105:$M$105</definedName>
    <definedName name="商业交易情况" localSheetId="50">'[4]不动产比较法-商业'!$A$61:$M$61</definedName>
    <definedName name="商业交易情况">'不动产比较法-商业'!$A$61:$M$61</definedName>
    <definedName name="商业街名称" localSheetId="50">[4]修正!$C$59:$C$119</definedName>
    <definedName name="商业街名称">修正!$C$59:$C$119</definedName>
    <definedName name="商业进深比" localSheetId="50">'[4]不动产比较法-商业'!$B$120:$M$120</definedName>
    <definedName name="商业进深比">'不动产比较法-商业'!$B$120:$M$120</definedName>
    <definedName name="商业类型" localSheetId="50">'[4]不动产比较法-商业'!$B$100:$M$100</definedName>
    <definedName name="商业类型">'不动产比较法-商业'!$B$100:$M$100</definedName>
    <definedName name="商业临街状况" localSheetId="50">'[4]不动产比较法-商业'!$B$86:$M$86</definedName>
    <definedName name="商业临街状况">'不动产比较法-商业'!$B$86:$M$86</definedName>
    <definedName name="商业楼层" localSheetId="50">'[4]不动产比较法-商业'!$B$92:$M$92</definedName>
    <definedName name="商业楼层">'不动产比较法-商业'!$B$92:$M$92</definedName>
    <definedName name="商业内部装修" localSheetId="50">'[4]不动产比较法-商业'!$B$122:$M$122</definedName>
    <definedName name="商业内部装修">'不动产比较法-商业'!$B$122:$M$122</definedName>
    <definedName name="商业人流量" localSheetId="50">'[4]不动产比较法-商业'!$B$90:$M$90</definedName>
    <definedName name="商业人流量">'不动产比较法-商业'!$B$90:$M$90</definedName>
    <definedName name="商业业态" localSheetId="50">'[4]不动产比较法-商业'!$B$114:$M$114</definedName>
    <definedName name="商业业态">'不动产比较法-商业'!$B$114:$M$114</definedName>
    <definedName name="商业用途" localSheetId="50">'[4]不动产比较法-商业'!$B$63:$M$63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50">'[4]不动产比较法-仓储'!$B$89:$M$89</definedName>
    <definedName name="是否封闭">'不动产比较法-仓储'!$B$89:$M$89</definedName>
    <definedName name="是否直接入户" localSheetId="50">'[4]不动产比较法-车位'!$B$95:$M$95</definedName>
    <definedName name="是否直接入户">'不动产比较法-车位'!$B$95:$M$95</definedName>
    <definedName name="四级">区片价!$L$1:$L$28</definedName>
    <definedName name="套工工程地质条件">'比较法-工业'!$B$116:$M$116</definedName>
    <definedName name="套工交易情况" localSheetId="50">'[4]比较法-住宅、综合'!$A$75:$M$75</definedName>
    <definedName name="套工交易情况">'比较法-住宅、综合'!$A$75:$M$75</definedName>
    <definedName name="套工开发程度">'比较法-工业'!$B$114:$M$114</definedName>
    <definedName name="套工临街等级">'比较法-工业'!$B$99:$M$99</definedName>
    <definedName name="套工土地级别" localSheetId="50">'[4]比较法-工业'!$B$101:$M$101</definedName>
    <definedName name="套工土地级别">'比较法-工业'!$B$101:$M$101</definedName>
    <definedName name="套工用途" localSheetId="50">'[4]比较法-工业'!$B$72:$M$72</definedName>
    <definedName name="套工用途">'比较法-工业'!$B$72:$M$72</definedName>
    <definedName name="套工宗地形状">'比较法-工业'!$B$112:$M$112</definedName>
    <definedName name="套综道路等级" localSheetId="50">'[4]比较法-住宅、综合'!$B$108:$M$108</definedName>
    <definedName name="套综道路等级">'比较法-住宅、综合'!$B$108:$M$108</definedName>
    <definedName name="套综工程地质条件" localSheetId="50">'[4]比较法-住宅、综合'!$B$127:$M$127</definedName>
    <definedName name="套综工程地质条件">'比较法-住宅、综合'!$B$127:$M$127</definedName>
    <definedName name="套综交易情况" localSheetId="50">'[4]比较法-住宅、综合'!$A$75:$M$75</definedName>
    <definedName name="套综交易情况">'比较法-住宅、综合'!$A$75:$M$75</definedName>
    <definedName name="套综临街宽度及深度" localSheetId="50">'[4]比较法-住宅、综合'!$B$123:$M$123</definedName>
    <definedName name="套综临街宽度及深度">'比较法-住宅、综合'!$B$123:$M$123</definedName>
    <definedName name="套综土地级别" localSheetId="50">'[4]比较法-住宅、综合'!$B$110:$M$110</definedName>
    <definedName name="套综土地级别">'比较法-住宅、综合'!$B$110:$M$110</definedName>
    <definedName name="套综用途" localSheetId="50">'[4]比较法-住宅、综合'!$B$77:$M$77</definedName>
    <definedName name="套综用途">'比较法-住宅、综合'!$B$77:$M$77</definedName>
    <definedName name="套综宗地内开发程度" localSheetId="50">'[4]比较法-住宅、综合'!$B$125:$M$125</definedName>
    <definedName name="套综宗地内开发程度">'比较法-住宅、综合'!$B$125:$M$125</definedName>
    <definedName name="套综宗地形状" localSheetId="50">'[4]比较法-住宅、综合'!$B$121:$M$121</definedName>
    <definedName name="套综宗地形状">'比较法-住宅、综合'!$B$121:$M$121</definedName>
    <definedName name="土地估价师" localSheetId="50">[4]估价师及机构信息!$D$3:$D$24</definedName>
    <definedName name="土地估价师">估价师及机构信息!$D$3:$D$24</definedName>
    <definedName name="土地级别" localSheetId="50">[4]定义!$C$1:$C$14</definedName>
    <definedName name="土地级别">定义!$C$1:$C$14</definedName>
    <definedName name="土地利用方向">定义!$P$1:$P$6</definedName>
    <definedName name="土地年限区间" localSheetId="50">[4]定义!$I$1:$I$8</definedName>
    <definedName name="土地年限区间">定义!$I$1:$I$8</definedName>
    <definedName name="位置" localSheetId="50">[4]定义!$E$2:$E$4</definedName>
    <definedName name="位置">定义!$E$2:$E$4</definedName>
    <definedName name="五等判定" localSheetId="50">[4]定义!$W$1:$W$6</definedName>
    <definedName name="五等判定">定义!$W$1:$W$6</definedName>
    <definedName name="五级">区片价!$M$1:$M$35</definedName>
    <definedName name="项目类型" localSheetId="50">'[4]数据-汇总表'!$C$17:$C$26</definedName>
    <definedName name="项目类型">'数据-汇总表'!$C$17:$C$26</definedName>
    <definedName name="写字楼等级" localSheetId="50">'[4]不动产比较法-办公'!$B$113:$M$113</definedName>
    <definedName name="写字楼等级">'不动产比较法-办公'!$B$113:$M$113</definedName>
    <definedName name="一级">区片价!$I$1:$I$6</definedName>
    <definedName name="一修多修正项2" localSheetId="50">[4]典型户型修正!$5:$5</definedName>
    <definedName name="一修多修正项2">典型户型修正!$5:$5</definedName>
    <definedName name="一修多修正项3" localSheetId="50">[4]典型户型修正!$7:$7</definedName>
    <definedName name="一修多修正项3">典型户型修正!$7:$7</definedName>
    <definedName name="一修多修正项4" localSheetId="50">[4]典型户型修正!$9:$9</definedName>
    <definedName name="一修多修正项4">典型户型修正!$9:$9</definedName>
    <definedName name="一修多修正项5" localSheetId="50">[4]典型户型修正!$11:$11</definedName>
    <definedName name="一修多修正项5">典型户型修正!$11:$11</definedName>
    <definedName name="一修多修正项6" localSheetId="50">[4]典型户型修正!$13:$13</definedName>
    <definedName name="一修多修正项6">典型户型修正!$13:$13</definedName>
    <definedName name="一修多修正项7" localSheetId="50">[4]典型户型修正!$15:$15</definedName>
    <definedName name="一修多修正项7">典型户型修正!$15:$15</definedName>
    <definedName name="一修多修正项8" localSheetId="50">[4]典型户型修正!$17:$17</definedName>
    <definedName name="一修多修正项8">典型户型修正!$17:$17</definedName>
    <definedName name="用途类型" localSheetId="50">[4]定义!$A$1:$A$50</definedName>
    <definedName name="用途类型">定义!$A$1:$A$50</definedName>
    <definedName name="有无电梯" localSheetId="50">'[4]不动产比较法-仓储'!$B$84:$M$84</definedName>
    <definedName name="有无电梯">'不动产比较法-仓储'!$B$84:$M$84</definedName>
    <definedName name="主用途" localSheetId="50">[4]定义!$F$1:$F$10</definedName>
    <definedName name="主用途">定义!$F$1:$F$10</definedName>
    <definedName name="住宅朝向" localSheetId="50">'[4]不动产比较法-住宅'!$B$88:$M$88</definedName>
    <definedName name="住宅朝向">'不动产比较法-住宅'!$B$88:$M$88</definedName>
    <definedName name="住宅房型" localSheetId="50">'[4]不动产比较法-住宅'!$B$118:$M$118</definedName>
    <definedName name="住宅房型">'不动产比较法-住宅'!$B$118:$M$118</definedName>
    <definedName name="住宅公共部分装修" localSheetId="50">'[4]不动产比较法-住宅'!$B$109:$M$109</definedName>
    <definedName name="住宅公共部分装修">'不动产比较法-住宅'!$B$109:$M$109</definedName>
    <definedName name="住宅基础设施水平" localSheetId="50">'[4]不动产比较法-住宅'!$B$116:$M$116</definedName>
    <definedName name="住宅基础设施水平">'不动产比较法-住宅'!$B$116:$M$116</definedName>
    <definedName name="住宅建筑结构" localSheetId="50">'[4]不动产比较法-住宅'!$B$105:$M$105</definedName>
    <definedName name="住宅建筑结构">'不动产比较法-住宅'!$B$105:$M$105</definedName>
    <definedName name="住宅建筑类型" localSheetId="50">'[4]不动产比较法-住宅'!$B$100:$M$100</definedName>
    <definedName name="住宅建筑类型">'不动产比较法-住宅'!$B$100:$M$100</definedName>
    <definedName name="住宅建筑品质" localSheetId="50">'[4]不动产比较法-住宅'!$B$107:$M$107</definedName>
    <definedName name="住宅建筑品质">'不动产比较法-住宅'!$B$107:$M$107</definedName>
    <definedName name="住宅交易情况" localSheetId="50">'[4]不动产比较法-住宅'!$A$61:$M$61</definedName>
    <definedName name="住宅交易情况">'不动产比较法-住宅'!$A$61:$M$61</definedName>
    <definedName name="住宅楼层" localSheetId="50">'[4]不动产比较法-住宅'!$B$86:$M$86</definedName>
    <definedName name="住宅楼层">'不动产比较法-住宅'!$B$86:$M$86</definedName>
    <definedName name="住宅内部装修" localSheetId="50">'[4]不动产比较法-住宅'!$B$122:$M$122</definedName>
    <definedName name="住宅内部装修">'不动产比较法-住宅'!$B$122:$M$122</definedName>
    <definedName name="住宅物业管理" localSheetId="50">'[4]不动产比较法-住宅'!$B$114:$M$114</definedName>
    <definedName name="住宅物业管理">'不动产比较法-住宅'!$B$114:$M$114</definedName>
    <definedName name="住宅用途" localSheetId="50">'[4]不动产比较法-住宅'!$B$63:$M$63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 i="11" l="1"/>
  <c r="D3" i="77" l="1"/>
  <c r="D5" i="75"/>
  <c r="F75" i="90" l="1"/>
  <c r="D75" i="90"/>
  <c r="C75" i="90"/>
  <c r="F74" i="90"/>
  <c r="D74" i="90"/>
  <c r="C74" i="90"/>
  <c r="F73" i="90"/>
  <c r="D73" i="90"/>
  <c r="C73" i="90"/>
  <c r="F72" i="90"/>
  <c r="D72" i="90"/>
  <c r="C72" i="90"/>
  <c r="F71" i="90"/>
  <c r="D71" i="90"/>
  <c r="C71" i="90"/>
  <c r="F70" i="90"/>
  <c r="D70" i="90"/>
  <c r="C70" i="90"/>
  <c r="F69" i="90"/>
  <c r="D69" i="90"/>
  <c r="C69" i="90"/>
  <c r="F68" i="90"/>
  <c r="D68" i="90"/>
  <c r="C68" i="90"/>
  <c r="F67" i="90"/>
  <c r="D67" i="90"/>
  <c r="C67" i="90"/>
  <c r="F66" i="90"/>
  <c r="D66" i="90"/>
  <c r="C66" i="90"/>
  <c r="F65" i="90"/>
  <c r="D65" i="90"/>
  <c r="C65" i="90"/>
  <c r="F64" i="90"/>
  <c r="D64" i="90"/>
  <c r="C64" i="90"/>
  <c r="F63" i="90"/>
  <c r="D63" i="90"/>
  <c r="C63" i="90"/>
  <c r="F62" i="90"/>
  <c r="D62" i="90"/>
  <c r="C62" i="90"/>
  <c r="F61" i="90"/>
  <c r="D61" i="90"/>
  <c r="C61" i="90"/>
  <c r="F60" i="90"/>
  <c r="D60" i="90"/>
  <c r="C60" i="90"/>
  <c r="F59" i="90"/>
  <c r="D59" i="90"/>
  <c r="C59" i="90"/>
  <c r="F58" i="90"/>
  <c r="D58" i="90"/>
  <c r="C58" i="90"/>
  <c r="F57" i="90"/>
  <c r="D57" i="90"/>
  <c r="C57" i="90"/>
  <c r="F56" i="90"/>
  <c r="D56" i="90"/>
  <c r="C56" i="90"/>
  <c r="F55" i="90"/>
  <c r="D55" i="90"/>
  <c r="C55" i="90"/>
  <c r="F54" i="90"/>
  <c r="D54" i="90"/>
  <c r="C54" i="90"/>
  <c r="F53" i="90"/>
  <c r="D53" i="90"/>
  <c r="C53" i="90"/>
  <c r="F52" i="90"/>
  <c r="D52" i="90"/>
  <c r="C52" i="90"/>
  <c r="F51" i="90"/>
  <c r="D51" i="90"/>
  <c r="C51" i="90"/>
  <c r="F50" i="90"/>
  <c r="D50" i="90"/>
  <c r="C50" i="90"/>
  <c r="F49" i="90"/>
  <c r="D49" i="90"/>
  <c r="C49" i="90"/>
  <c r="F48" i="90"/>
  <c r="D48" i="90"/>
  <c r="C48" i="90"/>
  <c r="F47" i="90"/>
  <c r="F76" i="90" s="1"/>
  <c r="D47" i="90"/>
  <c r="D76" i="90" s="1"/>
  <c r="C47" i="90"/>
  <c r="F45" i="90"/>
  <c r="D45" i="90"/>
  <c r="C45" i="90"/>
  <c r="F44" i="90"/>
  <c r="D44" i="90"/>
  <c r="C44" i="90"/>
  <c r="F43" i="90"/>
  <c r="M43" i="90" s="1"/>
  <c r="D43" i="90"/>
  <c r="C43" i="90"/>
  <c r="F42" i="90"/>
  <c r="D42" i="90"/>
  <c r="C42" i="90"/>
  <c r="F41" i="90"/>
  <c r="M41" i="90" s="1"/>
  <c r="D41" i="90"/>
  <c r="C41" i="90"/>
  <c r="F40" i="90"/>
  <c r="D40" i="90"/>
  <c r="D46" i="90" s="1"/>
  <c r="C40" i="90"/>
  <c r="F38" i="90"/>
  <c r="M38" i="90" s="1"/>
  <c r="D38" i="90"/>
  <c r="C38" i="90"/>
  <c r="F37" i="90"/>
  <c r="D37" i="90"/>
  <c r="C37" i="90"/>
  <c r="F36" i="90"/>
  <c r="M36" i="90" s="1"/>
  <c r="D36" i="90"/>
  <c r="C36" i="90"/>
  <c r="F35" i="90"/>
  <c r="D35" i="90"/>
  <c r="C35" i="90"/>
  <c r="F34" i="90"/>
  <c r="M34" i="90" s="1"/>
  <c r="D34" i="90"/>
  <c r="C34" i="90"/>
  <c r="F33" i="90"/>
  <c r="D33" i="90"/>
  <c r="C33" i="90"/>
  <c r="F32" i="90"/>
  <c r="M32" i="90" s="1"/>
  <c r="D32" i="90"/>
  <c r="C32" i="90"/>
  <c r="F31" i="90"/>
  <c r="D31" i="90"/>
  <c r="C31" i="90"/>
  <c r="F30" i="90"/>
  <c r="M30" i="90" s="1"/>
  <c r="D30" i="90"/>
  <c r="C30" i="90"/>
  <c r="F29" i="90"/>
  <c r="D29" i="90"/>
  <c r="C29" i="90"/>
  <c r="F28" i="90"/>
  <c r="M28" i="90" s="1"/>
  <c r="D28" i="90"/>
  <c r="C28" i="90"/>
  <c r="F27" i="90"/>
  <c r="D27" i="90"/>
  <c r="C27" i="90"/>
  <c r="F26" i="90"/>
  <c r="M26" i="90" s="1"/>
  <c r="D26" i="90"/>
  <c r="C26" i="90"/>
  <c r="F25" i="90"/>
  <c r="D25" i="90"/>
  <c r="C25" i="90"/>
  <c r="F24" i="90"/>
  <c r="M24" i="90" s="1"/>
  <c r="D24" i="90"/>
  <c r="C24" i="90"/>
  <c r="F23" i="90"/>
  <c r="D23" i="90"/>
  <c r="C23" i="90"/>
  <c r="F22" i="90"/>
  <c r="M22" i="90" s="1"/>
  <c r="D22" i="90"/>
  <c r="C22" i="90"/>
  <c r="F21" i="90"/>
  <c r="D21" i="90"/>
  <c r="C21" i="90"/>
  <c r="F20" i="90"/>
  <c r="M20" i="90" s="1"/>
  <c r="D20" i="90"/>
  <c r="C20" i="90"/>
  <c r="F19" i="90"/>
  <c r="D19" i="90"/>
  <c r="C19" i="90"/>
  <c r="F18" i="90"/>
  <c r="M18" i="90" s="1"/>
  <c r="D18" i="90"/>
  <c r="C18" i="90"/>
  <c r="F17" i="90"/>
  <c r="D17" i="90"/>
  <c r="C17" i="90"/>
  <c r="F16" i="90"/>
  <c r="M16" i="90" s="1"/>
  <c r="D16" i="90"/>
  <c r="C16" i="90"/>
  <c r="F15" i="90"/>
  <c r="D15" i="90"/>
  <c r="C15" i="90"/>
  <c r="F14" i="90"/>
  <c r="M14" i="90" s="1"/>
  <c r="D14" i="90"/>
  <c r="C14" i="90"/>
  <c r="F13" i="90"/>
  <c r="D13" i="90"/>
  <c r="C13" i="90"/>
  <c r="L12" i="90"/>
  <c r="K12" i="90"/>
  <c r="J12" i="90"/>
  <c r="I12" i="90"/>
  <c r="H12" i="90"/>
  <c r="G12" i="90"/>
  <c r="F12" i="90"/>
  <c r="E12" i="90"/>
  <c r="D12" i="90"/>
  <c r="C12" i="90"/>
  <c r="B12" i="90"/>
  <c r="L11" i="90"/>
  <c r="K11" i="90"/>
  <c r="J11" i="90"/>
  <c r="I11" i="90"/>
  <c r="H11" i="90"/>
  <c r="G11" i="90"/>
  <c r="F11" i="90"/>
  <c r="E11" i="90"/>
  <c r="D11" i="90"/>
  <c r="C11" i="90"/>
  <c r="B11" i="90"/>
  <c r="L10" i="90"/>
  <c r="K10" i="90"/>
  <c r="J10" i="90"/>
  <c r="I10" i="90"/>
  <c r="H10" i="90"/>
  <c r="G10" i="90"/>
  <c r="F10" i="90"/>
  <c r="E10" i="90"/>
  <c r="D10" i="90"/>
  <c r="C10" i="90"/>
  <c r="B10" i="90"/>
  <c r="L9" i="90"/>
  <c r="K9" i="90"/>
  <c r="J9" i="90"/>
  <c r="I9" i="90"/>
  <c r="H9" i="90"/>
  <c r="G9" i="90"/>
  <c r="F9" i="90"/>
  <c r="E9" i="90"/>
  <c r="D9" i="90"/>
  <c r="C9" i="90"/>
  <c r="B9" i="90"/>
  <c r="L8" i="90"/>
  <c r="K8" i="90"/>
  <c r="J8" i="90"/>
  <c r="I8" i="90"/>
  <c r="H8" i="90"/>
  <c r="G8" i="90"/>
  <c r="F8" i="90"/>
  <c r="E8" i="90"/>
  <c r="D8" i="90"/>
  <c r="C8" i="90"/>
  <c r="B8" i="90"/>
  <c r="L7" i="90"/>
  <c r="K7" i="90"/>
  <c r="J7" i="90"/>
  <c r="I7" i="90"/>
  <c r="H7" i="90"/>
  <c r="G7" i="90"/>
  <c r="F7" i="90"/>
  <c r="E7" i="90"/>
  <c r="D7" i="90"/>
  <c r="C7" i="90"/>
  <c r="B7" i="90"/>
  <c r="L6" i="90"/>
  <c r="K6" i="90"/>
  <c r="J6" i="90"/>
  <c r="I6" i="90"/>
  <c r="H6" i="90"/>
  <c r="G6" i="90"/>
  <c r="F6" i="90"/>
  <c r="E6" i="90"/>
  <c r="D6" i="90"/>
  <c r="C6" i="90"/>
  <c r="B6" i="90"/>
  <c r="L5" i="90"/>
  <c r="K5" i="90"/>
  <c r="J5" i="90"/>
  <c r="I5" i="90"/>
  <c r="H5" i="90"/>
  <c r="G5" i="90"/>
  <c r="F5" i="90"/>
  <c r="E5" i="90"/>
  <c r="D5" i="90"/>
  <c r="C5" i="90"/>
  <c r="B5" i="90"/>
  <c r="L4" i="90"/>
  <c r="K4" i="90"/>
  <c r="J4" i="90"/>
  <c r="I4" i="90"/>
  <c r="H4" i="90"/>
  <c r="G4" i="90"/>
  <c r="F4" i="90"/>
  <c r="E4" i="90"/>
  <c r="D4" i="90"/>
  <c r="C4" i="90"/>
  <c r="B4" i="90"/>
  <c r="L3" i="90"/>
  <c r="K3" i="90"/>
  <c r="J3" i="90"/>
  <c r="I3" i="90"/>
  <c r="H3" i="90"/>
  <c r="G3" i="90"/>
  <c r="F3" i="90"/>
  <c r="E3" i="90"/>
  <c r="D3" i="90"/>
  <c r="C3" i="90"/>
  <c r="B3" i="90"/>
  <c r="M4" i="90" l="1"/>
  <c r="M6" i="90"/>
  <c r="M8" i="90"/>
  <c r="M10" i="90"/>
  <c r="M12" i="90"/>
  <c r="M45" i="90"/>
  <c r="D39" i="90"/>
  <c r="M3" i="90"/>
  <c r="M5" i="90"/>
  <c r="M7" i="90"/>
  <c r="M9" i="90"/>
  <c r="M11" i="90"/>
  <c r="M13" i="90"/>
  <c r="M15" i="90"/>
  <c r="M17" i="90"/>
  <c r="M19" i="90"/>
  <c r="M21" i="90"/>
  <c r="M23" i="90"/>
  <c r="M25" i="90"/>
  <c r="M27" i="90"/>
  <c r="M29" i="90"/>
  <c r="M31" i="90"/>
  <c r="M33" i="90"/>
  <c r="M35" i="90"/>
  <c r="M37" i="90"/>
  <c r="F46" i="90"/>
  <c r="M42" i="90"/>
  <c r="M44" i="90"/>
  <c r="M40" i="90"/>
  <c r="F39" i="90"/>
  <c r="E7" i="89" s="1"/>
  <c r="F55" i="74"/>
  <c r="C15" i="11" l="1"/>
  <c r="G6" i="89" l="1"/>
  <c r="Q12" i="1"/>
  <c r="Q11" i="1"/>
  <c r="Q10" i="1"/>
  <c r="Q9" i="1"/>
  <c r="Q8" i="1"/>
  <c r="Q7" i="1"/>
  <c r="C8" i="87" l="1"/>
  <c r="D5" i="9"/>
  <c r="E20" i="89" l="1"/>
  <c r="E8" i="89" l="1"/>
  <c r="F93" i="74"/>
  <c r="D2" i="82"/>
  <c r="E44" i="73"/>
  <c r="C12" i="75" l="1"/>
  <c r="E11" i="75"/>
  <c r="F29" i="81" l="1"/>
  <c r="F28" i="81"/>
  <c r="F27" i="81"/>
  <c r="F26" i="81"/>
  <c r="H29" i="81"/>
  <c r="H27" i="81"/>
  <c r="F23" i="81"/>
  <c r="F22" i="81"/>
  <c r="F21" i="81"/>
  <c r="F20" i="81"/>
  <c r="H21" i="81"/>
  <c r="H23" i="81"/>
  <c r="C7" i="87"/>
  <c r="G17" i="87"/>
  <c r="E13" i="87"/>
  <c r="D13" i="87"/>
  <c r="C13" i="87" s="1"/>
  <c r="E12" i="87"/>
  <c r="D12" i="87"/>
  <c r="C12" i="87"/>
  <c r="C11" i="87"/>
  <c r="D10" i="87"/>
  <c r="C10" i="87"/>
  <c r="D29" i="86" l="1"/>
  <c r="D30" i="86" s="1"/>
  <c r="F7" i="81"/>
  <c r="G3" i="82" l="1"/>
  <c r="K6" i="85"/>
  <c r="K5" i="85"/>
  <c r="K4" i="85"/>
  <c r="K3" i="85"/>
  <c r="K2" i="85"/>
  <c r="AB13" i="84" l="1"/>
  <c r="AB12" i="84"/>
  <c r="AD11" i="84"/>
  <c r="AD12" i="84" s="1"/>
  <c r="AB11" i="84"/>
  <c r="AB18" i="84" s="1"/>
  <c r="D29" i="46" l="1"/>
  <c r="H62" i="74" l="1"/>
  <c r="H66" i="74"/>
  <c r="H60" i="74"/>
  <c r="I43" i="40"/>
  <c r="F113" i="86"/>
  <c r="N99" i="86"/>
  <c r="N108" i="86" s="1"/>
  <c r="M99" i="86"/>
  <c r="L99" i="86"/>
  <c r="L108" i="86" s="1"/>
  <c r="K99" i="86"/>
  <c r="J99" i="86"/>
  <c r="J108" i="86" s="1"/>
  <c r="I99" i="86"/>
  <c r="H99" i="86"/>
  <c r="H108" i="86" s="1"/>
  <c r="G99" i="86"/>
  <c r="F99" i="86"/>
  <c r="F108" i="86" s="1"/>
  <c r="E99" i="86"/>
  <c r="D99" i="86"/>
  <c r="D108" i="86" s="1"/>
  <c r="C99" i="86"/>
  <c r="M87" i="86"/>
  <c r="N87" i="86" s="1"/>
  <c r="K87" i="86"/>
  <c r="J87" i="86" s="1"/>
  <c r="D87" i="86"/>
  <c r="N86" i="86"/>
  <c r="M86" i="86"/>
  <c r="K86" i="86"/>
  <c r="J86" i="86" s="1"/>
  <c r="M85" i="86"/>
  <c r="N85" i="86" s="1"/>
  <c r="K85" i="86"/>
  <c r="J85" i="86" s="1"/>
  <c r="D85" i="86" s="1"/>
  <c r="M84" i="86"/>
  <c r="N84" i="86" s="1"/>
  <c r="K84" i="86"/>
  <c r="J84" i="86" s="1"/>
  <c r="D84" i="86"/>
  <c r="N83" i="86"/>
  <c r="D83" i="86" s="1"/>
  <c r="M83" i="86"/>
  <c r="K83" i="86"/>
  <c r="J83" i="86" s="1"/>
  <c r="B83" i="86"/>
  <c r="N82" i="86"/>
  <c r="M82" i="86"/>
  <c r="K82" i="86"/>
  <c r="J82" i="86" s="1"/>
  <c r="D82" i="86"/>
  <c r="B82" i="86"/>
  <c r="M81" i="86"/>
  <c r="N81" i="86" s="1"/>
  <c r="K81" i="86"/>
  <c r="J81" i="86" s="1"/>
  <c r="D81" i="86"/>
  <c r="N80" i="86"/>
  <c r="M80" i="86"/>
  <c r="K80" i="86"/>
  <c r="J80" i="86" s="1"/>
  <c r="D80" i="86"/>
  <c r="M77" i="86"/>
  <c r="N77" i="86" s="1"/>
  <c r="K77" i="86"/>
  <c r="J77" i="86" s="1"/>
  <c r="D77" i="86"/>
  <c r="M76" i="86"/>
  <c r="N76" i="86" s="1"/>
  <c r="K76" i="86"/>
  <c r="J76" i="86" s="1"/>
  <c r="D76" i="86"/>
  <c r="N75" i="86"/>
  <c r="M75" i="86"/>
  <c r="K75" i="86"/>
  <c r="J75" i="86" s="1"/>
  <c r="D75" i="86"/>
  <c r="N74" i="86"/>
  <c r="M74" i="86"/>
  <c r="K74" i="86"/>
  <c r="J74" i="86" s="1"/>
  <c r="D74" i="86"/>
  <c r="M73" i="86"/>
  <c r="N73" i="86" s="1"/>
  <c r="K73" i="86"/>
  <c r="J73" i="86" s="1"/>
  <c r="D73" i="86"/>
  <c r="N72" i="86"/>
  <c r="M72" i="86"/>
  <c r="K72" i="86"/>
  <c r="J72" i="86" s="1"/>
  <c r="D72" i="86"/>
  <c r="M71" i="86"/>
  <c r="N71" i="86" s="1"/>
  <c r="K71" i="86"/>
  <c r="J71" i="86" s="1"/>
  <c r="D71" i="86"/>
  <c r="B71" i="86"/>
  <c r="N70" i="86"/>
  <c r="M70" i="86"/>
  <c r="K70" i="86"/>
  <c r="J70" i="86" s="1"/>
  <c r="D70" i="86"/>
  <c r="M69" i="86"/>
  <c r="N69" i="86" s="1"/>
  <c r="K69" i="86"/>
  <c r="J69" i="86" s="1"/>
  <c r="F69" i="86"/>
  <c r="H75" i="86" s="1"/>
  <c r="D69" i="86"/>
  <c r="M66" i="86"/>
  <c r="N66" i="86" s="1"/>
  <c r="K66" i="86"/>
  <c r="J66" i="86" s="1"/>
  <c r="D66" i="86"/>
  <c r="N65" i="86"/>
  <c r="M65" i="86"/>
  <c r="K65" i="86"/>
  <c r="J65" i="86" s="1"/>
  <c r="D65" i="86"/>
  <c r="M64" i="86"/>
  <c r="N64" i="86" s="1"/>
  <c r="K64" i="86"/>
  <c r="J64" i="86" s="1"/>
  <c r="D64" i="86"/>
  <c r="N63" i="86"/>
  <c r="M63" i="86"/>
  <c r="K63" i="86"/>
  <c r="J63" i="86" s="1"/>
  <c r="D63" i="86"/>
  <c r="N62" i="86"/>
  <c r="M62" i="86"/>
  <c r="K62" i="86"/>
  <c r="J62" i="86" s="1"/>
  <c r="D62" i="86"/>
  <c r="M61" i="86"/>
  <c r="N61" i="86" s="1"/>
  <c r="K61" i="86"/>
  <c r="J61" i="86" s="1"/>
  <c r="D61" i="86"/>
  <c r="M60" i="86"/>
  <c r="N60" i="86" s="1"/>
  <c r="K60" i="86"/>
  <c r="J60" i="86" s="1"/>
  <c r="D60" i="86"/>
  <c r="B60" i="86"/>
  <c r="N59" i="86"/>
  <c r="M59" i="86"/>
  <c r="K59" i="86"/>
  <c r="J59" i="86" s="1"/>
  <c r="D59" i="86"/>
  <c r="M58" i="86"/>
  <c r="N58" i="86" s="1"/>
  <c r="K58" i="86"/>
  <c r="J58" i="86" s="1"/>
  <c r="F58" i="86"/>
  <c r="H65" i="86" s="1"/>
  <c r="D58" i="86"/>
  <c r="M55" i="86"/>
  <c r="N55" i="86" s="1"/>
  <c r="K55" i="86"/>
  <c r="J55" i="86" s="1"/>
  <c r="D55" i="86"/>
  <c r="N54" i="86"/>
  <c r="M54" i="86"/>
  <c r="K54" i="86"/>
  <c r="J54" i="86" s="1"/>
  <c r="D54" i="86"/>
  <c r="M53" i="86"/>
  <c r="N53" i="86" s="1"/>
  <c r="K53" i="86"/>
  <c r="J53" i="86" s="1"/>
  <c r="D53" i="86"/>
  <c r="N52" i="86"/>
  <c r="M52" i="86"/>
  <c r="K52" i="86"/>
  <c r="J52" i="86" s="1"/>
  <c r="D52" i="86"/>
  <c r="N51" i="86"/>
  <c r="M51" i="86"/>
  <c r="K51" i="86"/>
  <c r="J51" i="86" s="1"/>
  <c r="D51" i="86"/>
  <c r="M50" i="86"/>
  <c r="N50" i="86" s="1"/>
  <c r="K50" i="86"/>
  <c r="J50" i="86" s="1"/>
  <c r="D50" i="86"/>
  <c r="M49" i="86"/>
  <c r="N49" i="86" s="1"/>
  <c r="K49" i="86"/>
  <c r="J49" i="86" s="1"/>
  <c r="D49" i="86"/>
  <c r="B49" i="86"/>
  <c r="N48" i="86"/>
  <c r="M48" i="86"/>
  <c r="K48" i="86"/>
  <c r="J48" i="86" s="1"/>
  <c r="D48" i="86"/>
  <c r="M47" i="86"/>
  <c r="N47" i="86" s="1"/>
  <c r="K47" i="86"/>
  <c r="J47" i="86" s="1"/>
  <c r="F47" i="86"/>
  <c r="H54" i="86" s="1"/>
  <c r="D47" i="86"/>
  <c r="H39" i="86"/>
  <c r="H37" i="86"/>
  <c r="H36" i="86"/>
  <c r="H35" i="86"/>
  <c r="H34" i="86"/>
  <c r="H33" i="86"/>
  <c r="J20" i="86"/>
  <c r="I19" i="86"/>
  <c r="C18" i="86"/>
  <c r="F15" i="86"/>
  <c r="E15" i="86"/>
  <c r="D15" i="86"/>
  <c r="C12" i="86" s="1"/>
  <c r="C15" i="86"/>
  <c r="Y12" i="86"/>
  <c r="Y10" i="86"/>
  <c r="C10" i="86"/>
  <c r="C11" i="86" s="1"/>
  <c r="AJ9" i="86"/>
  <c r="AJ10" i="86" s="1"/>
  <c r="AI9" i="86"/>
  <c r="AI12" i="86" s="1"/>
  <c r="AH9" i="86"/>
  <c r="AH10" i="86" s="1"/>
  <c r="AG9" i="86"/>
  <c r="AG12" i="86" s="1"/>
  <c r="AF9" i="86"/>
  <c r="AF10" i="86" s="1"/>
  <c r="AE9" i="86"/>
  <c r="AE12" i="86" s="1"/>
  <c r="AD9" i="86"/>
  <c r="AD10" i="86" s="1"/>
  <c r="AC9" i="86"/>
  <c r="AC12" i="86" s="1"/>
  <c r="AB9" i="86"/>
  <c r="AB10" i="86" s="1"/>
  <c r="AA9" i="86"/>
  <c r="AA12" i="86" s="1"/>
  <c r="Z9" i="86"/>
  <c r="Z10" i="86" s="1"/>
  <c r="C9" i="86"/>
  <c r="A7" i="86"/>
  <c r="D5" i="86"/>
  <c r="G3" i="86"/>
  <c r="Y11" i="86" s="1"/>
  <c r="I2" i="86"/>
  <c r="M11" i="86" s="1"/>
  <c r="G2" i="86"/>
  <c r="X7" i="86" s="1"/>
  <c r="M1" i="86"/>
  <c r="F3" i="81"/>
  <c r="G7" i="81" s="1"/>
  <c r="AB12" i="86" l="1"/>
  <c r="AF12" i="86"/>
  <c r="AJ12" i="86"/>
  <c r="Z12" i="86"/>
  <c r="AD12" i="86"/>
  <c r="AH12" i="86"/>
  <c r="E47" i="86"/>
  <c r="B45" i="86" s="1"/>
  <c r="E58" i="86"/>
  <c r="B56" i="86" s="1"/>
  <c r="E69" i="86"/>
  <c r="B67" i="86" s="1"/>
  <c r="E11" i="86"/>
  <c r="E10" i="86"/>
  <c r="E9" i="86"/>
  <c r="E8" i="86"/>
  <c r="AA10" i="86"/>
  <c r="AE10" i="86"/>
  <c r="AI10" i="86"/>
  <c r="Y13" i="86"/>
  <c r="N12" i="86"/>
  <c r="M12" i="86"/>
  <c r="N11" i="86"/>
  <c r="N10" i="86"/>
  <c r="M9" i="86"/>
  <c r="N2" i="86"/>
  <c r="M3" i="86"/>
  <c r="N4" i="86"/>
  <c r="M5" i="86"/>
  <c r="M6" i="86"/>
  <c r="N7" i="86"/>
  <c r="N8" i="86"/>
  <c r="N1" i="86"/>
  <c r="H113" i="86"/>
  <c r="F39" i="86"/>
  <c r="F38" i="86"/>
  <c r="I17" i="86"/>
  <c r="G17" i="86"/>
  <c r="C17" i="86"/>
  <c r="F37" i="86"/>
  <c r="F36" i="86"/>
  <c r="F35" i="86"/>
  <c r="F34" i="86"/>
  <c r="F33" i="86"/>
  <c r="J17" i="86"/>
  <c r="H17" i="86"/>
  <c r="E17" i="86"/>
  <c r="M2" i="86"/>
  <c r="N101" i="86"/>
  <c r="L101" i="86"/>
  <c r="J101" i="86"/>
  <c r="H101" i="86"/>
  <c r="F101" i="86"/>
  <c r="D101" i="86"/>
  <c r="B113" i="86"/>
  <c r="M101" i="86"/>
  <c r="K101" i="86"/>
  <c r="I101" i="86"/>
  <c r="G101" i="86"/>
  <c r="E101" i="86"/>
  <c r="C101" i="86"/>
  <c r="H22" i="86"/>
  <c r="F22" i="86"/>
  <c r="AI11" i="86"/>
  <c r="AI13" i="86" s="1"/>
  <c r="AG11" i="86"/>
  <c r="AG13" i="86" s="1"/>
  <c r="AE11" i="86"/>
  <c r="AE13" i="86" s="1"/>
  <c r="AC11" i="86"/>
  <c r="AC13" i="86" s="1"/>
  <c r="AA11" i="86"/>
  <c r="AA13" i="86" s="1"/>
  <c r="J22" i="86"/>
  <c r="G22" i="86"/>
  <c r="E22" i="86"/>
  <c r="AJ11" i="86"/>
  <c r="AJ13" i="86" s="1"/>
  <c r="AH11" i="86"/>
  <c r="AF11" i="86"/>
  <c r="AF13" i="86" s="1"/>
  <c r="AD11" i="86"/>
  <c r="AB11" i="86"/>
  <c r="AB13" i="86" s="1"/>
  <c r="Z11" i="86"/>
  <c r="N3" i="86"/>
  <c r="M4" i="86"/>
  <c r="N5" i="86"/>
  <c r="C6" i="86"/>
  <c r="N6" i="86"/>
  <c r="F80" i="86" s="1"/>
  <c r="M7" i="86"/>
  <c r="Z7" i="86"/>
  <c r="M8" i="86"/>
  <c r="N9" i="86"/>
  <c r="M10" i="86"/>
  <c r="AC10" i="86"/>
  <c r="AG10" i="86"/>
  <c r="Z13" i="86"/>
  <c r="AD13" i="86"/>
  <c r="AH13" i="86"/>
  <c r="H47" i="86"/>
  <c r="H49" i="86"/>
  <c r="H50" i="86"/>
  <c r="H53" i="86"/>
  <c r="H55" i="86"/>
  <c r="H58" i="86"/>
  <c r="H60" i="86"/>
  <c r="H61" i="86"/>
  <c r="H64" i="86"/>
  <c r="H66" i="86"/>
  <c r="H69" i="86"/>
  <c r="H71" i="86"/>
  <c r="H73" i="86"/>
  <c r="H76" i="86"/>
  <c r="H77" i="86"/>
  <c r="D86" i="86"/>
  <c r="E80" i="86" s="1"/>
  <c r="B78" i="86" s="1"/>
  <c r="C24" i="86" s="1"/>
  <c r="D109" i="86"/>
  <c r="F109" i="86"/>
  <c r="H109" i="86"/>
  <c r="C23" i="86" s="1"/>
  <c r="J109" i="86"/>
  <c r="L109" i="86"/>
  <c r="N109" i="86"/>
  <c r="F100" i="86"/>
  <c r="J100" i="86"/>
  <c r="N100" i="86"/>
  <c r="H48" i="86"/>
  <c r="H51" i="86"/>
  <c r="H52" i="86"/>
  <c r="H59" i="86"/>
  <c r="H62" i="86"/>
  <c r="H63" i="86"/>
  <c r="H70" i="86"/>
  <c r="H72" i="86"/>
  <c r="H74" i="86"/>
  <c r="C108" i="86"/>
  <c r="C109" i="86" s="1"/>
  <c r="C100" i="86"/>
  <c r="E108" i="86"/>
  <c r="E109" i="86" s="1"/>
  <c r="E100" i="86"/>
  <c r="G108" i="86"/>
  <c r="G109" i="86" s="1"/>
  <c r="G100" i="86"/>
  <c r="I108" i="86"/>
  <c r="I109" i="86" s="1"/>
  <c r="I100" i="86"/>
  <c r="K108" i="86"/>
  <c r="K109" i="86" s="1"/>
  <c r="K100" i="86"/>
  <c r="M108" i="86"/>
  <c r="M109" i="86" s="1"/>
  <c r="M100" i="86"/>
  <c r="D100" i="86"/>
  <c r="H100" i="86"/>
  <c r="L100" i="86"/>
  <c r="D8" i="82"/>
  <c r="G8" i="82" s="1"/>
  <c r="H86" i="86" l="1"/>
  <c r="H85" i="86"/>
  <c r="H83" i="86"/>
  <c r="H81" i="86"/>
  <c r="H87" i="86"/>
  <c r="H84" i="86"/>
  <c r="H82" i="86"/>
  <c r="H80" i="86"/>
  <c r="E107" i="86"/>
  <c r="E106" i="86"/>
  <c r="E105" i="86"/>
  <c r="E104" i="86"/>
  <c r="E103" i="86"/>
  <c r="E102" i="86"/>
  <c r="I107" i="86"/>
  <c r="I106" i="86"/>
  <c r="I105" i="86"/>
  <c r="I104" i="86"/>
  <c r="I103" i="86"/>
  <c r="I102" i="86"/>
  <c r="M107" i="86"/>
  <c r="M106" i="86"/>
  <c r="M105" i="86"/>
  <c r="M104" i="86"/>
  <c r="M103" i="86"/>
  <c r="M102" i="86"/>
  <c r="D107" i="86"/>
  <c r="D106" i="86"/>
  <c r="D105" i="86"/>
  <c r="D104" i="86"/>
  <c r="D103" i="86"/>
  <c r="D102" i="86"/>
  <c r="H107" i="86"/>
  <c r="H106" i="86"/>
  <c r="H105" i="86"/>
  <c r="H104" i="86"/>
  <c r="H103" i="86"/>
  <c r="H102" i="86"/>
  <c r="L107" i="86"/>
  <c r="L106" i="86"/>
  <c r="L105" i="86"/>
  <c r="L104" i="86"/>
  <c r="L103" i="86"/>
  <c r="L102" i="86"/>
  <c r="C16" i="86"/>
  <c r="C5" i="86" s="1"/>
  <c r="G39" i="86"/>
  <c r="I39" i="86" s="1"/>
  <c r="C7" i="86"/>
  <c r="D22" i="86"/>
  <c r="C21" i="86" s="1"/>
  <c r="C107" i="86"/>
  <c r="C106" i="86"/>
  <c r="C105" i="86"/>
  <c r="C104" i="86"/>
  <c r="C103" i="86"/>
  <c r="C102" i="86"/>
  <c r="G107" i="86"/>
  <c r="G106" i="86"/>
  <c r="G105" i="86"/>
  <c r="G104" i="86"/>
  <c r="G103" i="86"/>
  <c r="G102" i="86"/>
  <c r="K107" i="86"/>
  <c r="K106" i="86"/>
  <c r="K105" i="86"/>
  <c r="K104" i="86"/>
  <c r="K103" i="86"/>
  <c r="K102" i="86"/>
  <c r="I118" i="86"/>
  <c r="J118" i="86" s="1"/>
  <c r="K118" i="86" s="1"/>
  <c r="L118" i="86" s="1"/>
  <c r="M118" i="86" s="1"/>
  <c r="G118" i="86"/>
  <c r="H118" i="86" s="1"/>
  <c r="I117" i="86"/>
  <c r="J117" i="86" s="1"/>
  <c r="K117" i="86" s="1"/>
  <c r="L117" i="86" s="1"/>
  <c r="M117" i="86" s="1"/>
  <c r="I116" i="86"/>
  <c r="J116" i="86" s="1"/>
  <c r="K116" i="86" s="1"/>
  <c r="L116" i="86" s="1"/>
  <c r="M116" i="86" s="1"/>
  <c r="I115" i="86"/>
  <c r="J115" i="86" s="1"/>
  <c r="K115" i="86" s="1"/>
  <c r="L115" i="86" s="1"/>
  <c r="M115" i="86" s="1"/>
  <c r="D118" i="86"/>
  <c r="E118" i="86" s="1"/>
  <c r="F118" i="86" s="1"/>
  <c r="B118" i="86"/>
  <c r="C118" i="86" s="1"/>
  <c r="D117" i="86"/>
  <c r="E117" i="86" s="1"/>
  <c r="F117" i="86" s="1"/>
  <c r="G117" i="86" s="1"/>
  <c r="H117" i="86" s="1"/>
  <c r="B117" i="86"/>
  <c r="C117" i="86" s="1"/>
  <c r="D116" i="86"/>
  <c r="E116" i="86" s="1"/>
  <c r="F116" i="86" s="1"/>
  <c r="G116" i="86" s="1"/>
  <c r="H116" i="86" s="1"/>
  <c r="B116" i="86"/>
  <c r="C116" i="86" s="1"/>
  <c r="D115" i="86"/>
  <c r="E115" i="86" s="1"/>
  <c r="F115" i="86" s="1"/>
  <c r="G115" i="86" s="1"/>
  <c r="H115" i="86" s="1"/>
  <c r="B115" i="86"/>
  <c r="F107" i="86"/>
  <c r="F106" i="86"/>
  <c r="F105" i="86"/>
  <c r="F104" i="86"/>
  <c r="F103" i="86"/>
  <c r="F102" i="86"/>
  <c r="J107" i="86"/>
  <c r="J106" i="86"/>
  <c r="J105" i="86"/>
  <c r="J104" i="86"/>
  <c r="J103" i="86"/>
  <c r="J102" i="86"/>
  <c r="N107" i="86"/>
  <c r="N106" i="86"/>
  <c r="N105" i="86"/>
  <c r="N104" i="86"/>
  <c r="N103" i="86"/>
  <c r="N102" i="86"/>
  <c r="I36" i="40"/>
  <c r="G36" i="40"/>
  <c r="E36" i="40"/>
  <c r="C36" i="40"/>
  <c r="C115" i="86" l="1"/>
  <c r="D113" i="86"/>
  <c r="S6" i="86"/>
  <c r="S5" i="86"/>
  <c r="S3" i="86"/>
  <c r="S7" i="86"/>
  <c r="S2" i="86"/>
  <c r="S4" i="86"/>
  <c r="I13" i="40"/>
  <c r="G13" i="40"/>
  <c r="E13" i="40"/>
  <c r="I9" i="40"/>
  <c r="G9" i="40"/>
  <c r="E9" i="40"/>
  <c r="C8" i="40"/>
  <c r="I8" i="40"/>
  <c r="G8" i="40"/>
  <c r="E8" i="40"/>
  <c r="U17" i="84"/>
  <c r="U16" i="84"/>
  <c r="U15" i="84"/>
  <c r="AA9" i="84"/>
  <c r="Z9" i="84"/>
  <c r="U9" i="84"/>
  <c r="AB9" i="84" s="1"/>
  <c r="S9" i="84"/>
  <c r="Q9" i="84"/>
  <c r="AA8" i="84"/>
  <c r="Z8" i="84"/>
  <c r="U8" i="84"/>
  <c r="AB8" i="84" s="1"/>
  <c r="S8" i="84"/>
  <c r="Q8" i="84"/>
  <c r="AA7" i="84"/>
  <c r="Z7" i="84"/>
  <c r="U7" i="84"/>
  <c r="AB7" i="84" s="1"/>
  <c r="S7" i="84"/>
  <c r="Q7" i="84"/>
  <c r="AA6" i="84"/>
  <c r="Z6" i="84"/>
  <c r="U6" i="84"/>
  <c r="AB6" i="84" s="1"/>
  <c r="S6" i="84"/>
  <c r="Q6" i="84"/>
  <c r="AA5" i="84"/>
  <c r="Z5" i="84"/>
  <c r="U5" i="84"/>
  <c r="AB5" i="84" s="1"/>
  <c r="S5" i="84"/>
  <c r="Q5" i="84"/>
  <c r="AA4" i="84"/>
  <c r="Z4" i="84"/>
  <c r="U4" i="84"/>
  <c r="AB4" i="84" s="1"/>
  <c r="S4" i="84"/>
  <c r="Q4" i="84"/>
  <c r="AA3" i="84"/>
  <c r="Z3" i="84"/>
  <c r="U3" i="84"/>
  <c r="AB3" i="84" s="1"/>
  <c r="S3" i="84"/>
  <c r="Q3" i="84"/>
  <c r="Z17" i="84" l="1"/>
  <c r="D7" i="82"/>
  <c r="G7" i="82" s="1"/>
  <c r="D6" i="82"/>
  <c r="G6" i="82" s="1"/>
  <c r="D5" i="82"/>
  <c r="G5" i="82" s="1"/>
  <c r="D4" i="82"/>
  <c r="G4" i="82" s="1"/>
  <c r="A62" i="83"/>
  <c r="M61" i="83"/>
  <c r="A61" i="83"/>
  <c r="R59" i="83"/>
  <c r="R58" i="83"/>
  <c r="Q58" i="83"/>
  <c r="Q60" i="83" s="1"/>
  <c r="P58" i="83"/>
  <c r="O58" i="83"/>
  <c r="O60" i="83" s="1"/>
  <c r="N58" i="83"/>
  <c r="N60" i="83" s="1"/>
  <c r="R60" i="83" s="1"/>
  <c r="M58" i="83"/>
  <c r="M60" i="83" s="1"/>
  <c r="L58" i="83"/>
  <c r="L60" i="83" s="1"/>
  <c r="K58" i="83"/>
  <c r="K60" i="83" s="1"/>
  <c r="A5" i="83"/>
  <c r="A3" i="83"/>
  <c r="G9" i="82" l="1"/>
  <c r="D10" i="81" s="1"/>
  <c r="H30" i="75"/>
  <c r="H32" i="75" s="1"/>
  <c r="H33" i="75" s="1"/>
  <c r="F62" i="74" l="1"/>
  <c r="I62" i="74" l="1"/>
  <c r="I66" i="74"/>
  <c r="I60" i="74"/>
  <c r="J66" i="74" l="1"/>
  <c r="K66" i="74" s="1"/>
  <c r="J62" i="74"/>
  <c r="J60" i="74"/>
  <c r="G86" i="74"/>
  <c r="G85" i="74"/>
  <c r="G81" i="74"/>
  <c r="G79" i="74"/>
  <c r="H79" i="74" s="1"/>
  <c r="G78" i="74"/>
  <c r="G70" i="74"/>
  <c r="G69" i="74"/>
  <c r="H69" i="74" s="1"/>
  <c r="G68" i="74"/>
  <c r="G67" i="74"/>
  <c r="H67" i="74" s="1"/>
  <c r="F88" i="74"/>
  <c r="F87" i="74"/>
  <c r="F86" i="74"/>
  <c r="F85" i="74"/>
  <c r="F83" i="74"/>
  <c r="F84" i="74" s="1"/>
  <c r="F82" i="74"/>
  <c r="F81" i="74"/>
  <c r="F80" i="74"/>
  <c r="F79" i="74"/>
  <c r="F78" i="74"/>
  <c r="F77" i="74"/>
  <c r="F76" i="74"/>
  <c r="F75" i="74"/>
  <c r="F74" i="74"/>
  <c r="F73" i="74"/>
  <c r="F72" i="74"/>
  <c r="F71" i="74"/>
  <c r="F70" i="74"/>
  <c r="F69" i="74"/>
  <c r="F68" i="74"/>
  <c r="F67" i="74"/>
  <c r="G65" i="74"/>
  <c r="H65" i="74" s="1"/>
  <c r="G64" i="74"/>
  <c r="G63" i="74"/>
  <c r="H63" i="74" s="1"/>
  <c r="G61" i="74"/>
  <c r="F66" i="74"/>
  <c r="F65" i="74"/>
  <c r="F64" i="74"/>
  <c r="F63" i="74"/>
  <c r="F61" i="74"/>
  <c r="I61" i="74" l="1"/>
  <c r="J61" i="74" s="1"/>
  <c r="H61" i="74"/>
  <c r="I64" i="74"/>
  <c r="H64" i="74"/>
  <c r="I68" i="74"/>
  <c r="J68" i="74" s="1"/>
  <c r="H68" i="74"/>
  <c r="I70" i="74"/>
  <c r="J70" i="74" s="1"/>
  <c r="K70" i="74" s="1"/>
  <c r="H70" i="74"/>
  <c r="I85" i="74"/>
  <c r="J85" i="74" s="1"/>
  <c r="H85" i="74"/>
  <c r="I78" i="74"/>
  <c r="J78" i="74" s="1"/>
  <c r="H78" i="74"/>
  <c r="I81" i="74"/>
  <c r="H81" i="74"/>
  <c r="I86" i="74"/>
  <c r="J86" i="74" s="1"/>
  <c r="K86" i="74" s="1"/>
  <c r="H86" i="74"/>
  <c r="G73" i="74"/>
  <c r="G77" i="74"/>
  <c r="H77" i="74" s="1"/>
  <c r="G83" i="74"/>
  <c r="G71" i="74"/>
  <c r="G75" i="74"/>
  <c r="G87" i="74"/>
  <c r="H87" i="74" s="1"/>
  <c r="I67" i="74"/>
  <c r="I69" i="74"/>
  <c r="I77" i="74"/>
  <c r="I79" i="74"/>
  <c r="I87" i="74"/>
  <c r="I63" i="74"/>
  <c r="I65" i="74"/>
  <c r="S70" i="74"/>
  <c r="M70" i="74" s="1"/>
  <c r="G72" i="74"/>
  <c r="G74" i="74"/>
  <c r="G76" i="74"/>
  <c r="G80" i="74"/>
  <c r="G82" i="74"/>
  <c r="G84" i="74"/>
  <c r="G88" i="74"/>
  <c r="K62" i="74"/>
  <c r="L62" i="74" s="1"/>
  <c r="S66" i="74"/>
  <c r="M66" i="74" s="1"/>
  <c r="J64" i="74"/>
  <c r="K64" i="74" s="1"/>
  <c r="J81" i="74"/>
  <c r="L66" i="74"/>
  <c r="L86" i="74"/>
  <c r="K60" i="74"/>
  <c r="S60" i="74" s="1"/>
  <c r="M60" i="74" s="1"/>
  <c r="F60" i="74"/>
  <c r="F89" i="74" s="1"/>
  <c r="I88" i="74" l="1"/>
  <c r="H88" i="74"/>
  <c r="I84" i="74"/>
  <c r="J84" i="74" s="1"/>
  <c r="H84" i="74"/>
  <c r="I80" i="74"/>
  <c r="H80" i="74"/>
  <c r="I75" i="74"/>
  <c r="J75" i="74" s="1"/>
  <c r="H75" i="74"/>
  <c r="I83" i="74"/>
  <c r="J83" i="74" s="1"/>
  <c r="H83" i="74"/>
  <c r="I73" i="74"/>
  <c r="H73" i="74"/>
  <c r="L70" i="74"/>
  <c r="N70" i="74" s="1"/>
  <c r="P70" i="74" s="1"/>
  <c r="Q70" i="74" s="1"/>
  <c r="K78" i="74"/>
  <c r="S78" i="74" s="1"/>
  <c r="M78" i="74" s="1"/>
  <c r="S86" i="74"/>
  <c r="M86" i="74" s="1"/>
  <c r="N86" i="74" s="1"/>
  <c r="P86" i="74" s="1"/>
  <c r="Q86" i="74" s="1"/>
  <c r="H82" i="74"/>
  <c r="I82" i="74" s="1"/>
  <c r="J82" i="74" s="1"/>
  <c r="K82" i="74" s="1"/>
  <c r="H76" i="74"/>
  <c r="I76" i="74" s="1"/>
  <c r="J76" i="74" s="1"/>
  <c r="H72" i="74"/>
  <c r="I72" i="74" s="1"/>
  <c r="J72" i="74" s="1"/>
  <c r="H71" i="74"/>
  <c r="I71" i="74" s="1"/>
  <c r="H74" i="74"/>
  <c r="I74" i="74" s="1"/>
  <c r="J74" i="74" s="1"/>
  <c r="S62" i="74"/>
  <c r="M62" i="74" s="1"/>
  <c r="N62" i="74" s="1"/>
  <c r="P62" i="74" s="1"/>
  <c r="Q62" i="74" s="1"/>
  <c r="L64" i="74"/>
  <c r="L78" i="74"/>
  <c r="J65" i="74"/>
  <c r="J69" i="74"/>
  <c r="K69" i="74" s="1"/>
  <c r="L69" i="74" s="1"/>
  <c r="J63" i="74"/>
  <c r="K63" i="74" s="1"/>
  <c r="L63" i="74" s="1"/>
  <c r="J87" i="74"/>
  <c r="K87" i="74" s="1"/>
  <c r="J77" i="74"/>
  <c r="J73" i="74"/>
  <c r="K68" i="74"/>
  <c r="L68" i="74" s="1"/>
  <c r="K85" i="74"/>
  <c r="S85" i="74" s="1"/>
  <c r="M85" i="74" s="1"/>
  <c r="K81" i="74"/>
  <c r="S81" i="74" s="1"/>
  <c r="M81" i="74" s="1"/>
  <c r="L85" i="74"/>
  <c r="J79" i="74"/>
  <c r="J67" i="74"/>
  <c r="K67" i="74" s="1"/>
  <c r="S64" i="74"/>
  <c r="K61" i="74"/>
  <c r="S61" i="74" s="1"/>
  <c r="M61" i="74" s="1"/>
  <c r="N66" i="74"/>
  <c r="P66" i="74" s="1"/>
  <c r="Q66" i="74" s="1"/>
  <c r="N78" i="74"/>
  <c r="P78" i="74" s="1"/>
  <c r="Q78" i="74" s="1"/>
  <c r="J88" i="74"/>
  <c r="J80" i="74"/>
  <c r="L60" i="74"/>
  <c r="N60" i="74" s="1"/>
  <c r="P60" i="74" s="1"/>
  <c r="Q60" i="74" s="1"/>
  <c r="G5" i="79"/>
  <c r="J71" i="74" l="1"/>
  <c r="K71" i="74" s="1"/>
  <c r="S79" i="74"/>
  <c r="M79" i="74" s="1"/>
  <c r="N79" i="74" s="1"/>
  <c r="P79" i="74" s="1"/>
  <c r="Q79" i="74" s="1"/>
  <c r="L61" i="74"/>
  <c r="L81" i="74"/>
  <c r="N81" i="74" s="1"/>
  <c r="P81" i="74" s="1"/>
  <c r="Q81" i="74" s="1"/>
  <c r="K79" i="74"/>
  <c r="L79" i="74" s="1"/>
  <c r="K75" i="74"/>
  <c r="S75" i="74" s="1"/>
  <c r="M75" i="74" s="1"/>
  <c r="K83" i="74"/>
  <c r="L83" i="74" s="1"/>
  <c r="S67" i="74"/>
  <c r="M67" i="74" s="1"/>
  <c r="S82" i="74"/>
  <c r="M82" i="74" s="1"/>
  <c r="L67" i="74"/>
  <c r="N67" i="74" s="1"/>
  <c r="P67" i="74" s="1"/>
  <c r="Q67" i="74" s="1"/>
  <c r="S83" i="74"/>
  <c r="M83" i="74" s="1"/>
  <c r="N83" i="74" s="1"/>
  <c r="P83" i="74" s="1"/>
  <c r="Q83" i="74" s="1"/>
  <c r="L75" i="74"/>
  <c r="N85" i="74"/>
  <c r="P85" i="74" s="1"/>
  <c r="Q85" i="74" s="1"/>
  <c r="N75" i="74"/>
  <c r="P75" i="74" s="1"/>
  <c r="Q75" i="74" s="1"/>
  <c r="M64" i="74"/>
  <c r="N64" i="74" s="1"/>
  <c r="P64" i="74" s="1"/>
  <c r="Q64" i="74" s="1"/>
  <c r="S63" i="74"/>
  <c r="M63" i="74" s="1"/>
  <c r="N63" i="74" s="1"/>
  <c r="P63" i="74" s="1"/>
  <c r="Q63" i="74" s="1"/>
  <c r="L82" i="74"/>
  <c r="S69" i="74"/>
  <c r="M69" i="74" s="1"/>
  <c r="N69" i="74" s="1"/>
  <c r="P69" i="74" s="1"/>
  <c r="Q69" i="74" s="1"/>
  <c r="K76" i="74"/>
  <c r="L76" i="74" s="1"/>
  <c r="K73" i="74"/>
  <c r="L73" i="74" s="1"/>
  <c r="K77" i="74"/>
  <c r="S77" i="74" s="1"/>
  <c r="M77" i="74" s="1"/>
  <c r="K65" i="74"/>
  <c r="S65" i="74" s="1"/>
  <c r="M65" i="74" s="1"/>
  <c r="K74" i="74"/>
  <c r="S74" i="74" s="1"/>
  <c r="M74" i="74" s="1"/>
  <c r="L74" i="74"/>
  <c r="N74" i="74" s="1"/>
  <c r="P74" i="74" s="1"/>
  <c r="Q74" i="74" s="1"/>
  <c r="S68" i="74"/>
  <c r="M68" i="74" s="1"/>
  <c r="S76" i="74"/>
  <c r="M76" i="74" s="1"/>
  <c r="L77" i="74"/>
  <c r="L87" i="74"/>
  <c r="S87" i="74"/>
  <c r="N61" i="74"/>
  <c r="P61" i="74" s="1"/>
  <c r="Q61" i="74" s="1"/>
  <c r="K72" i="74"/>
  <c r="S72" i="74" s="1"/>
  <c r="M72" i="74" s="1"/>
  <c r="K80" i="74"/>
  <c r="S80" i="74" s="1"/>
  <c r="M80" i="74" s="1"/>
  <c r="K84" i="74"/>
  <c r="S84" i="74" s="1"/>
  <c r="M84" i="74" s="1"/>
  <c r="K88" i="74"/>
  <c r="S88" i="74" s="1"/>
  <c r="M88" i="74" s="1"/>
  <c r="N68" i="74"/>
  <c r="P68" i="74" s="1"/>
  <c r="Q68" i="74" s="1"/>
  <c r="N82" i="74"/>
  <c r="P82" i="74" s="1"/>
  <c r="Q82" i="74" s="1"/>
  <c r="I3" i="79"/>
  <c r="I4" i="79"/>
  <c r="I5" i="79"/>
  <c r="I2" i="79"/>
  <c r="F53" i="74"/>
  <c r="H48" i="74"/>
  <c r="I48" i="74" s="1"/>
  <c r="H49" i="74"/>
  <c r="I49" i="74" s="1"/>
  <c r="H50" i="74"/>
  <c r="I50" i="74" s="1"/>
  <c r="H51" i="74"/>
  <c r="I51" i="74" s="1"/>
  <c r="H52" i="74"/>
  <c r="I52" i="74" s="1"/>
  <c r="H47" i="74"/>
  <c r="I47" i="74" s="1"/>
  <c r="L71" i="74" l="1"/>
  <c r="N71" i="74" s="1"/>
  <c r="P71" i="74" s="1"/>
  <c r="Q71" i="74" s="1"/>
  <c r="L65" i="74"/>
  <c r="N65" i="74" s="1"/>
  <c r="P65" i="74" s="1"/>
  <c r="Q65" i="74" s="1"/>
  <c r="S71" i="74"/>
  <c r="M71" i="74" s="1"/>
  <c r="M87" i="74"/>
  <c r="N87" i="74" s="1"/>
  <c r="P87" i="74" s="1"/>
  <c r="Q87" i="74" s="1"/>
  <c r="N76" i="74"/>
  <c r="P76" i="74" s="1"/>
  <c r="Q76" i="74" s="1"/>
  <c r="N77" i="74"/>
  <c r="P77" i="74" s="1"/>
  <c r="Q77" i="74" s="1"/>
  <c r="L88" i="74"/>
  <c r="N88" i="74" s="1"/>
  <c r="P88" i="74" s="1"/>
  <c r="Q88" i="74" s="1"/>
  <c r="L84" i="74"/>
  <c r="N84" i="74" s="1"/>
  <c r="P84" i="74" s="1"/>
  <c r="Q84" i="74" s="1"/>
  <c r="L80" i="74"/>
  <c r="N80" i="74" s="1"/>
  <c r="P80" i="74" s="1"/>
  <c r="Q80" i="74" s="1"/>
  <c r="L72" i="74"/>
  <c r="N72" i="74" s="1"/>
  <c r="P72" i="74" s="1"/>
  <c r="Q72" i="74" s="1"/>
  <c r="S73" i="74"/>
  <c r="M73" i="74" s="1"/>
  <c r="N73" i="74" s="1"/>
  <c r="P73" i="74" s="1"/>
  <c r="Q73" i="74" s="1"/>
  <c r="K2" i="79"/>
  <c r="J47" i="74"/>
  <c r="J51" i="74"/>
  <c r="J49" i="74"/>
  <c r="K49" i="74" s="1"/>
  <c r="L49" i="74" s="1"/>
  <c r="J52" i="74"/>
  <c r="J50" i="74"/>
  <c r="K50" i="74" s="1"/>
  <c r="J48" i="74"/>
  <c r="Q89" i="74" l="1"/>
  <c r="D8" i="81" s="1"/>
  <c r="K47" i="74"/>
  <c r="L47" i="74" s="1"/>
  <c r="L50" i="74"/>
  <c r="K48" i="74"/>
  <c r="S50" i="74"/>
  <c r="M50" i="74" s="1"/>
  <c r="K52" i="74"/>
  <c r="S49" i="74"/>
  <c r="M49" i="74" s="1"/>
  <c r="N49" i="74" s="1"/>
  <c r="P49" i="74" s="1"/>
  <c r="Q49" i="74" s="1"/>
  <c r="K51" i="74"/>
  <c r="L51" i="74" s="1"/>
  <c r="S47" i="74" l="1"/>
  <c r="M47" i="74" s="1"/>
  <c r="N47" i="74" s="1"/>
  <c r="P47" i="74" s="1"/>
  <c r="Q47" i="74" s="1"/>
  <c r="N50" i="74"/>
  <c r="P50" i="74" s="1"/>
  <c r="Q50" i="74" s="1"/>
  <c r="S52" i="74"/>
  <c r="M52" i="74" s="1"/>
  <c r="S48" i="74"/>
  <c r="M48" i="74" s="1"/>
  <c r="S51" i="74"/>
  <c r="M51" i="74" s="1"/>
  <c r="N51" i="74" s="1"/>
  <c r="P51" i="74" s="1"/>
  <c r="Q51" i="74" s="1"/>
  <c r="L52" i="74"/>
  <c r="L48" i="74"/>
  <c r="N48" i="74" s="1"/>
  <c r="P48" i="74" s="1"/>
  <c r="Q48" i="74" s="1"/>
  <c r="N52" i="74" l="1"/>
  <c r="P52" i="74" s="1"/>
  <c r="Q52" i="74" s="1"/>
  <c r="Q53" i="74" s="1"/>
  <c r="D7" i="81" s="1"/>
  <c r="D24" i="75" l="1"/>
  <c r="D19" i="75"/>
  <c r="E10" i="75"/>
  <c r="C14" i="75" l="1"/>
  <c r="F30" i="73" l="1"/>
  <c r="F31" i="73"/>
  <c r="F32" i="73"/>
  <c r="D29" i="73"/>
  <c r="D43" i="73" s="1"/>
  <c r="F43" i="73" s="1"/>
  <c r="D41" i="73"/>
  <c r="F41" i="73" s="1"/>
  <c r="D40" i="73"/>
  <c r="F40" i="73" s="1"/>
  <c r="D39" i="73"/>
  <c r="F39" i="73" s="1"/>
  <c r="D38" i="73"/>
  <c r="F38" i="73" s="1"/>
  <c r="D37" i="73"/>
  <c r="F37" i="73" s="1"/>
  <c r="D36" i="73"/>
  <c r="F36" i="73" s="1"/>
  <c r="D35" i="73"/>
  <c r="F35" i="73" s="1"/>
  <c r="D34" i="73"/>
  <c r="F34" i="73" s="1"/>
  <c r="D33" i="73"/>
  <c r="F33" i="73" s="1"/>
  <c r="D2" i="73"/>
  <c r="F2" i="73" s="1"/>
  <c r="D28" i="73"/>
  <c r="F28" i="73" s="1"/>
  <c r="D27" i="73"/>
  <c r="F27" i="73" s="1"/>
  <c r="D26" i="73"/>
  <c r="F26" i="73" s="1"/>
  <c r="D25" i="73"/>
  <c r="F25" i="73" s="1"/>
  <c r="D24" i="73"/>
  <c r="F24" i="73" s="1"/>
  <c r="D23" i="73"/>
  <c r="F23" i="73" s="1"/>
  <c r="D22" i="73"/>
  <c r="F22" i="73" s="1"/>
  <c r="D21" i="73"/>
  <c r="F21" i="73" s="1"/>
  <c r="D20" i="73"/>
  <c r="F20" i="73" s="1"/>
  <c r="D19" i="73"/>
  <c r="F19" i="73" s="1"/>
  <c r="D18" i="73"/>
  <c r="F18" i="73" s="1"/>
  <c r="D17" i="73"/>
  <c r="F17" i="73" s="1"/>
  <c r="D16" i="73"/>
  <c r="F16" i="73" s="1"/>
  <c r="D14" i="73"/>
  <c r="F14" i="73" s="1"/>
  <c r="D13" i="73"/>
  <c r="F13" i="73" s="1"/>
  <c r="D12" i="73"/>
  <c r="F12" i="73" s="1"/>
  <c r="D15" i="73"/>
  <c r="F15" i="73" s="1"/>
  <c r="D11" i="73"/>
  <c r="F11" i="73" s="1"/>
  <c r="D10" i="73"/>
  <c r="F10" i="73" s="1"/>
  <c r="D9" i="73"/>
  <c r="F9" i="73" s="1"/>
  <c r="D5" i="73"/>
  <c r="F5" i="73" s="1"/>
  <c r="D8" i="73"/>
  <c r="F8" i="73" s="1"/>
  <c r="D7" i="73"/>
  <c r="F7" i="73" s="1"/>
  <c r="D6" i="73"/>
  <c r="F6" i="73" s="1"/>
  <c r="D4" i="73"/>
  <c r="F4" i="73" s="1"/>
  <c r="D3" i="73"/>
  <c r="F3" i="73" s="1"/>
  <c r="F43" i="74"/>
  <c r="O41" i="74"/>
  <c r="D42" i="73" l="1"/>
  <c r="F42" i="73" s="1"/>
  <c r="F29" i="73"/>
  <c r="O12" i="74"/>
  <c r="O11" i="74"/>
  <c r="O10" i="74"/>
  <c r="O9" i="74"/>
  <c r="O8" i="74"/>
  <c r="H13" i="74"/>
  <c r="I13" i="74" s="1"/>
  <c r="H14" i="74"/>
  <c r="I14" i="74" s="1"/>
  <c r="H26" i="74"/>
  <c r="I26" i="74" s="1"/>
  <c r="H27" i="74"/>
  <c r="I27" i="74" s="1"/>
  <c r="H28" i="74"/>
  <c r="I28" i="74" s="1"/>
  <c r="H4" i="74"/>
  <c r="I4" i="74" s="1"/>
  <c r="H5" i="74"/>
  <c r="I5" i="74" s="1"/>
  <c r="H6" i="74"/>
  <c r="I6" i="74" s="1"/>
  <c r="H7" i="74"/>
  <c r="I7" i="74" s="1"/>
  <c r="H8" i="74"/>
  <c r="I8" i="74" s="1"/>
  <c r="G42" i="74"/>
  <c r="G41" i="74"/>
  <c r="G40" i="74"/>
  <c r="G39" i="74"/>
  <c r="G38" i="74"/>
  <c r="H38" i="74" s="1"/>
  <c r="I38" i="74" s="1"/>
  <c r="G37" i="74"/>
  <c r="H37" i="74" s="1"/>
  <c r="G36" i="74"/>
  <c r="G35" i="74"/>
  <c r="H35" i="74" s="1"/>
  <c r="G34" i="74"/>
  <c r="G33" i="74"/>
  <c r="H33" i="74" s="1"/>
  <c r="G32" i="74"/>
  <c r="G31" i="74"/>
  <c r="H31" i="74" s="1"/>
  <c r="G30" i="74"/>
  <c r="G29" i="74"/>
  <c r="H29" i="74" s="1"/>
  <c r="G25" i="74"/>
  <c r="G24" i="74"/>
  <c r="G23" i="74"/>
  <c r="G22" i="74"/>
  <c r="H22" i="74" s="1"/>
  <c r="G21" i="74"/>
  <c r="G20" i="74"/>
  <c r="G19" i="74"/>
  <c r="G18" i="74"/>
  <c r="H18" i="74" s="1"/>
  <c r="G17" i="74"/>
  <c r="G16" i="74"/>
  <c r="G15" i="74"/>
  <c r="G12" i="74"/>
  <c r="G11" i="74"/>
  <c r="G10" i="74"/>
  <c r="G9" i="74"/>
  <c r="H9" i="74" s="1"/>
  <c r="H3" i="74"/>
  <c r="I3" i="74" s="1"/>
  <c r="F44" i="73" l="1"/>
  <c r="D7" i="78" s="1"/>
  <c r="I18" i="74"/>
  <c r="I22" i="74"/>
  <c r="H24" i="74"/>
  <c r="I24" i="74" s="1"/>
  <c r="J24" i="74" s="1"/>
  <c r="H20" i="74"/>
  <c r="I20" i="74" s="1"/>
  <c r="J20" i="74" s="1"/>
  <c r="H17" i="74"/>
  <c r="I17" i="74" s="1"/>
  <c r="H19" i="74"/>
  <c r="I19" i="74" s="1"/>
  <c r="H21" i="74"/>
  <c r="I21" i="74" s="1"/>
  <c r="H25" i="74"/>
  <c r="I25" i="74" s="1"/>
  <c r="H30" i="74"/>
  <c r="I30" i="74" s="1"/>
  <c r="H32" i="74"/>
  <c r="I32" i="74" s="1"/>
  <c r="H34" i="74"/>
  <c r="I34" i="74" s="1"/>
  <c r="H36" i="74"/>
  <c r="I36" i="74" s="1"/>
  <c r="H11" i="74"/>
  <c r="I11" i="74" s="1"/>
  <c r="J8" i="74"/>
  <c r="K8" i="74" s="1"/>
  <c r="J6" i="74"/>
  <c r="K6" i="74" s="1"/>
  <c r="J4" i="74"/>
  <c r="J28" i="74"/>
  <c r="K28" i="74" s="1"/>
  <c r="J26" i="74"/>
  <c r="K26" i="74" s="1"/>
  <c r="J13" i="74"/>
  <c r="K13" i="74" s="1"/>
  <c r="I9" i="74"/>
  <c r="H15" i="74"/>
  <c r="I15" i="74" s="1"/>
  <c r="H23" i="74"/>
  <c r="I23" i="74" s="1"/>
  <c r="H40" i="74"/>
  <c r="I40" i="74" s="1"/>
  <c r="J7" i="74"/>
  <c r="K7" i="74" s="1"/>
  <c r="J5" i="74"/>
  <c r="K5" i="74" s="1"/>
  <c r="H42" i="74"/>
  <c r="I42" i="74" s="1"/>
  <c r="J27" i="74"/>
  <c r="K27" i="74" s="1"/>
  <c r="J14" i="74"/>
  <c r="K14" i="74" s="1"/>
  <c r="H16" i="74"/>
  <c r="I16" i="74" s="1"/>
  <c r="I37" i="74"/>
  <c r="I35" i="74"/>
  <c r="I33" i="74"/>
  <c r="I31" i="74"/>
  <c r="I29" i="74"/>
  <c r="H12" i="74"/>
  <c r="I12" i="74" s="1"/>
  <c r="H10" i="74"/>
  <c r="I10" i="74" s="1"/>
  <c r="H41" i="74"/>
  <c r="I41" i="74" s="1"/>
  <c r="H39" i="74"/>
  <c r="I39" i="74" s="1"/>
  <c r="J38" i="74"/>
  <c r="K38" i="74" s="1"/>
  <c r="L26" i="74"/>
  <c r="J22" i="74"/>
  <c r="J18" i="74"/>
  <c r="K4" i="74"/>
  <c r="L4" i="74" s="1"/>
  <c r="L14" i="74"/>
  <c r="L13" i="74"/>
  <c r="L8" i="74"/>
  <c r="L7" i="74"/>
  <c r="L6" i="74"/>
  <c r="L5" i="74"/>
  <c r="J3" i="74"/>
  <c r="Y7" i="1"/>
  <c r="Y8" i="1"/>
  <c r="Y9" i="1"/>
  <c r="Y10" i="1"/>
  <c r="Y11" i="1"/>
  <c r="Y12" i="1"/>
  <c r="Y6" i="1"/>
  <c r="B43" i="1"/>
  <c r="B41" i="1" s="1"/>
  <c r="F15" i="72"/>
  <c r="F17" i="72"/>
  <c r="F18" i="72"/>
  <c r="F20" i="72"/>
  <c r="B22" i="1"/>
  <c r="C2" i="65" s="1"/>
  <c r="F23" i="72"/>
  <c r="F21" i="72"/>
  <c r="F33" i="72"/>
  <c r="B52" i="1"/>
  <c r="M20" i="71" s="1"/>
  <c r="AE13" i="1"/>
  <c r="M47" i="72"/>
  <c r="J50" i="72"/>
  <c r="J51" i="72" s="1"/>
  <c r="K59" i="72"/>
  <c r="P75" i="72" s="1"/>
  <c r="Q73" i="72"/>
  <c r="D60" i="72"/>
  <c r="F60" i="72"/>
  <c r="Q60" i="72"/>
  <c r="Q59" i="72"/>
  <c r="Q52" i="72"/>
  <c r="D24" i="72"/>
  <c r="D23" i="72"/>
  <c r="D22" i="72"/>
  <c r="M19" i="72"/>
  <c r="F15" i="71"/>
  <c r="F17" i="71"/>
  <c r="F18" i="71"/>
  <c r="F20" i="71"/>
  <c r="F23" i="71"/>
  <c r="D23" i="71" s="1"/>
  <c r="F21" i="71"/>
  <c r="F33" i="71"/>
  <c r="F60" i="71" s="1"/>
  <c r="M47" i="71"/>
  <c r="J50" i="71"/>
  <c r="J51" i="71" s="1"/>
  <c r="K59" i="71"/>
  <c r="P75" i="71" s="1"/>
  <c r="Q73" i="71"/>
  <c r="D60" i="71"/>
  <c r="Q60" i="71"/>
  <c r="Q59" i="71"/>
  <c r="Q52" i="71"/>
  <c r="M19" i="71"/>
  <c r="F15" i="70"/>
  <c r="F17" i="70"/>
  <c r="F18" i="70"/>
  <c r="F20" i="70"/>
  <c r="F23" i="70"/>
  <c r="D23" i="70" s="1"/>
  <c r="F21" i="70"/>
  <c r="F33" i="70"/>
  <c r="F60" i="70" s="1"/>
  <c r="M47" i="70"/>
  <c r="J50" i="70"/>
  <c r="J51" i="70" s="1"/>
  <c r="K59" i="70"/>
  <c r="P75" i="70" s="1"/>
  <c r="Q73" i="70"/>
  <c r="D60" i="70"/>
  <c r="Q60" i="70"/>
  <c r="Q59" i="70"/>
  <c r="Q52" i="70"/>
  <c r="D22" i="70"/>
  <c r="M19" i="70"/>
  <c r="F15" i="69"/>
  <c r="F17" i="69"/>
  <c r="F18" i="69"/>
  <c r="F20" i="69"/>
  <c r="F23" i="69"/>
  <c r="D23" i="69" s="1"/>
  <c r="F21" i="69"/>
  <c r="F33" i="69"/>
  <c r="M47" i="69"/>
  <c r="J50" i="69"/>
  <c r="J51" i="69" s="1"/>
  <c r="K59" i="69"/>
  <c r="Q73" i="69"/>
  <c r="D60" i="69"/>
  <c r="F60" i="69"/>
  <c r="Q60" i="69"/>
  <c r="Q59" i="69"/>
  <c r="Q52" i="69"/>
  <c r="D24" i="69"/>
  <c r="M19" i="69"/>
  <c r="F15" i="68"/>
  <c r="F17" i="68"/>
  <c r="F18" i="68"/>
  <c r="F20" i="68"/>
  <c r="F23" i="68"/>
  <c r="D24" i="68" s="1"/>
  <c r="F21" i="68"/>
  <c r="F33" i="68"/>
  <c r="F60" i="68" s="1"/>
  <c r="M47" i="68"/>
  <c r="J50" i="68"/>
  <c r="J51" i="68" s="1"/>
  <c r="K59" i="68"/>
  <c r="P75" i="68" s="1"/>
  <c r="Q73" i="68"/>
  <c r="D60" i="68"/>
  <c r="Q60" i="68"/>
  <c r="Q59" i="68"/>
  <c r="Q52" i="68"/>
  <c r="M19" i="68"/>
  <c r="D7" i="59"/>
  <c r="AH5" i="59"/>
  <c r="AG5" i="59"/>
  <c r="AE5" i="59"/>
  <c r="AF5" i="59" s="1"/>
  <c r="AD5" i="59"/>
  <c r="Q5" i="59"/>
  <c r="P5" i="59"/>
  <c r="O5" i="59"/>
  <c r="N5" i="59"/>
  <c r="I3" i="59"/>
  <c r="L3" i="59"/>
  <c r="K3" i="59"/>
  <c r="J3" i="5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L21" i="3" s="1"/>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A54" i="3" s="1"/>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A62" i="3" s="1"/>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A70" i="3" s="1"/>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A78" i="3" s="1"/>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A86" i="3" s="1"/>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A102" i="3" s="1"/>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A118" i="3" s="1"/>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A134" i="3" s="1"/>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A142" i="3" s="1"/>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A150" i="3" s="1"/>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A158" i="3" s="1"/>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A168" i="3" s="1"/>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A208" i="3" s="1"/>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A216" i="3" s="1"/>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A232" i="3" s="1"/>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A240" i="3" s="1"/>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A248" i="3" s="1"/>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s="1"/>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A318" i="3" s="1"/>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A322" i="3" s="1"/>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A330" i="3" s="1"/>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A346" i="3" s="1"/>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s="1"/>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s="1"/>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s="1"/>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A374" i="3" s="1"/>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s="1"/>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s="1"/>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A394" i="3" s="1"/>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s="1"/>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s="1"/>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A415" i="3" s="1"/>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A419" i="3" s="1"/>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A427" i="3" s="1"/>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A443" i="3" s="1"/>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s="1"/>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A459" i="3" s="1"/>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A467" i="3" s="1"/>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A475" i="3" s="1"/>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A483" i="3" s="1"/>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A491" i="3" s="1"/>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A499" i="3" s="1"/>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A507" i="3" s="1"/>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A515" i="3" s="1"/>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A523" i="3" s="1"/>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A531" i="3" s="1"/>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A539" i="3" s="1"/>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A547" i="3" s="1"/>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A555" i="3" s="1"/>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A563" i="3" s="1"/>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AC13" i="3"/>
  <c r="H14" i="3"/>
  <c r="AC14" i="3"/>
  <c r="H15" i="3"/>
  <c r="AC15" i="3"/>
  <c r="H16" i="3"/>
  <c r="AC16" i="3"/>
  <c r="H17" i="3"/>
  <c r="AC17" i="3"/>
  <c r="H18" i="3"/>
  <c r="AC18" i="3"/>
  <c r="G18" i="3"/>
  <c r="H19" i="3"/>
  <c r="AC19" i="3"/>
  <c r="G19" i="3" s="1"/>
  <c r="H20" i="3"/>
  <c r="AC20" i="3"/>
  <c r="G20" i="3" s="1"/>
  <c r="H21" i="3"/>
  <c r="AC21" i="3"/>
  <c r="H22" i="3"/>
  <c r="AC22" i="3"/>
  <c r="G22" i="3" s="1"/>
  <c r="H23" i="3"/>
  <c r="AC23" i="3"/>
  <c r="H24" i="3"/>
  <c r="AC24" i="3"/>
  <c r="H25" i="3"/>
  <c r="AC25" i="3"/>
  <c r="H26" i="3"/>
  <c r="AC26" i="3"/>
  <c r="G26" i="3" s="1"/>
  <c r="H27" i="3"/>
  <c r="AC27" i="3"/>
  <c r="H28" i="3"/>
  <c r="AC28" i="3"/>
  <c r="H29" i="3"/>
  <c r="AC29" i="3"/>
  <c r="H30" i="3"/>
  <c r="AC30" i="3"/>
  <c r="H31" i="3"/>
  <c r="AC31" i="3"/>
  <c r="H32" i="3"/>
  <c r="AC32" i="3"/>
  <c r="H33" i="3"/>
  <c r="AC33" i="3"/>
  <c r="H34" i="3"/>
  <c r="AC34" i="3"/>
  <c r="G34" i="3"/>
  <c r="H35" i="3"/>
  <c r="AC35" i="3"/>
  <c r="G35" i="3" s="1"/>
  <c r="H36" i="3"/>
  <c r="AC36" i="3"/>
  <c r="G36" i="3" s="1"/>
  <c r="H37" i="3"/>
  <c r="AC37" i="3"/>
  <c r="H38" i="3"/>
  <c r="AC38" i="3"/>
  <c r="G38" i="3" s="1"/>
  <c r="H39" i="3"/>
  <c r="AC39" i="3"/>
  <c r="H40" i="3"/>
  <c r="AC40" i="3"/>
  <c r="H41" i="3"/>
  <c r="AC41" i="3"/>
  <c r="H42" i="3"/>
  <c r="AC42" i="3"/>
  <c r="G42" i="3" s="1"/>
  <c r="H43" i="3"/>
  <c r="AC43" i="3"/>
  <c r="H44" i="3"/>
  <c r="AC44" i="3"/>
  <c r="H45" i="3"/>
  <c r="AC45" i="3"/>
  <c r="H46" i="3"/>
  <c r="AC46" i="3"/>
  <c r="H47" i="3"/>
  <c r="AC47" i="3"/>
  <c r="H48" i="3"/>
  <c r="AC48" i="3"/>
  <c r="G48" i="3"/>
  <c r="H49" i="3"/>
  <c r="AC49" i="3"/>
  <c r="G49" i="3" s="1"/>
  <c r="H50" i="3"/>
  <c r="AC50" i="3"/>
  <c r="G50" i="3" s="1"/>
  <c r="H51" i="3"/>
  <c r="AC51" i="3"/>
  <c r="H52" i="3"/>
  <c r="AC52" i="3"/>
  <c r="G52" i="3" s="1"/>
  <c r="H53" i="3"/>
  <c r="AC53" i="3"/>
  <c r="H54" i="3"/>
  <c r="AC54" i="3"/>
  <c r="H55" i="3"/>
  <c r="AC55" i="3"/>
  <c r="H56" i="3"/>
  <c r="AC56" i="3"/>
  <c r="G56" i="3" s="1"/>
  <c r="H57" i="3"/>
  <c r="AC57" i="3"/>
  <c r="H58" i="3"/>
  <c r="AC58" i="3"/>
  <c r="H59" i="3"/>
  <c r="AC59" i="3"/>
  <c r="H60" i="3"/>
  <c r="AC60" i="3"/>
  <c r="H61" i="3"/>
  <c r="AC61" i="3"/>
  <c r="H62" i="3"/>
  <c r="AC62" i="3"/>
  <c r="H63" i="3"/>
  <c r="AC63" i="3"/>
  <c r="H64" i="3"/>
  <c r="AC64" i="3"/>
  <c r="H65" i="3"/>
  <c r="AC65" i="3"/>
  <c r="H66" i="3"/>
  <c r="AC66" i="3"/>
  <c r="G66" i="3"/>
  <c r="H67" i="3"/>
  <c r="AC67" i="3"/>
  <c r="G67" i="3" s="1"/>
  <c r="H68" i="3"/>
  <c r="AC68" i="3"/>
  <c r="G68" i="3" s="1"/>
  <c r="H69" i="3"/>
  <c r="AC69" i="3"/>
  <c r="H70" i="3"/>
  <c r="AC70" i="3"/>
  <c r="G70" i="3" s="1"/>
  <c r="H71" i="3"/>
  <c r="AC71" i="3"/>
  <c r="H72" i="3"/>
  <c r="AC72" i="3"/>
  <c r="H73" i="3"/>
  <c r="AC73" i="3"/>
  <c r="H74" i="3"/>
  <c r="AC74" i="3"/>
  <c r="G74" i="3" s="1"/>
  <c r="H75" i="3"/>
  <c r="AC75" i="3"/>
  <c r="H76" i="3"/>
  <c r="AC76" i="3"/>
  <c r="H77" i="3"/>
  <c r="AC77" i="3"/>
  <c r="H78" i="3"/>
  <c r="AC78" i="3"/>
  <c r="H79" i="3"/>
  <c r="AC79" i="3"/>
  <c r="H80" i="3"/>
  <c r="AC80" i="3"/>
  <c r="H81" i="3"/>
  <c r="AC81" i="3"/>
  <c r="H82" i="3"/>
  <c r="AC82" i="3"/>
  <c r="G82" i="3"/>
  <c r="H83" i="3"/>
  <c r="AC83" i="3"/>
  <c r="G83" i="3" s="1"/>
  <c r="H84" i="3"/>
  <c r="AC84" i="3"/>
  <c r="G84" i="3" s="1"/>
  <c r="H85" i="3"/>
  <c r="AC85" i="3"/>
  <c r="H86" i="3"/>
  <c r="AC86" i="3"/>
  <c r="G86" i="3" s="1"/>
  <c r="H87" i="3"/>
  <c r="AC87" i="3"/>
  <c r="H88" i="3"/>
  <c r="AC88" i="3"/>
  <c r="H89" i="3"/>
  <c r="AC89" i="3"/>
  <c r="H90" i="3"/>
  <c r="AC90" i="3"/>
  <c r="G90" i="3" s="1"/>
  <c r="H91" i="3"/>
  <c r="AC91" i="3"/>
  <c r="H92" i="3"/>
  <c r="AC92" i="3"/>
  <c r="H93" i="3"/>
  <c r="AC93" i="3"/>
  <c r="H94" i="3"/>
  <c r="AC94" i="3"/>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H107" i="3"/>
  <c r="AC107" i="3"/>
  <c r="H108" i="3"/>
  <c r="AC108" i="3"/>
  <c r="G108" i="3" s="1"/>
  <c r="H109" i="3"/>
  <c r="AC109" i="3"/>
  <c r="H110" i="3"/>
  <c r="AC110" i="3"/>
  <c r="H111" i="3"/>
  <c r="AC111" i="3"/>
  <c r="H112" i="3"/>
  <c r="AC112" i="3"/>
  <c r="H113" i="3"/>
  <c r="AC113" i="3"/>
  <c r="H114" i="3"/>
  <c r="AC114" i="3"/>
  <c r="H115" i="3"/>
  <c r="AC115" i="3"/>
  <c r="H116" i="3"/>
  <c r="AC116" i="3"/>
  <c r="G116" i="3"/>
  <c r="H117" i="3"/>
  <c r="AC117" i="3"/>
  <c r="G117" i="3" s="1"/>
  <c r="H118" i="3"/>
  <c r="AC118" i="3"/>
  <c r="G118" i="3" s="1"/>
  <c r="H119" i="3"/>
  <c r="AC119" i="3"/>
  <c r="H120" i="3"/>
  <c r="AC120" i="3"/>
  <c r="G120" i="3" s="1"/>
  <c r="H121" i="3"/>
  <c r="AC121" i="3"/>
  <c r="H122" i="3"/>
  <c r="AC122" i="3"/>
  <c r="H123" i="3"/>
  <c r="AC123" i="3"/>
  <c r="H124" i="3"/>
  <c r="AC124" i="3"/>
  <c r="G124" i="3" s="1"/>
  <c r="H125" i="3"/>
  <c r="AC125" i="3"/>
  <c r="H126" i="3"/>
  <c r="AC126" i="3"/>
  <c r="H127" i="3"/>
  <c r="AC127" i="3"/>
  <c r="H128" i="3"/>
  <c r="AC128" i="3"/>
  <c r="H129" i="3"/>
  <c r="AC129" i="3"/>
  <c r="H130" i="3"/>
  <c r="AC130" i="3"/>
  <c r="H131" i="3"/>
  <c r="AC131" i="3"/>
  <c r="H132" i="3"/>
  <c r="AC132" i="3"/>
  <c r="G132" i="3"/>
  <c r="H133" i="3"/>
  <c r="AC133" i="3"/>
  <c r="G133" i="3" s="1"/>
  <c r="H134" i="3"/>
  <c r="AC134" i="3"/>
  <c r="G134" i="3" s="1"/>
  <c r="H135" i="3"/>
  <c r="AC135" i="3"/>
  <c r="H136" i="3"/>
  <c r="AC136" i="3"/>
  <c r="G136" i="3" s="1"/>
  <c r="H137" i="3"/>
  <c r="AC137" i="3"/>
  <c r="H138" i="3"/>
  <c r="AC138" i="3"/>
  <c r="H139" i="3"/>
  <c r="AC139" i="3"/>
  <c r="H140" i="3"/>
  <c r="AC140" i="3"/>
  <c r="G140" i="3" s="1"/>
  <c r="H141" i="3"/>
  <c r="AC141" i="3"/>
  <c r="H142" i="3"/>
  <c r="AC142" i="3"/>
  <c r="H143" i="3"/>
  <c r="AC143" i="3"/>
  <c r="H144" i="3"/>
  <c r="AC144" i="3"/>
  <c r="H145" i="3"/>
  <c r="AC145" i="3"/>
  <c r="H146" i="3"/>
  <c r="AC146" i="3"/>
  <c r="H147" i="3"/>
  <c r="AC147" i="3"/>
  <c r="H148" i="3"/>
  <c r="AC148" i="3"/>
  <c r="G148" i="3"/>
  <c r="H149" i="3"/>
  <c r="AC149" i="3"/>
  <c r="G149" i="3" s="1"/>
  <c r="H150" i="3"/>
  <c r="AC150" i="3"/>
  <c r="G150" i="3" s="1"/>
  <c r="H151" i="3"/>
  <c r="AC151" i="3"/>
  <c r="H152" i="3"/>
  <c r="AC152" i="3"/>
  <c r="G152" i="3" s="1"/>
  <c r="H153" i="3"/>
  <c r="AC153" i="3"/>
  <c r="H154" i="3"/>
  <c r="AC154" i="3"/>
  <c r="H155" i="3"/>
  <c r="AC155" i="3"/>
  <c r="H156" i="3"/>
  <c r="AC156" i="3"/>
  <c r="G156" i="3" s="1"/>
  <c r="H157" i="3"/>
  <c r="AC157" i="3"/>
  <c r="H158" i="3"/>
  <c r="AC158" i="3"/>
  <c r="H159" i="3"/>
  <c r="AC159" i="3"/>
  <c r="H160" i="3"/>
  <c r="AC160" i="3"/>
  <c r="H161" i="3"/>
  <c r="AC161" i="3"/>
  <c r="H162" i="3"/>
  <c r="AC162" i="3"/>
  <c r="H163" i="3"/>
  <c r="AC163" i="3"/>
  <c r="H164" i="3"/>
  <c r="AC164" i="3"/>
  <c r="G164" i="3"/>
  <c r="H165" i="3"/>
  <c r="AC165" i="3"/>
  <c r="G165" i="3" s="1"/>
  <c r="H166" i="3"/>
  <c r="AC166" i="3"/>
  <c r="G166" i="3" s="1"/>
  <c r="H167" i="3"/>
  <c r="AC167" i="3"/>
  <c r="H168" i="3"/>
  <c r="AC168" i="3"/>
  <c r="G168" i="3" s="1"/>
  <c r="H169" i="3"/>
  <c r="AC169" i="3"/>
  <c r="H170" i="3"/>
  <c r="AC170" i="3"/>
  <c r="H171" i="3"/>
  <c r="AC171" i="3"/>
  <c r="H172" i="3"/>
  <c r="AC172" i="3"/>
  <c r="G172" i="3" s="1"/>
  <c r="H173" i="3"/>
  <c r="AC173" i="3"/>
  <c r="H174" i="3"/>
  <c r="AC174" i="3"/>
  <c r="H175" i="3"/>
  <c r="AC175" i="3"/>
  <c r="H176" i="3"/>
  <c r="AC176" i="3"/>
  <c r="H177" i="3"/>
  <c r="AC177" i="3"/>
  <c r="H178" i="3"/>
  <c r="AC178" i="3"/>
  <c r="H179" i="3"/>
  <c r="AC179" i="3"/>
  <c r="H180" i="3"/>
  <c r="AC180" i="3"/>
  <c r="G180" i="3"/>
  <c r="H181" i="3"/>
  <c r="AC181" i="3"/>
  <c r="G181" i="3" s="1"/>
  <c r="H182" i="3"/>
  <c r="AC182" i="3"/>
  <c r="G182" i="3" s="1"/>
  <c r="H183" i="3"/>
  <c r="AC183" i="3"/>
  <c r="H184" i="3"/>
  <c r="AC184" i="3"/>
  <c r="G184" i="3" s="1"/>
  <c r="H185" i="3"/>
  <c r="AC185" i="3"/>
  <c r="H186" i="3"/>
  <c r="AC186" i="3"/>
  <c r="H187" i="3"/>
  <c r="AC187" i="3"/>
  <c r="H188" i="3"/>
  <c r="AC188" i="3"/>
  <c r="G188" i="3" s="1"/>
  <c r="H189" i="3"/>
  <c r="AC189" i="3"/>
  <c r="H190" i="3"/>
  <c r="AC190" i="3"/>
  <c r="H191" i="3"/>
  <c r="AC191" i="3"/>
  <c r="H192" i="3"/>
  <c r="AC192" i="3"/>
  <c r="H193" i="3"/>
  <c r="AC193" i="3"/>
  <c r="H194" i="3"/>
  <c r="AC194" i="3"/>
  <c r="H195" i="3"/>
  <c r="AC195" i="3"/>
  <c r="H196" i="3"/>
  <c r="AC196" i="3"/>
  <c r="G196" i="3"/>
  <c r="H197" i="3"/>
  <c r="AC197" i="3"/>
  <c r="G197" i="3" s="1"/>
  <c r="H198" i="3"/>
  <c r="AC198" i="3"/>
  <c r="G198" i="3" s="1"/>
  <c r="H199" i="3"/>
  <c r="AC199" i="3"/>
  <c r="H200" i="3"/>
  <c r="AC200" i="3"/>
  <c r="G200" i="3" s="1"/>
  <c r="H201" i="3"/>
  <c r="AC201" i="3"/>
  <c r="H202" i="3"/>
  <c r="AC202" i="3"/>
  <c r="H203" i="3"/>
  <c r="AC203" i="3"/>
  <c r="H204" i="3"/>
  <c r="AC204" i="3"/>
  <c r="G204" i="3" s="1"/>
  <c r="H205" i="3"/>
  <c r="AC205" i="3"/>
  <c r="H206" i="3"/>
  <c r="AC206" i="3"/>
  <c r="H207" i="3"/>
  <c r="AC207" i="3"/>
  <c r="H208" i="3"/>
  <c r="AC208" i="3"/>
  <c r="H209" i="3"/>
  <c r="AC209" i="3"/>
  <c r="H210" i="3"/>
  <c r="AC210" i="3"/>
  <c r="H211" i="3"/>
  <c r="AC211" i="3"/>
  <c r="H212" i="3"/>
  <c r="AC212" i="3"/>
  <c r="G212" i="3"/>
  <c r="H213" i="3"/>
  <c r="AC213" i="3"/>
  <c r="G213" i="3" s="1"/>
  <c r="H214" i="3"/>
  <c r="AC214" i="3"/>
  <c r="G214" i="3" s="1"/>
  <c r="H215" i="3"/>
  <c r="AC215" i="3"/>
  <c r="H216" i="3"/>
  <c r="AC216" i="3"/>
  <c r="G216" i="3" s="1"/>
  <c r="H217" i="3"/>
  <c r="AC217" i="3"/>
  <c r="H218" i="3"/>
  <c r="AC218" i="3"/>
  <c r="H219" i="3"/>
  <c r="AC219" i="3"/>
  <c r="H220" i="3"/>
  <c r="AC220" i="3"/>
  <c r="G220" i="3" s="1"/>
  <c r="H221" i="3"/>
  <c r="AC221" i="3"/>
  <c r="H222" i="3"/>
  <c r="AC222" i="3"/>
  <c r="H223" i="3"/>
  <c r="AC223" i="3"/>
  <c r="H224" i="3"/>
  <c r="AC224" i="3"/>
  <c r="H225" i="3"/>
  <c r="AC225" i="3"/>
  <c r="H226" i="3"/>
  <c r="AC226" i="3"/>
  <c r="H227" i="3"/>
  <c r="AC227" i="3"/>
  <c r="H228" i="3"/>
  <c r="AC228" i="3"/>
  <c r="G228" i="3"/>
  <c r="H229" i="3"/>
  <c r="AC229" i="3"/>
  <c r="G229" i="3" s="1"/>
  <c r="H230" i="3"/>
  <c r="AC230" i="3"/>
  <c r="G230" i="3" s="1"/>
  <c r="H231" i="3"/>
  <c r="AC231" i="3"/>
  <c r="H232" i="3"/>
  <c r="AC232" i="3"/>
  <c r="G232" i="3" s="1"/>
  <c r="H233" i="3"/>
  <c r="AC233" i="3"/>
  <c r="H234" i="3"/>
  <c r="AC234" i="3"/>
  <c r="H235" i="3"/>
  <c r="AC235" i="3"/>
  <c r="H236" i="3"/>
  <c r="AC236" i="3"/>
  <c r="G236" i="3" s="1"/>
  <c r="H237" i="3"/>
  <c r="AC237" i="3"/>
  <c r="G237" i="3" s="1"/>
  <c r="H238" i="3"/>
  <c r="AC238" i="3"/>
  <c r="G238" i="3" s="1"/>
  <c r="H239" i="3"/>
  <c r="AC239" i="3"/>
  <c r="H240" i="3"/>
  <c r="AC240" i="3"/>
  <c r="G240" i="3" s="1"/>
  <c r="H241" i="3"/>
  <c r="AC241" i="3"/>
  <c r="H242" i="3"/>
  <c r="AC242" i="3"/>
  <c r="H243" i="3"/>
  <c r="AC243" i="3"/>
  <c r="H244" i="3"/>
  <c r="AC244" i="3"/>
  <c r="G244" i="3" s="1"/>
  <c r="H245" i="3"/>
  <c r="AC245" i="3"/>
  <c r="H246" i="3"/>
  <c r="AC246" i="3"/>
  <c r="H247" i="3"/>
  <c r="AC247" i="3"/>
  <c r="H248" i="3"/>
  <c r="AC248" i="3"/>
  <c r="H249" i="3"/>
  <c r="AC249" i="3"/>
  <c r="H250" i="3"/>
  <c r="AC250" i="3"/>
  <c r="H251" i="3"/>
  <c r="AC251" i="3"/>
  <c r="H252" i="3"/>
  <c r="AC252" i="3"/>
  <c r="G252" i="3"/>
  <c r="H253" i="3"/>
  <c r="AC253" i="3"/>
  <c r="G253" i="3" s="1"/>
  <c r="H254" i="3"/>
  <c r="AC254" i="3"/>
  <c r="G254" i="3" s="1"/>
  <c r="H255" i="3"/>
  <c r="AC255" i="3"/>
  <c r="H256" i="3"/>
  <c r="AC256" i="3"/>
  <c r="G256" i="3" s="1"/>
  <c r="H257" i="3"/>
  <c r="AC257" i="3"/>
  <c r="H258" i="3"/>
  <c r="AC258" i="3"/>
  <c r="H259" i="3"/>
  <c r="AC259" i="3"/>
  <c r="H260" i="3"/>
  <c r="AC260" i="3"/>
  <c r="G260" i="3" s="1"/>
  <c r="H261" i="3"/>
  <c r="AC261" i="3"/>
  <c r="H262" i="3"/>
  <c r="AC262" i="3"/>
  <c r="H263" i="3"/>
  <c r="AC263" i="3"/>
  <c r="H264" i="3"/>
  <c r="AC264" i="3"/>
  <c r="H265" i="3"/>
  <c r="AC265" i="3"/>
  <c r="H266" i="3"/>
  <c r="AC266" i="3"/>
  <c r="H267" i="3"/>
  <c r="AC267" i="3"/>
  <c r="H268" i="3"/>
  <c r="AC268" i="3"/>
  <c r="G268" i="3"/>
  <c r="H269" i="3"/>
  <c r="AC269" i="3"/>
  <c r="G269" i="3" s="1"/>
  <c r="H270" i="3"/>
  <c r="AC270" i="3"/>
  <c r="G270" i="3" s="1"/>
  <c r="H271" i="3"/>
  <c r="AC271" i="3"/>
  <c r="H272" i="3"/>
  <c r="AC272" i="3"/>
  <c r="G272" i="3" s="1"/>
  <c r="H273" i="3"/>
  <c r="AC273" i="3"/>
  <c r="H274" i="3"/>
  <c r="AC274" i="3"/>
  <c r="H275" i="3"/>
  <c r="AC275" i="3"/>
  <c r="H276" i="3"/>
  <c r="AC276" i="3"/>
  <c r="G276" i="3" s="1"/>
  <c r="H277" i="3"/>
  <c r="AC277" i="3"/>
  <c r="H278" i="3"/>
  <c r="AC278" i="3"/>
  <c r="H279" i="3"/>
  <c r="AC279" i="3"/>
  <c r="H280" i="3"/>
  <c r="AC280" i="3"/>
  <c r="H281" i="3"/>
  <c r="AC281" i="3"/>
  <c r="H282" i="3"/>
  <c r="AC282" i="3"/>
  <c r="H283" i="3"/>
  <c r="AC283" i="3"/>
  <c r="H284" i="3"/>
  <c r="AC284" i="3"/>
  <c r="G284" i="3"/>
  <c r="H285" i="3"/>
  <c r="AC285" i="3"/>
  <c r="G285" i="3" s="1"/>
  <c r="H286" i="3"/>
  <c r="AC286" i="3"/>
  <c r="G286" i="3" s="1"/>
  <c r="H287" i="3"/>
  <c r="AC287" i="3"/>
  <c r="H288" i="3"/>
  <c r="AC288" i="3"/>
  <c r="G288" i="3" s="1"/>
  <c r="H289" i="3"/>
  <c r="AC289" i="3"/>
  <c r="H290" i="3"/>
  <c r="AC290" i="3"/>
  <c r="H291" i="3"/>
  <c r="AC291" i="3"/>
  <c r="H292" i="3"/>
  <c r="AC292" i="3"/>
  <c r="G292" i="3" s="1"/>
  <c r="H293" i="3"/>
  <c r="AC293" i="3"/>
  <c r="H294" i="3"/>
  <c r="AC294" i="3"/>
  <c r="H295" i="3"/>
  <c r="AC295" i="3"/>
  <c r="H296" i="3"/>
  <c r="AC296" i="3"/>
  <c r="H297" i="3"/>
  <c r="AC297" i="3"/>
  <c r="H298" i="3"/>
  <c r="AC298" i="3"/>
  <c r="H299" i="3"/>
  <c r="AC299" i="3"/>
  <c r="H300" i="3"/>
  <c r="AC300" i="3"/>
  <c r="G300" i="3"/>
  <c r="H301" i="3"/>
  <c r="AC301" i="3"/>
  <c r="H302" i="3"/>
  <c r="AC302" i="3"/>
  <c r="G302" i="3" s="1"/>
  <c r="H303" i="3"/>
  <c r="AC303" i="3"/>
  <c r="H304" i="3"/>
  <c r="AC304" i="3"/>
  <c r="H305" i="3"/>
  <c r="AC305" i="3"/>
  <c r="H306" i="3"/>
  <c r="AC306" i="3"/>
  <c r="G306" i="3" s="1"/>
  <c r="H307" i="3"/>
  <c r="AC307" i="3"/>
  <c r="H308" i="3"/>
  <c r="AC308" i="3"/>
  <c r="H309" i="3"/>
  <c r="AC309" i="3"/>
  <c r="H310" i="3"/>
  <c r="AC310" i="3"/>
  <c r="H311" i="3"/>
  <c r="AC311" i="3"/>
  <c r="H312" i="3"/>
  <c r="AC312" i="3"/>
  <c r="H313" i="3"/>
  <c r="AC313" i="3"/>
  <c r="H314" i="3"/>
  <c r="AC314" i="3"/>
  <c r="G314" i="3"/>
  <c r="H315" i="3"/>
  <c r="AC315" i="3"/>
  <c r="G315" i="3" s="1"/>
  <c r="H316" i="3"/>
  <c r="AC316" i="3"/>
  <c r="G316" i="3" s="1"/>
  <c r="H317" i="3"/>
  <c r="AC317" i="3"/>
  <c r="H318" i="3"/>
  <c r="AC318" i="3"/>
  <c r="G318" i="3" s="1"/>
  <c r="H319" i="3"/>
  <c r="AC319" i="3"/>
  <c r="H320" i="3"/>
  <c r="AC320" i="3"/>
  <c r="H321" i="3"/>
  <c r="AC321" i="3"/>
  <c r="H322" i="3"/>
  <c r="AC322" i="3"/>
  <c r="G322" i="3" s="1"/>
  <c r="H323" i="3"/>
  <c r="AC323" i="3"/>
  <c r="H324" i="3"/>
  <c r="AC324" i="3"/>
  <c r="H325" i="3"/>
  <c r="AC325" i="3"/>
  <c r="H326" i="3"/>
  <c r="AC326" i="3"/>
  <c r="H327" i="3"/>
  <c r="AC327" i="3"/>
  <c r="H328" i="3"/>
  <c r="AC328" i="3"/>
  <c r="H329" i="3"/>
  <c r="AC329" i="3"/>
  <c r="H330" i="3"/>
  <c r="AC330" i="3"/>
  <c r="G330" i="3"/>
  <c r="H331" i="3"/>
  <c r="AC331" i="3"/>
  <c r="G331" i="3" s="1"/>
  <c r="H332" i="3"/>
  <c r="AC332" i="3"/>
  <c r="G332" i="3" s="1"/>
  <c r="H333" i="3"/>
  <c r="AC333" i="3"/>
  <c r="H334" i="3"/>
  <c r="AC334" i="3"/>
  <c r="G334" i="3" s="1"/>
  <c r="H335" i="3"/>
  <c r="AC335" i="3"/>
  <c r="H336" i="3"/>
  <c r="AC336" i="3"/>
  <c r="H337" i="3"/>
  <c r="AC337" i="3"/>
  <c r="H338" i="3"/>
  <c r="AC338" i="3"/>
  <c r="G338" i="3" s="1"/>
  <c r="H339" i="3"/>
  <c r="AC339" i="3"/>
  <c r="H340" i="3"/>
  <c r="AC340" i="3"/>
  <c r="H341" i="3"/>
  <c r="AC341" i="3"/>
  <c r="H342" i="3"/>
  <c r="AC342" i="3"/>
  <c r="H343" i="3"/>
  <c r="AC343" i="3"/>
  <c r="H344" i="3"/>
  <c r="AC344" i="3"/>
  <c r="H345" i="3"/>
  <c r="AC345" i="3"/>
  <c r="H346" i="3"/>
  <c r="AC346" i="3"/>
  <c r="G346" i="3"/>
  <c r="H347" i="3"/>
  <c r="AC347" i="3"/>
  <c r="G347" i="3" s="1"/>
  <c r="H348" i="3"/>
  <c r="AC348" i="3"/>
  <c r="G348" i="3" s="1"/>
  <c r="H349" i="3"/>
  <c r="AC349" i="3"/>
  <c r="H350" i="3"/>
  <c r="AC350" i="3"/>
  <c r="G350" i="3" s="1"/>
  <c r="H351" i="3"/>
  <c r="AC351" i="3"/>
  <c r="H352" i="3"/>
  <c r="AC352" i="3"/>
  <c r="H353" i="3"/>
  <c r="AC353" i="3"/>
  <c r="H354" i="3"/>
  <c r="AC354" i="3"/>
  <c r="G354" i="3" s="1"/>
  <c r="H355" i="3"/>
  <c r="AC355" i="3"/>
  <c r="H356" i="3"/>
  <c r="AC356" i="3"/>
  <c r="H357" i="3"/>
  <c r="AC357" i="3"/>
  <c r="H358" i="3"/>
  <c r="AC358" i="3"/>
  <c r="H359" i="3"/>
  <c r="AC359" i="3"/>
  <c r="H360" i="3"/>
  <c r="AC360" i="3"/>
  <c r="H361" i="3"/>
  <c r="AC361" i="3"/>
  <c r="H362" i="3"/>
  <c r="AC362" i="3"/>
  <c r="G362" i="3"/>
  <c r="H363" i="3"/>
  <c r="AC363" i="3"/>
  <c r="G363" i="3" s="1"/>
  <c r="H364" i="3"/>
  <c r="AC364" i="3"/>
  <c r="G364" i="3" s="1"/>
  <c r="H365" i="3"/>
  <c r="AC365" i="3"/>
  <c r="H366" i="3"/>
  <c r="AC366" i="3"/>
  <c r="G366" i="3" s="1"/>
  <c r="H367" i="3"/>
  <c r="AC367" i="3"/>
  <c r="H368" i="3"/>
  <c r="AC368" i="3"/>
  <c r="H369" i="3"/>
  <c r="AC369" i="3"/>
  <c r="H370" i="3"/>
  <c r="AC370" i="3"/>
  <c r="G370" i="3" s="1"/>
  <c r="H371" i="3"/>
  <c r="AC371" i="3"/>
  <c r="H372" i="3"/>
  <c r="AC372" i="3"/>
  <c r="H373" i="3"/>
  <c r="AC373" i="3"/>
  <c r="H374" i="3"/>
  <c r="AC374" i="3"/>
  <c r="H375" i="3"/>
  <c r="AC375" i="3"/>
  <c r="H376" i="3"/>
  <c r="AC376" i="3"/>
  <c r="H377" i="3"/>
  <c r="AC377" i="3"/>
  <c r="H378" i="3"/>
  <c r="AC378" i="3"/>
  <c r="G378" i="3"/>
  <c r="H379" i="3"/>
  <c r="AC379" i="3"/>
  <c r="G379" i="3" s="1"/>
  <c r="H380" i="3"/>
  <c r="AC380" i="3"/>
  <c r="G380" i="3" s="1"/>
  <c r="H381" i="3"/>
  <c r="AC381" i="3"/>
  <c r="H382" i="3"/>
  <c r="AC382" i="3"/>
  <c r="G382" i="3" s="1"/>
  <c r="H383" i="3"/>
  <c r="AC383" i="3"/>
  <c r="H384" i="3"/>
  <c r="AC384" i="3"/>
  <c r="H385" i="3"/>
  <c r="AC385" i="3"/>
  <c r="H386" i="3"/>
  <c r="AC386" i="3"/>
  <c r="G386" i="3" s="1"/>
  <c r="H387" i="3"/>
  <c r="AC387" i="3"/>
  <c r="H388" i="3"/>
  <c r="AC388" i="3"/>
  <c r="H389" i="3"/>
  <c r="AC389" i="3"/>
  <c r="H390" i="3"/>
  <c r="AC390" i="3"/>
  <c r="H391" i="3"/>
  <c r="AC391" i="3"/>
  <c r="H392" i="3"/>
  <c r="AC392" i="3"/>
  <c r="H393" i="3"/>
  <c r="AC393" i="3"/>
  <c r="H394" i="3"/>
  <c r="AC394" i="3"/>
  <c r="G394" i="3"/>
  <c r="H395" i="3"/>
  <c r="AC395" i="3"/>
  <c r="G395" i="3" s="1"/>
  <c r="H396" i="3"/>
  <c r="AC396" i="3"/>
  <c r="G396" i="3" s="1"/>
  <c r="H397" i="3"/>
  <c r="AC397" i="3"/>
  <c r="H398" i="3"/>
  <c r="AC398" i="3"/>
  <c r="G398" i="3" s="1"/>
  <c r="H399" i="3"/>
  <c r="AC399" i="3"/>
  <c r="H400" i="3"/>
  <c r="AC400" i="3"/>
  <c r="H401" i="3"/>
  <c r="AC401" i="3"/>
  <c r="H402" i="3"/>
  <c r="AC402" i="3"/>
  <c r="G402" i="3" s="1"/>
  <c r="H403" i="3"/>
  <c r="AC403" i="3"/>
  <c r="H404" i="3"/>
  <c r="AC404" i="3"/>
  <c r="H405" i="3"/>
  <c r="AC405" i="3"/>
  <c r="H406" i="3"/>
  <c r="AC406" i="3"/>
  <c r="H407" i="3"/>
  <c r="AC407" i="3"/>
  <c r="H408" i="3"/>
  <c r="AC408" i="3"/>
  <c r="H409" i="3"/>
  <c r="AC409" i="3"/>
  <c r="H410" i="3"/>
  <c r="AC410" i="3"/>
  <c r="G410" i="3"/>
  <c r="H411" i="3"/>
  <c r="AC411" i="3"/>
  <c r="G411" i="3" s="1"/>
  <c r="H412" i="3"/>
  <c r="AC412" i="3"/>
  <c r="G412" i="3" s="1"/>
  <c r="H413" i="3"/>
  <c r="AC413" i="3"/>
  <c r="H414" i="3"/>
  <c r="AC414" i="3"/>
  <c r="G414" i="3" s="1"/>
  <c r="H415" i="3"/>
  <c r="AC415" i="3"/>
  <c r="H416" i="3"/>
  <c r="AC416" i="3"/>
  <c r="H417" i="3"/>
  <c r="AC417" i="3"/>
  <c r="H418" i="3"/>
  <c r="AC418" i="3"/>
  <c r="G418" i="3" s="1"/>
  <c r="H419" i="3"/>
  <c r="AC419" i="3"/>
  <c r="H420" i="3"/>
  <c r="AC420" i="3"/>
  <c r="H421" i="3"/>
  <c r="AC421" i="3"/>
  <c r="H422" i="3"/>
  <c r="AC422" i="3"/>
  <c r="H423" i="3"/>
  <c r="AC423" i="3"/>
  <c r="H424" i="3"/>
  <c r="AC424" i="3"/>
  <c r="H425" i="3"/>
  <c r="AC425" i="3"/>
  <c r="H426" i="3"/>
  <c r="AC426" i="3"/>
  <c r="G426" i="3"/>
  <c r="H427" i="3"/>
  <c r="AC427" i="3"/>
  <c r="G427" i="3" s="1"/>
  <c r="H428" i="3"/>
  <c r="AC428" i="3"/>
  <c r="G428" i="3" s="1"/>
  <c r="H429" i="3"/>
  <c r="AC429" i="3"/>
  <c r="H430" i="3"/>
  <c r="AC430" i="3"/>
  <c r="G430" i="3" s="1"/>
  <c r="H431" i="3"/>
  <c r="AC431" i="3"/>
  <c r="H432" i="3"/>
  <c r="AC432" i="3"/>
  <c r="H433" i="3"/>
  <c r="AC433" i="3"/>
  <c r="H434" i="3"/>
  <c r="AC434" i="3"/>
  <c r="G434" i="3" s="1"/>
  <c r="H435" i="3"/>
  <c r="AC435" i="3"/>
  <c r="H436" i="3"/>
  <c r="AC436" i="3"/>
  <c r="H437" i="3"/>
  <c r="AC437" i="3"/>
  <c r="H438" i="3"/>
  <c r="AC438" i="3"/>
  <c r="H439" i="3"/>
  <c r="AC439" i="3"/>
  <c r="H440" i="3"/>
  <c r="AC440" i="3"/>
  <c r="H441" i="3"/>
  <c r="AC441" i="3"/>
  <c r="H442" i="3"/>
  <c r="AC442" i="3"/>
  <c r="G442" i="3"/>
  <c r="H443" i="3"/>
  <c r="AC443" i="3"/>
  <c r="G443" i="3" s="1"/>
  <c r="H444" i="3"/>
  <c r="AC444" i="3"/>
  <c r="G444" i="3" s="1"/>
  <c r="H445" i="3"/>
  <c r="AC445" i="3"/>
  <c r="H446" i="3"/>
  <c r="AC446" i="3"/>
  <c r="G446" i="3" s="1"/>
  <c r="H447" i="3"/>
  <c r="AC447" i="3"/>
  <c r="H448" i="3"/>
  <c r="AC448" i="3"/>
  <c r="H449" i="3"/>
  <c r="AC449" i="3"/>
  <c r="H450" i="3"/>
  <c r="AC450" i="3"/>
  <c r="G450" i="3" s="1"/>
  <c r="H451" i="3"/>
  <c r="AC451" i="3"/>
  <c r="H452" i="3"/>
  <c r="AC452" i="3"/>
  <c r="H453" i="3"/>
  <c r="AC453" i="3"/>
  <c r="H454" i="3"/>
  <c r="AC454" i="3"/>
  <c r="H455" i="3"/>
  <c r="AC455" i="3"/>
  <c r="H456" i="3"/>
  <c r="AC456" i="3"/>
  <c r="H457" i="3"/>
  <c r="AC457" i="3"/>
  <c r="H458" i="3"/>
  <c r="AC458" i="3"/>
  <c r="G458" i="3"/>
  <c r="H459" i="3"/>
  <c r="AC459" i="3"/>
  <c r="G459" i="3" s="1"/>
  <c r="H460" i="3"/>
  <c r="AC460" i="3"/>
  <c r="G460" i="3" s="1"/>
  <c r="H461" i="3"/>
  <c r="AC461" i="3"/>
  <c r="H462" i="3"/>
  <c r="AC462" i="3"/>
  <c r="G462" i="3" s="1"/>
  <c r="H463" i="3"/>
  <c r="AC463" i="3"/>
  <c r="H464" i="3"/>
  <c r="AC464" i="3"/>
  <c r="H465" i="3"/>
  <c r="AC465" i="3"/>
  <c r="H466" i="3"/>
  <c r="AC466" i="3"/>
  <c r="G466" i="3" s="1"/>
  <c r="H467" i="3"/>
  <c r="AC467" i="3"/>
  <c r="H468" i="3"/>
  <c r="AC468" i="3"/>
  <c r="H469" i="3"/>
  <c r="AC469" i="3"/>
  <c r="H470" i="3"/>
  <c r="AC470" i="3"/>
  <c r="H471" i="3"/>
  <c r="AC471" i="3"/>
  <c r="H472" i="3"/>
  <c r="AC472" i="3"/>
  <c r="H473" i="3"/>
  <c r="AC473" i="3"/>
  <c r="H474" i="3"/>
  <c r="AC474" i="3"/>
  <c r="G474" i="3"/>
  <c r="H475" i="3"/>
  <c r="AC475" i="3"/>
  <c r="G475" i="3" s="1"/>
  <c r="H476" i="3"/>
  <c r="AC476" i="3"/>
  <c r="G476" i="3" s="1"/>
  <c r="H477" i="3"/>
  <c r="AC477" i="3"/>
  <c r="H478" i="3"/>
  <c r="AC478" i="3"/>
  <c r="G478" i="3" s="1"/>
  <c r="H479" i="3"/>
  <c r="AC479" i="3"/>
  <c r="H480" i="3"/>
  <c r="AC480" i="3"/>
  <c r="H481" i="3"/>
  <c r="AC481" i="3"/>
  <c r="H482" i="3"/>
  <c r="AC482" i="3"/>
  <c r="G482" i="3" s="1"/>
  <c r="H483" i="3"/>
  <c r="AC483" i="3"/>
  <c r="H484" i="3"/>
  <c r="AC484" i="3"/>
  <c r="H485" i="3"/>
  <c r="AC485" i="3"/>
  <c r="H486" i="3"/>
  <c r="AC486" i="3"/>
  <c r="H487" i="3"/>
  <c r="AC487" i="3"/>
  <c r="H488" i="3"/>
  <c r="AC488" i="3"/>
  <c r="H489" i="3"/>
  <c r="AC489" i="3"/>
  <c r="H490" i="3"/>
  <c r="AC490" i="3"/>
  <c r="G490" i="3"/>
  <c r="H491" i="3"/>
  <c r="AC491" i="3"/>
  <c r="G491" i="3" s="1"/>
  <c r="H492" i="3"/>
  <c r="AC492" i="3"/>
  <c r="G492" i="3" s="1"/>
  <c r="H493" i="3"/>
  <c r="AC493" i="3"/>
  <c r="H494" i="3"/>
  <c r="AC494" i="3"/>
  <c r="G494" i="3" s="1"/>
  <c r="H495" i="3"/>
  <c r="AC495" i="3"/>
  <c r="H496" i="3"/>
  <c r="AC496" i="3"/>
  <c r="H497" i="3"/>
  <c r="AC497" i="3"/>
  <c r="H498" i="3"/>
  <c r="AC498" i="3"/>
  <c r="G498" i="3" s="1"/>
  <c r="H499" i="3"/>
  <c r="AC499" i="3"/>
  <c r="H500" i="3"/>
  <c r="AC500" i="3"/>
  <c r="H501" i="3"/>
  <c r="AC501" i="3"/>
  <c r="H502" i="3"/>
  <c r="AC502" i="3"/>
  <c r="H503" i="3"/>
  <c r="AC503" i="3"/>
  <c r="H504" i="3"/>
  <c r="AC504" i="3"/>
  <c r="H505" i="3"/>
  <c r="AC505" i="3"/>
  <c r="H506" i="3"/>
  <c r="AC506" i="3"/>
  <c r="G506" i="3"/>
  <c r="H507" i="3"/>
  <c r="AC507" i="3"/>
  <c r="G507" i="3" s="1"/>
  <c r="H508" i="3"/>
  <c r="AC508" i="3"/>
  <c r="G508" i="3" s="1"/>
  <c r="H509" i="3"/>
  <c r="AC509" i="3"/>
  <c r="H510" i="3"/>
  <c r="AC510" i="3"/>
  <c r="G510" i="3" s="1"/>
  <c r="H511" i="3"/>
  <c r="AC511" i="3"/>
  <c r="H512" i="3"/>
  <c r="AC512" i="3"/>
  <c r="H513" i="3"/>
  <c r="AC513" i="3"/>
  <c r="H514" i="3"/>
  <c r="AC514" i="3"/>
  <c r="G514" i="3" s="1"/>
  <c r="H515" i="3"/>
  <c r="AC515" i="3"/>
  <c r="H516" i="3"/>
  <c r="AC516" i="3"/>
  <c r="H517" i="3"/>
  <c r="AC517" i="3"/>
  <c r="H518" i="3"/>
  <c r="AC518" i="3"/>
  <c r="H519" i="3"/>
  <c r="AC519" i="3"/>
  <c r="H520" i="3"/>
  <c r="AC520" i="3"/>
  <c r="H521" i="3"/>
  <c r="AC521" i="3"/>
  <c r="H522" i="3"/>
  <c r="AC522" i="3"/>
  <c r="G522" i="3"/>
  <c r="H523" i="3"/>
  <c r="AC523" i="3"/>
  <c r="G523" i="3" s="1"/>
  <c r="H524" i="3"/>
  <c r="AC524" i="3"/>
  <c r="G524" i="3" s="1"/>
  <c r="H525" i="3"/>
  <c r="AC525" i="3"/>
  <c r="H526" i="3"/>
  <c r="AC526" i="3"/>
  <c r="G526" i="3" s="1"/>
  <c r="H527" i="3"/>
  <c r="AC527" i="3"/>
  <c r="H528" i="3"/>
  <c r="AC528" i="3"/>
  <c r="H529" i="3"/>
  <c r="AC529" i="3"/>
  <c r="H530" i="3"/>
  <c r="AC530" i="3"/>
  <c r="G530" i="3" s="1"/>
  <c r="H531" i="3"/>
  <c r="AC531" i="3"/>
  <c r="H532" i="3"/>
  <c r="AC532" i="3"/>
  <c r="H533" i="3"/>
  <c r="AC533" i="3"/>
  <c r="H534" i="3"/>
  <c r="AC534" i="3"/>
  <c r="H535" i="3"/>
  <c r="AC535" i="3"/>
  <c r="H536" i="3"/>
  <c r="AC536" i="3"/>
  <c r="H537" i="3"/>
  <c r="AC537" i="3"/>
  <c r="H538" i="3"/>
  <c r="AC538" i="3"/>
  <c r="G538" i="3"/>
  <c r="H539" i="3"/>
  <c r="AC539" i="3"/>
  <c r="G539" i="3" s="1"/>
  <c r="H540" i="3"/>
  <c r="AC540" i="3"/>
  <c r="G540" i="3" s="1"/>
  <c r="H541" i="3"/>
  <c r="AC541" i="3"/>
  <c r="H542" i="3"/>
  <c r="AC542" i="3"/>
  <c r="G542" i="3" s="1"/>
  <c r="H543" i="3"/>
  <c r="AC543" i="3"/>
  <c r="H544" i="3"/>
  <c r="AC544" i="3"/>
  <c r="H545" i="3"/>
  <c r="AC545" i="3"/>
  <c r="H546" i="3"/>
  <c r="AC546" i="3"/>
  <c r="G546" i="3" s="1"/>
  <c r="H547" i="3"/>
  <c r="AC547" i="3"/>
  <c r="H548" i="3"/>
  <c r="AC548" i="3"/>
  <c r="H549" i="3"/>
  <c r="AC549" i="3"/>
  <c r="H550" i="3"/>
  <c r="AC550" i="3"/>
  <c r="H551" i="3"/>
  <c r="AC551" i="3"/>
  <c r="H552" i="3"/>
  <c r="AC552" i="3"/>
  <c r="H553" i="3"/>
  <c r="AC553" i="3"/>
  <c r="H554" i="3"/>
  <c r="AC554" i="3"/>
  <c r="G554" i="3"/>
  <c r="H555" i="3"/>
  <c r="AC555" i="3"/>
  <c r="G555" i="3" s="1"/>
  <c r="H556" i="3"/>
  <c r="AC556" i="3"/>
  <c r="G556" i="3" s="1"/>
  <c r="H557" i="3"/>
  <c r="AC557" i="3"/>
  <c r="H558" i="3"/>
  <c r="AC558" i="3"/>
  <c r="G558" i="3" s="1"/>
  <c r="H559" i="3"/>
  <c r="AC559" i="3"/>
  <c r="H560" i="3"/>
  <c r="AC560" i="3"/>
  <c r="H561" i="3"/>
  <c r="AC561" i="3"/>
  <c r="H562" i="3"/>
  <c r="AC562" i="3"/>
  <c r="G562" i="3" s="1"/>
  <c r="H563" i="3"/>
  <c r="AC563" i="3"/>
  <c r="H564" i="3"/>
  <c r="AC564" i="3"/>
  <c r="H565" i="3"/>
  <c r="AC565" i="3"/>
  <c r="H566" i="3"/>
  <c r="AC566" i="3"/>
  <c r="H567" i="3"/>
  <c r="AC567" i="3"/>
  <c r="H568" i="3"/>
  <c r="AC568" i="3"/>
  <c r="H569" i="3"/>
  <c r="AC569" i="3"/>
  <c r="H570" i="3"/>
  <c r="AC570" i="3"/>
  <c r="G570" i="3"/>
  <c r="H571" i="3"/>
  <c r="AC571" i="3"/>
  <c r="G571" i="3" s="1"/>
  <c r="H572" i="3"/>
  <c r="AC572" i="3"/>
  <c r="G572" i="3" s="1"/>
  <c r="AE6" i="59"/>
  <c r="AF6" i="59" s="1"/>
  <c r="AG6" i="59"/>
  <c r="AH6" i="59"/>
  <c r="AD6" i="59"/>
  <c r="Q6" i="59"/>
  <c r="Q7" i="59"/>
  <c r="Q8" i="59"/>
  <c r="Q9" i="59"/>
  <c r="Q10" i="59"/>
  <c r="Q11" i="59"/>
  <c r="Q12" i="59"/>
  <c r="Q13" i="59"/>
  <c r="Q14" i="59"/>
  <c r="Q15" i="59"/>
  <c r="Q16" i="59"/>
  <c r="Q17" i="59"/>
  <c r="Q18" i="59"/>
  <c r="Q19" i="59"/>
  <c r="Q20" i="59"/>
  <c r="Q21" i="59"/>
  <c r="P6" i="59"/>
  <c r="P7" i="59"/>
  <c r="P8" i="59"/>
  <c r="P9" i="59"/>
  <c r="AA3" i="59" s="1"/>
  <c r="P10" i="59"/>
  <c r="E10" i="59" s="1"/>
  <c r="P11" i="59"/>
  <c r="AA10" i="59" s="1"/>
  <c r="P12" i="59"/>
  <c r="P13" i="59"/>
  <c r="AA12" i="59" s="1"/>
  <c r="P14" i="59"/>
  <c r="P15" i="59"/>
  <c r="P16" i="59"/>
  <c r="P17" i="59"/>
  <c r="AA16" i="59" s="1"/>
  <c r="P18" i="59"/>
  <c r="P19" i="59"/>
  <c r="E20" i="59" s="1"/>
  <c r="E21" i="59" s="1"/>
  <c r="E22" i="59" s="1"/>
  <c r="U22" i="59" s="1"/>
  <c r="P20" i="59"/>
  <c r="P21" i="59"/>
  <c r="O6" i="59"/>
  <c r="O7" i="59"/>
  <c r="O8" i="59"/>
  <c r="O9" i="59"/>
  <c r="Y8" i="59" s="1"/>
  <c r="Z8" i="59" s="1"/>
  <c r="O10" i="59"/>
  <c r="O11" i="59"/>
  <c r="C12" i="59" s="1"/>
  <c r="D12" i="59" s="1"/>
  <c r="O12" i="59"/>
  <c r="O13" i="59"/>
  <c r="O14" i="59"/>
  <c r="O15" i="59"/>
  <c r="C16" i="59" s="1"/>
  <c r="D16" i="59" s="1"/>
  <c r="O16" i="59"/>
  <c r="O17" i="59"/>
  <c r="O18" i="59"/>
  <c r="O19" i="59"/>
  <c r="O20" i="59"/>
  <c r="O21" i="59"/>
  <c r="Y20" i="59" s="1"/>
  <c r="Z20" i="59" s="1"/>
  <c r="N6" i="59"/>
  <c r="N7" i="59"/>
  <c r="X6" i="59" s="1"/>
  <c r="N8" i="59"/>
  <c r="N9" i="59"/>
  <c r="X9" i="59" s="1"/>
  <c r="N10" i="59"/>
  <c r="N11" i="59"/>
  <c r="B12" i="59" s="1"/>
  <c r="B13" i="59" s="1"/>
  <c r="B14" i="59" s="1"/>
  <c r="S14" i="59" s="1"/>
  <c r="N12" i="59"/>
  <c r="N13" i="59"/>
  <c r="N14" i="59"/>
  <c r="N15" i="59"/>
  <c r="N16" i="59"/>
  <c r="N17" i="59"/>
  <c r="N18" i="59"/>
  <c r="N19" i="59"/>
  <c r="N20" i="59"/>
  <c r="N21" i="59"/>
  <c r="X20" i="59" s="1"/>
  <c r="L4" i="9"/>
  <c r="M4" i="9"/>
  <c r="A30" i="51" s="1"/>
  <c r="K59" i="15"/>
  <c r="P62" i="15" s="1"/>
  <c r="P75" i="15"/>
  <c r="Q74" i="44"/>
  <c r="Q61" i="44"/>
  <c r="Q60" i="44"/>
  <c r="Q53" i="44"/>
  <c r="J51" i="44"/>
  <c r="J52" i="44" s="1"/>
  <c r="M48" i="44"/>
  <c r="A16" i="55"/>
  <c r="A15" i="55"/>
  <c r="B66" i="63" s="1"/>
  <c r="A14" i="55"/>
  <c r="A11" i="55"/>
  <c r="A10" i="55"/>
  <c r="A9" i="55"/>
  <c r="B60" i="63" s="1"/>
  <c r="A8" i="55"/>
  <c r="A6" i="54"/>
  <c r="B49" i="63" s="1"/>
  <c r="A8" i="54"/>
  <c r="A7" i="54"/>
  <c r="B51" i="63" s="1"/>
  <c r="C57" i="10"/>
  <c r="A28" i="51"/>
  <c r="N4" i="63" s="1"/>
  <c r="A27" i="51"/>
  <c r="D5" i="46"/>
  <c r="B10" i="59"/>
  <c r="S10" i="59" s="1"/>
  <c r="C10" i="59"/>
  <c r="D10" i="59" s="1"/>
  <c r="F10" i="59"/>
  <c r="F9" i="59" s="1"/>
  <c r="F8" i="59" s="1"/>
  <c r="K75" i="9"/>
  <c r="K6" i="4"/>
  <c r="O76" i="9" s="1"/>
  <c r="B22" i="31"/>
  <c r="E15" i="66"/>
  <c r="F15" i="66"/>
  <c r="E16" i="66"/>
  <c r="F16" i="66"/>
  <c r="E17" i="66"/>
  <c r="F17" i="66"/>
  <c r="E18" i="66"/>
  <c r="F18" i="66"/>
  <c r="E19" i="66"/>
  <c r="F19" i="66"/>
  <c r="E20" i="66"/>
  <c r="F20" i="66"/>
  <c r="E21" i="66"/>
  <c r="F21" i="66"/>
  <c r="E22" i="66"/>
  <c r="F22" i="66"/>
  <c r="E23" i="66"/>
  <c r="F23" i="66"/>
  <c r="B3" i="66"/>
  <c r="B9" i="59"/>
  <c r="B8" i="59" s="1"/>
  <c r="B6" i="59"/>
  <c r="S6" i="59" s="1"/>
  <c r="E6" i="59"/>
  <c r="E5" i="59" s="1"/>
  <c r="F6" i="59"/>
  <c r="F5" i="59" s="1"/>
  <c r="V6" i="59"/>
  <c r="B5"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Y11" i="59"/>
  <c r="Z11" i="59" s="1"/>
  <c r="AB11" i="59"/>
  <c r="Y12" i="59"/>
  <c r="Z12" i="59" s="1"/>
  <c r="X13" i="59"/>
  <c r="X14" i="59"/>
  <c r="AB14" i="59"/>
  <c r="Y15" i="59"/>
  <c r="Z15" i="59" s="1"/>
  <c r="AB15" i="59"/>
  <c r="Y16" i="59"/>
  <c r="Z16" i="59" s="1"/>
  <c r="X17" i="59"/>
  <c r="X18" i="59"/>
  <c r="AB18" i="59"/>
  <c r="Y19" i="59"/>
  <c r="Z19" i="59" s="1"/>
  <c r="AB19" i="59"/>
  <c r="AA20" i="59"/>
  <c r="S2" i="31"/>
  <c r="M2" i="31"/>
  <c r="N2" i="31"/>
  <c r="O2" i="31"/>
  <c r="P2" i="31"/>
  <c r="Q2" i="31"/>
  <c r="R2" i="31"/>
  <c r="C6" i="59"/>
  <c r="D6" i="59" s="1"/>
  <c r="C3" i="65"/>
  <c r="C1" i="65"/>
  <c r="N1" i="65" s="1"/>
  <c r="T6" i="59"/>
  <c r="B2" i="1"/>
  <c r="D11" i="59"/>
  <c r="E12" i="59"/>
  <c r="E13" i="59" s="1"/>
  <c r="E14" i="59" s="1"/>
  <c r="U14" i="59" s="1"/>
  <c r="F12" i="59"/>
  <c r="D15" i="59"/>
  <c r="E16" i="59"/>
  <c r="F16" i="59"/>
  <c r="F17" i="59"/>
  <c r="F18" i="59" s="1"/>
  <c r="V18" i="59" s="1"/>
  <c r="D19" i="59"/>
  <c r="B20" i="59"/>
  <c r="B21" i="59" s="1"/>
  <c r="B22" i="59" s="1"/>
  <c r="S22" i="59" s="1"/>
  <c r="F20" i="59"/>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21" i="64"/>
  <c r="B75" i="63" s="1"/>
  <c r="B73" i="63"/>
  <c r="A28" i="64"/>
  <c r="A27" i="64"/>
  <c r="A15" i="64"/>
  <c r="A14" i="64"/>
  <c r="A11" i="64"/>
  <c r="A3" i="64"/>
  <c r="A45" i="9"/>
  <c r="A44" i="9"/>
  <c r="K39" i="9" s="1"/>
  <c r="C56" i="10"/>
  <c r="C55" i="10"/>
  <c r="C54" i="10"/>
  <c r="B44" i="63"/>
  <c r="B40" i="63"/>
  <c r="B30" i="63"/>
  <c r="B27" i="63"/>
  <c r="B25" i="63"/>
  <c r="A11" i="51"/>
  <c r="A26" i="64"/>
  <c r="A26"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20" i="63"/>
  <c r="A15" i="51"/>
  <c r="B12" i="63" s="1"/>
  <c r="A14" i="51"/>
  <c r="B11" i="63" s="1"/>
  <c r="A4" i="55"/>
  <c r="B57" i="63" s="1"/>
  <c r="G5" i="54"/>
  <c r="B34" i="63" s="1"/>
  <c r="E5" i="54"/>
  <c r="B32" i="63" s="1"/>
  <c r="R2" i="54"/>
  <c r="B24" i="63" s="1"/>
  <c r="B19" i="63"/>
  <c r="B49" i="50"/>
  <c r="B5" i="63" s="1"/>
  <c r="B40" i="50"/>
  <c r="B3" i="63" s="1"/>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s="1"/>
  <c r="F49" i="59"/>
  <c r="F48" i="59" s="1"/>
  <c r="B49" i="59"/>
  <c r="N49"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AB21" i="59"/>
  <c r="X21" i="59"/>
  <c r="X3" i="59"/>
  <c r="X8" i="59"/>
  <c r="X10" i="59"/>
  <c r="AA7" i="59"/>
  <c r="AA9" i="59"/>
  <c r="Y7" i="59"/>
  <c r="Z7" i="59" s="1"/>
  <c r="Y9" i="59"/>
  <c r="Z9" i="59" s="1"/>
  <c r="Y3" i="59"/>
  <c r="Z3" i="59" s="1"/>
  <c r="AB10" i="59"/>
  <c r="AB3" i="59"/>
  <c r="AB7" i="59"/>
  <c r="AB8" i="59"/>
  <c r="AB9" i="59"/>
  <c r="AA21" i="59"/>
  <c r="D24" i="59"/>
  <c r="D36" i="59"/>
  <c r="T50" i="59"/>
  <c r="O50" i="59"/>
  <c r="D50" i="59"/>
  <c r="C49" i="59"/>
  <c r="C48" i="59" s="1"/>
  <c r="P50" i="59"/>
  <c r="U50" i="59"/>
  <c r="Q50" i="59"/>
  <c r="E53" i="59"/>
  <c r="E52" i="59" s="1"/>
  <c r="C57" i="59"/>
  <c r="D57" i="59" s="1"/>
  <c r="E57" i="59"/>
  <c r="E56" i="59" s="1"/>
  <c r="D58" i="59"/>
  <c r="E61" i="59"/>
  <c r="E60" i="59" s="1"/>
  <c r="C65" i="59"/>
  <c r="D65" i="59" s="1"/>
  <c r="C69" i="59"/>
  <c r="D69" i="59" s="1"/>
  <c r="U16" i="4"/>
  <c r="S16" i="4"/>
  <c r="Q16" i="4"/>
  <c r="O16" i="4"/>
  <c r="M16" i="4"/>
  <c r="L16" i="4" s="1"/>
  <c r="K16" i="4"/>
  <c r="C68" i="59"/>
  <c r="D68" i="59" s="1"/>
  <c r="O49" i="59"/>
  <c r="C64" i="59"/>
  <c r="D64"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C22" i="20"/>
  <c r="S21" i="37"/>
  <c r="S31" i="39"/>
  <c r="B74" i="46"/>
  <c r="E66" i="36"/>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2" i="46"/>
  <c r="I2" i="46"/>
  <c r="N6"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J50" i="46" s="1"/>
  <c r="D77" i="46"/>
  <c r="B83" i="46"/>
  <c r="B82" i="46"/>
  <c r="B71" i="46"/>
  <c r="B60" i="46"/>
  <c r="B49" i="46"/>
  <c r="M87" i="46"/>
  <c r="N87" i="46" s="1"/>
  <c r="K87" i="46"/>
  <c r="J87" i="46" s="1"/>
  <c r="D87" i="46"/>
  <c r="M86" i="46"/>
  <c r="D86" i="46"/>
  <c r="K86" i="46"/>
  <c r="J86" i="46"/>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D75" i="46"/>
  <c r="D66" i="46"/>
  <c r="D50" i="46"/>
  <c r="D54" i="46"/>
  <c r="Q73" i="15"/>
  <c r="Q60" i="15"/>
  <c r="Q59" i="15"/>
  <c r="Q52" i="15"/>
  <c r="AE12"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I19" i="4"/>
  <c r="F11" i="1" s="1"/>
  <c r="F13" i="1"/>
  <c r="AP13" i="1" s="1"/>
  <c r="D11" i="1"/>
  <c r="D12" i="1"/>
  <c r="D13" i="1"/>
  <c r="D6" i="1"/>
  <c r="D7" i="1"/>
  <c r="D8" i="1"/>
  <c r="D9" i="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G36" i="4"/>
  <c r="K2" i="54"/>
  <c r="B23" i="63" s="1"/>
  <c r="A3" i="51"/>
  <c r="R41" i="4"/>
  <c r="Q41" i="4"/>
  <c r="P41" i="4"/>
  <c r="O41" i="4"/>
  <c r="N41" i="4"/>
  <c r="M41" i="4"/>
  <c r="L41" i="4"/>
  <c r="K40" i="4"/>
  <c r="T40" i="4" s="1"/>
  <c r="F23" i="4"/>
  <c r="D19" i="4"/>
  <c r="H19" i="4"/>
  <c r="G19" i="4"/>
  <c r="F9" i="1"/>
  <c r="F19" i="4"/>
  <c r="F8" i="1"/>
  <c r="E19" i="4"/>
  <c r="F7" i="1"/>
  <c r="B2" i="52"/>
  <c r="E22" i="52" s="1"/>
  <c r="N12" i="46"/>
  <c r="A7" i="46"/>
  <c r="F41" i="4"/>
  <c r="J52" i="40" s="1"/>
  <c r="H61" i="49"/>
  <c r="H39" i="46"/>
  <c r="H37" i="46"/>
  <c r="H36" i="46"/>
  <c r="H35" i="46"/>
  <c r="H34" i="46"/>
  <c r="H33" i="46"/>
  <c r="J20" i="46"/>
  <c r="C18" i="46"/>
  <c r="G17" i="46"/>
  <c r="F15" i="46"/>
  <c r="E15" i="46"/>
  <c r="D15" i="46"/>
  <c r="C15" i="46"/>
  <c r="C10" i="46"/>
  <c r="C11" i="46" s="1"/>
  <c r="C9" i="46"/>
  <c r="E32" i="6"/>
  <c r="O8" i="1"/>
  <c r="P8" i="1"/>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C6" i="12"/>
  <c r="B24" i="1"/>
  <c r="E77" i="9"/>
  <c r="O75" i="9" s="1"/>
  <c r="L75" i="9"/>
  <c r="F77" i="9"/>
  <c r="P75" i="9" s="1"/>
  <c r="O74" i="9"/>
  <c r="O73" i="9"/>
  <c r="E66" i="9"/>
  <c r="O72" i="9" s="1"/>
  <c r="F74" i="9"/>
  <c r="P74" i="9" s="1"/>
  <c r="N67" i="9"/>
  <c r="K44" i="9"/>
  <c r="K43" i="9"/>
  <c r="B31" i="1"/>
  <c r="B23" i="1"/>
  <c r="BC11" i="3"/>
  <c r="BD11" i="3"/>
  <c r="C11" i="11"/>
  <c r="C10"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W30" i="36" s="1"/>
  <c r="H30" i="36"/>
  <c r="U30" i="36" s="1"/>
  <c r="F30" i="36"/>
  <c r="AA30" i="36" s="1"/>
  <c r="C26" i="35"/>
  <c r="C79" i="35" s="1"/>
  <c r="F26" i="35" s="1"/>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B122" i="40"/>
  <c r="F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D94" i="40"/>
  <c r="E94" i="40" s="1"/>
  <c r="D92" i="40"/>
  <c r="D90" i="40"/>
  <c r="E90" i="40" s="1"/>
  <c r="D88" i="40"/>
  <c r="E88" i="40" s="1"/>
  <c r="D86" i="40"/>
  <c r="E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s="1"/>
  <c r="B108" i="37"/>
  <c r="H38" i="37" s="1"/>
  <c r="C23" i="37"/>
  <c r="C19" i="37"/>
  <c r="C17" i="37"/>
  <c r="C15" i="37"/>
  <c r="B112" i="37"/>
  <c r="D107" i="37"/>
  <c r="E107" i="37" s="1"/>
  <c r="F107" i="37" s="1"/>
  <c r="G107" i="37" s="1"/>
  <c r="D105" i="37"/>
  <c r="E105" i="37" s="1"/>
  <c r="F105" i="37" s="1"/>
  <c r="H36" i="37"/>
  <c r="U36" i="37" s="1"/>
  <c r="D103" i="37"/>
  <c r="J35" i="37"/>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D64" i="36"/>
  <c r="E64" i="36" s="1"/>
  <c r="F64" i="36" s="1"/>
  <c r="G64" i="36" s="1"/>
  <c r="J16" i="36"/>
  <c r="AC16" i="36" s="1"/>
  <c r="D62" i="36"/>
  <c r="E62" i="36" s="1"/>
  <c r="F62" i="36" s="1"/>
  <c r="G62" i="36" s="1"/>
  <c r="B59" i="36"/>
  <c r="B57" i="36"/>
  <c r="J12" i="36" s="1"/>
  <c r="AC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AA9" i="36" s="1"/>
  <c r="J8" i="36"/>
  <c r="H8" i="36"/>
  <c r="F8" i="36"/>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B57" i="35"/>
  <c r="B61" i="35"/>
  <c r="B59" i="35"/>
  <c r="H12" i="35" s="1"/>
  <c r="AB12" i="35" s="1"/>
  <c r="B131" i="34"/>
  <c r="B129" i="34"/>
  <c r="B127" i="34"/>
  <c r="B99" i="34"/>
  <c r="B97" i="34"/>
  <c r="B95" i="34"/>
  <c r="B93" i="34"/>
  <c r="B75" i="34"/>
  <c r="B73" i="34"/>
  <c r="B71" i="34"/>
  <c r="B130" i="33"/>
  <c r="B128" i="33"/>
  <c r="H45" i="33" s="1"/>
  <c r="B126" i="33"/>
  <c r="B98" i="33"/>
  <c r="F31" i="33" s="1"/>
  <c r="AA31" i="33" s="1"/>
  <c r="B96" i="33"/>
  <c r="B94" i="33"/>
  <c r="B74" i="33"/>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J8" i="35"/>
  <c r="AC8" i="35" s="1"/>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F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J8" i="33"/>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B92" i="21"/>
  <c r="J28" i="21" s="1"/>
  <c r="W28" i="21" s="1"/>
  <c r="B90" i="21"/>
  <c r="J27" i="21" s="1"/>
  <c r="W27" i="21" s="1"/>
  <c r="B74" i="21"/>
  <c r="J14" i="21" s="1"/>
  <c r="AC14" i="21" s="1"/>
  <c r="B72" i="21"/>
  <c r="H13" i="21" s="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F19" i="6" s="1"/>
  <c r="E19" i="6" s="1"/>
  <c r="C9" i="43" s="1"/>
  <c r="L5" i="3"/>
  <c r="M5" i="3"/>
  <c r="F21" i="6" s="1"/>
  <c r="E21" i="6" s="1"/>
  <c r="N5" i="3"/>
  <c r="O5" i="3"/>
  <c r="F22" i="6" s="1"/>
  <c r="E22" i="6" s="1"/>
  <c r="F9" i="43" s="1"/>
  <c r="P5" i="3"/>
  <c r="Q5" i="3"/>
  <c r="F23" i="6" s="1"/>
  <c r="E23" i="6" s="1"/>
  <c r="G9" i="43" s="1"/>
  <c r="R5" i="3"/>
  <c r="S5" i="3"/>
  <c r="F24" i="6" s="1"/>
  <c r="E24" i="6" s="1"/>
  <c r="H9" i="43" s="1"/>
  <c r="T5" i="3"/>
  <c r="U5" i="3"/>
  <c r="G25" i="6" s="1"/>
  <c r="H38" i="86" s="1"/>
  <c r="V5" i="3"/>
  <c r="W5" i="3"/>
  <c r="X5" i="3"/>
  <c r="Y5" i="3"/>
  <c r="Z5" i="3"/>
  <c r="AA5" i="3"/>
  <c r="AB5" i="3"/>
  <c r="F5" i="3"/>
  <c r="F34" i="21"/>
  <c r="H34" i="21"/>
  <c r="F43" i="21"/>
  <c r="H38" i="21"/>
  <c r="AB38" i="21" s="1"/>
  <c r="H43" i="21"/>
  <c r="AB43" i="21" s="1"/>
  <c r="F32" i="21"/>
  <c r="S32" i="21" s="1"/>
  <c r="F38" i="21"/>
  <c r="F36" i="21"/>
  <c r="F39" i="21"/>
  <c r="AA39" i="21" s="1"/>
  <c r="J40" i="21"/>
  <c r="W40" i="21" s="1"/>
  <c r="H35" i="21"/>
  <c r="J8" i="21"/>
  <c r="J9" i="21"/>
  <c r="AC9" i="21" s="1"/>
  <c r="H8" i="21"/>
  <c r="AB8" i="21" s="1"/>
  <c r="H10" i="21"/>
  <c r="H39" i="21"/>
  <c r="J34" i="21"/>
  <c r="H36" i="21"/>
  <c r="U36" i="21" s="1"/>
  <c r="F35" i="21"/>
  <c r="J33" i="21"/>
  <c r="H33" i="21"/>
  <c r="U33" i="21" s="1"/>
  <c r="F33" i="21"/>
  <c r="AA33" i="21" s="1"/>
  <c r="J10" i="21"/>
  <c r="H26" i="21"/>
  <c r="AB26" i="21" s="1"/>
  <c r="F19" i="21"/>
  <c r="H19" i="21"/>
  <c r="AB19" i="21" s="1"/>
  <c r="J19" i="21"/>
  <c r="W19" i="21" s="1"/>
  <c r="J12" i="21"/>
  <c r="J26" i="21"/>
  <c r="W26" i="21" s="1"/>
  <c r="F26" i="21"/>
  <c r="AA26" i="21" s="1"/>
  <c r="S41" i="21"/>
  <c r="AA41" i="21"/>
  <c r="W41" i="21"/>
  <c r="S10" i="39"/>
  <c r="U30" i="37"/>
  <c r="E103" i="37"/>
  <c r="F103" i="37" s="1"/>
  <c r="F39" i="37"/>
  <c r="F29" i="36"/>
  <c r="F16" i="36"/>
  <c r="AA16" i="36" s="1"/>
  <c r="U22" i="36"/>
  <c r="W22" i="36"/>
  <c r="AC31" i="36"/>
  <c r="J33" i="36"/>
  <c r="W33" i="36" s="1"/>
  <c r="AC27" i="35"/>
  <c r="U31" i="35"/>
  <c r="S31" i="35"/>
  <c r="W31" i="35"/>
  <c r="F36" i="34"/>
  <c r="S36" i="34" s="1"/>
  <c r="W9" i="34"/>
  <c r="S34" i="34"/>
  <c r="H39" i="33"/>
  <c r="F26" i="33"/>
  <c r="W38" i="33"/>
  <c r="S8" i="21"/>
  <c r="H39" i="37"/>
  <c r="AB39" i="37" s="1"/>
  <c r="AB27" i="35"/>
  <c r="S10" i="40"/>
  <c r="W10" i="40"/>
  <c r="S11" i="40"/>
  <c r="U11" i="40"/>
  <c r="S36" i="40"/>
  <c r="U36" i="40"/>
  <c r="S40" i="39"/>
  <c r="S36" i="39"/>
  <c r="F11" i="21"/>
  <c r="AC40" i="21"/>
  <c r="AC35" i="21"/>
  <c r="C23" i="39"/>
  <c r="U36" i="39"/>
  <c r="S42" i="39"/>
  <c r="H32" i="33"/>
  <c r="AB32" i="33" s="1"/>
  <c r="H11" i="21"/>
  <c r="J11" i="21"/>
  <c r="W11" i="21" s="1"/>
  <c r="J27" i="36"/>
  <c r="J34" i="36"/>
  <c r="W34" i="36" s="1"/>
  <c r="J30" i="35"/>
  <c r="W30" i="35" s="1"/>
  <c r="F22" i="35"/>
  <c r="H10" i="35"/>
  <c r="U29" i="36"/>
  <c r="F85" i="36"/>
  <c r="G85" i="36" s="1"/>
  <c r="H85" i="36" s="1"/>
  <c r="I85" i="36" s="1"/>
  <c r="J85" i="36" s="1"/>
  <c r="K85" i="36" s="1"/>
  <c r="L85" i="36" s="1"/>
  <c r="M85" i="36" s="1"/>
  <c r="J29" i="36"/>
  <c r="AC29" i="36" s="1"/>
  <c r="F12" i="36"/>
  <c r="F24" i="36"/>
  <c r="F34" i="36"/>
  <c r="S10" i="36"/>
  <c r="H16" i="35"/>
  <c r="H33" i="35"/>
  <c r="W8" i="35"/>
  <c r="F35" i="37"/>
  <c r="S35" i="37" s="1"/>
  <c r="F101" i="37"/>
  <c r="G101" i="37" s="1"/>
  <c r="H101" i="37" s="1"/>
  <c r="I101" i="37" s="1"/>
  <c r="J101" i="37" s="1"/>
  <c r="K101" i="37" s="1"/>
  <c r="L101" i="37" s="1"/>
  <c r="M101" i="37" s="1"/>
  <c r="J34" i="37"/>
  <c r="W34" i="37" s="1"/>
  <c r="H43" i="34"/>
  <c r="AB43" i="34" s="1"/>
  <c r="U42" i="34"/>
  <c r="H36" i="34"/>
  <c r="U36" i="34" s="1"/>
  <c r="F37" i="34"/>
  <c r="AA37" i="34" s="1"/>
  <c r="F33" i="34"/>
  <c r="F19" i="34"/>
  <c r="J10" i="34"/>
  <c r="U9" i="34"/>
  <c r="J28" i="34"/>
  <c r="E113" i="33"/>
  <c r="F36" i="33"/>
  <c r="S36" i="33" s="1"/>
  <c r="F19" i="33"/>
  <c r="S19" i="33" s="1"/>
  <c r="J19" i="33"/>
  <c r="F125" i="21"/>
  <c r="G125" i="21" s="1"/>
  <c r="AB30" i="36"/>
  <c r="AC34" i="36"/>
  <c r="H29" i="35"/>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AL5" i="3"/>
  <c r="F14" i="21"/>
  <c r="AA14" i="21" s="1"/>
  <c r="H14" i="21"/>
  <c r="H28" i="21"/>
  <c r="F28" i="21"/>
  <c r="S28" i="21" s="1"/>
  <c r="AC28" i="21"/>
  <c r="J44" i="21"/>
  <c r="H44" i="21"/>
  <c r="U44" i="21" s="1"/>
  <c r="F44" i="21"/>
  <c r="H46" i="21"/>
  <c r="J46" i="21"/>
  <c r="W46" i="21" s="1"/>
  <c r="F46" i="21"/>
  <c r="AA46" i="21" s="1"/>
  <c r="H26" i="33"/>
  <c r="U26" i="33" s="1"/>
  <c r="H28" i="33"/>
  <c r="AB28" i="33" s="1"/>
  <c r="F28" i="33"/>
  <c r="AA28" i="33" s="1"/>
  <c r="J28" i="33"/>
  <c r="W28" i="33" s="1"/>
  <c r="F33" i="35"/>
  <c r="S33" i="35" s="1"/>
  <c r="J33" i="35"/>
  <c r="W33" i="35" s="1"/>
  <c r="F30" i="35"/>
  <c r="E89" i="35"/>
  <c r="F89" i="35" s="1"/>
  <c r="G89" i="35" s="1"/>
  <c r="H89" i="35" s="1"/>
  <c r="I89" i="35" s="1"/>
  <c r="J89" i="35" s="1"/>
  <c r="K89" i="35" s="1"/>
  <c r="L89" i="35" s="1"/>
  <c r="M89" i="35" s="1"/>
  <c r="H10" i="36"/>
  <c r="F28" i="36"/>
  <c r="F27" i="36"/>
  <c r="J13" i="21"/>
  <c r="AC13" i="21" s="1"/>
  <c r="H27" i="21"/>
  <c r="AB27" i="21" s="1"/>
  <c r="F27" i="21"/>
  <c r="H29" i="21"/>
  <c r="J31" i="21"/>
  <c r="F31" i="21"/>
  <c r="F45" i="21"/>
  <c r="J27" i="33"/>
  <c r="F13" i="33"/>
  <c r="S13" i="33" s="1"/>
  <c r="J29" i="33"/>
  <c r="W29" i="33" s="1"/>
  <c r="J31" i="33"/>
  <c r="H31" i="33"/>
  <c r="U31" i="33" s="1"/>
  <c r="S31" i="33"/>
  <c r="J45" i="33"/>
  <c r="W45" i="33" s="1"/>
  <c r="F45" i="33"/>
  <c r="S45" i="33" s="1"/>
  <c r="H28" i="36"/>
  <c r="U28" i="36" s="1"/>
  <c r="J11" i="36"/>
  <c r="W11" i="36" s="1"/>
  <c r="H13" i="36"/>
  <c r="AB13" i="36" s="1"/>
  <c r="J13" i="36"/>
  <c r="W13" i="36" s="1"/>
  <c r="F13" i="36"/>
  <c r="G89" i="37"/>
  <c r="H89" i="37" s="1"/>
  <c r="I89" i="37" s="1"/>
  <c r="J89" i="37" s="1"/>
  <c r="K89" i="37" s="1"/>
  <c r="L89" i="37" s="1"/>
  <c r="M89" i="37" s="1"/>
  <c r="J29" i="37"/>
  <c r="W29" i="37" s="1"/>
  <c r="F29" i="37"/>
  <c r="AA29" i="37" s="1"/>
  <c r="J37" i="37"/>
  <c r="H37" i="37"/>
  <c r="H40" i="37"/>
  <c r="J40" i="37"/>
  <c r="AC40" i="37" s="1"/>
  <c r="F40" i="37"/>
  <c r="AA40" i="37" s="1"/>
  <c r="H44" i="33"/>
  <c r="J44" i="33"/>
  <c r="AC44" i="33" s="1"/>
  <c r="F44" i="33"/>
  <c r="J46" i="33"/>
  <c r="F46" i="33"/>
  <c r="AA46" i="33" s="1"/>
  <c r="H46" i="33"/>
  <c r="H13" i="34"/>
  <c r="J13" i="34"/>
  <c r="F13" i="34"/>
  <c r="J29" i="34"/>
  <c r="AC29" i="34" s="1"/>
  <c r="F29" i="34"/>
  <c r="H29" i="34"/>
  <c r="U29" i="34" s="1"/>
  <c r="J31" i="34"/>
  <c r="H31" i="34"/>
  <c r="AB31" i="34" s="1"/>
  <c r="F31" i="34"/>
  <c r="H45" i="34"/>
  <c r="U45" i="34" s="1"/>
  <c r="J45" i="34"/>
  <c r="W45" i="34" s="1"/>
  <c r="F45" i="34"/>
  <c r="H47" i="34"/>
  <c r="F47" i="34"/>
  <c r="AA47" i="34" s="1"/>
  <c r="J47" i="34"/>
  <c r="F13" i="35"/>
  <c r="S13" i="35" s="1"/>
  <c r="J13" i="35"/>
  <c r="H13" i="35"/>
  <c r="U13" i="35" s="1"/>
  <c r="J25" i="35"/>
  <c r="F25" i="35"/>
  <c r="H25" i="35"/>
  <c r="AB25" i="35" s="1"/>
  <c r="J35" i="35"/>
  <c r="F35" i="35"/>
  <c r="H35" i="35"/>
  <c r="U35" i="35" s="1"/>
  <c r="J25" i="36"/>
  <c r="F25" i="36"/>
  <c r="AA25" i="36" s="1"/>
  <c r="H25" i="36"/>
  <c r="H13" i="37"/>
  <c r="F13" i="37"/>
  <c r="J13" i="37"/>
  <c r="AC13" i="37" s="1"/>
  <c r="F28" i="37"/>
  <c r="J28" i="37"/>
  <c r="AC28" i="37" s="1"/>
  <c r="H28" i="37"/>
  <c r="U28" i="37" s="1"/>
  <c r="J38" i="37"/>
  <c r="F14" i="37"/>
  <c r="J14" i="37"/>
  <c r="J36" i="37"/>
  <c r="AC36" i="37" s="1"/>
  <c r="G105" i="37"/>
  <c r="AA28" i="21"/>
  <c r="W14" i="21"/>
  <c r="W42" i="21"/>
  <c r="AB31" i="33"/>
  <c r="AB44" i="21"/>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G125" i="33"/>
  <c r="H43" i="33"/>
  <c r="U43" i="33" s="1"/>
  <c r="H17" i="37"/>
  <c r="U17" i="37" s="1"/>
  <c r="F23" i="37"/>
  <c r="S23" i="37" s="1"/>
  <c r="F39" i="33"/>
  <c r="AA39" i="33" s="1"/>
  <c r="F42" i="33"/>
  <c r="H28" i="34"/>
  <c r="F22" i="36"/>
  <c r="H35" i="34"/>
  <c r="U35" i="34" s="1"/>
  <c r="F41" i="34"/>
  <c r="S41" i="34" s="1"/>
  <c r="H41" i="34"/>
  <c r="U41" i="34" s="1"/>
  <c r="J41" i="34"/>
  <c r="F10" i="35"/>
  <c r="F24" i="35"/>
  <c r="H23" i="37"/>
  <c r="AB23" i="37" s="1"/>
  <c r="J32" i="37"/>
  <c r="F36" i="37"/>
  <c r="S36" i="37" s="1"/>
  <c r="F37" i="37"/>
  <c r="U23" i="37"/>
  <c r="F123" i="33"/>
  <c r="G123" i="33" s="1"/>
  <c r="H123" i="33" s="1"/>
  <c r="I123" i="33" s="1"/>
  <c r="J123" i="33" s="1"/>
  <c r="K123" i="33" s="1"/>
  <c r="L123" i="33" s="1"/>
  <c r="M123" i="33" s="1"/>
  <c r="H42" i="33"/>
  <c r="J43" i="33"/>
  <c r="J23" i="37"/>
  <c r="F17" i="37"/>
  <c r="AB43" i="33"/>
  <c r="D3" i="21"/>
  <c r="AC33" i="36"/>
  <c r="U39" i="37"/>
  <c r="AC8" i="37"/>
  <c r="AB8" i="34"/>
  <c r="AC45" i="33"/>
  <c r="U19" i="21"/>
  <c r="F43" i="33"/>
  <c r="AA43" i="33" s="1"/>
  <c r="AA23"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s="1"/>
  <c r="I94" i="37" s="1"/>
  <c r="J94" i="37" s="1"/>
  <c r="K94" i="37" s="1"/>
  <c r="L94" i="37" s="1"/>
  <c r="M94" i="37" s="1"/>
  <c r="H31" i="37"/>
  <c r="AB31" i="37" s="1"/>
  <c r="J15" i="37"/>
  <c r="W15" i="37" s="1"/>
  <c r="U12" i="37"/>
  <c r="AB10" i="37"/>
  <c r="J11" i="37"/>
  <c r="W36" i="40"/>
  <c r="U40" i="39"/>
  <c r="F90" i="40"/>
  <c r="G90" i="40" s="1"/>
  <c r="J21" i="40"/>
  <c r="S27" i="31"/>
  <c r="BT5" i="3"/>
  <c r="J57" i="39"/>
  <c r="H12" i="48"/>
  <c r="I4" i="4"/>
  <c r="K141" i="21"/>
  <c r="K143" i="21"/>
  <c r="K144" i="21"/>
  <c r="I59" i="40"/>
  <c r="C59" i="40" s="1"/>
  <c r="I60" i="40"/>
  <c r="C60" i="40" s="1"/>
  <c r="W9" i="33"/>
  <c r="H7" i="48"/>
  <c r="H113" i="46"/>
  <c r="H17" i="46"/>
  <c r="F33" i="46"/>
  <c r="F35" i="46"/>
  <c r="F37" i="46"/>
  <c r="H16" i="48"/>
  <c r="H9" i="48"/>
  <c r="H8" i="48"/>
  <c r="C12" i="46"/>
  <c r="AB15" i="37"/>
  <c r="U43" i="21"/>
  <c r="E78" i="40"/>
  <c r="F78" i="40" s="1"/>
  <c r="G78" i="40" s="1"/>
  <c r="H78" i="40" s="1"/>
  <c r="I78" i="40" s="1"/>
  <c r="J78" i="40" s="1"/>
  <c r="K78" i="40" s="1"/>
  <c r="L78" i="40" s="1"/>
  <c r="M78" i="40" s="1"/>
  <c r="BH5" i="3"/>
  <c r="R16" i="4"/>
  <c r="P16" i="4"/>
  <c r="D3" i="35"/>
  <c r="G4" i="4"/>
  <c r="S37" i="34"/>
  <c r="J16" i="35"/>
  <c r="W16" i="35"/>
  <c r="AC26" i="36"/>
  <c r="H13" i="39"/>
  <c r="AB13" i="39" s="1"/>
  <c r="F13" i="39"/>
  <c r="S13" i="39" s="1"/>
  <c r="J13" i="39"/>
  <c r="AC13" i="39" s="1"/>
  <c r="AA36" i="35"/>
  <c r="H11" i="37"/>
  <c r="AA36" i="37"/>
  <c r="U32" i="33"/>
  <c r="AB17" i="37"/>
  <c r="AC29" i="33"/>
  <c r="AA45" i="33"/>
  <c r="AC11" i="36"/>
  <c r="AC10" i="36"/>
  <c r="AB45" i="34"/>
  <c r="AB35" i="35"/>
  <c r="W44" i="33"/>
  <c r="AC29" i="37"/>
  <c r="J33" i="34"/>
  <c r="AC33" i="34" s="1"/>
  <c r="AB36" i="34"/>
  <c r="J40" i="34"/>
  <c r="W40" i="34" s="1"/>
  <c r="F16" i="35"/>
  <c r="AA16" i="35" s="1"/>
  <c r="W42" i="33"/>
  <c r="J35" i="34"/>
  <c r="W35" i="34" s="1"/>
  <c r="G107" i="34"/>
  <c r="H107" i="34" s="1"/>
  <c r="I107" i="34" s="1"/>
  <c r="J107" i="34" s="1"/>
  <c r="K107" i="34" s="1"/>
  <c r="L107" i="34" s="1"/>
  <c r="M107" i="34" s="1"/>
  <c r="S30" i="36"/>
  <c r="H16" i="36"/>
  <c r="G103" i="37"/>
  <c r="H103" i="37" s="1"/>
  <c r="I103" i="37" s="1"/>
  <c r="J103" i="37" s="1"/>
  <c r="K103" i="37" s="1"/>
  <c r="L103" i="37" s="1"/>
  <c r="M103" i="37" s="1"/>
  <c r="H35" i="37"/>
  <c r="AB35" i="37" s="1"/>
  <c r="S26" i="21"/>
  <c r="H32" i="21"/>
  <c r="U32" i="21" s="1"/>
  <c r="U26" i="21"/>
  <c r="S33" i="21"/>
  <c r="W9" i="21"/>
  <c r="J32" i="21"/>
  <c r="AC32" i="21"/>
  <c r="AC5" i="3"/>
  <c r="F17" i="21"/>
  <c r="S17" i="21" s="1"/>
  <c r="H17" i="21"/>
  <c r="AB17" i="21" s="1"/>
  <c r="J17" i="21"/>
  <c r="H37" i="21"/>
  <c r="F40" i="21"/>
  <c r="H40" i="21"/>
  <c r="AB40" i="21" s="1"/>
  <c r="E119" i="21"/>
  <c r="F119" i="21" s="1"/>
  <c r="G119" i="21" s="1"/>
  <c r="H119" i="21" s="1"/>
  <c r="I119" i="21" s="1"/>
  <c r="J119" i="21" s="1"/>
  <c r="K119" i="21" s="1"/>
  <c r="L119" i="21" s="1"/>
  <c r="M119" i="21" s="1"/>
  <c r="S8" i="33"/>
  <c r="F10" i="33"/>
  <c r="F11" i="33"/>
  <c r="J15" i="33"/>
  <c r="W15" i="33" s="1"/>
  <c r="H19" i="33"/>
  <c r="F32" i="33"/>
  <c r="J32" i="33"/>
  <c r="F35" i="33"/>
  <c r="AA35" i="33" s="1"/>
  <c r="F11" i="34"/>
  <c r="S11" i="34" s="1"/>
  <c r="E80" i="34"/>
  <c r="F80" i="34" s="1"/>
  <c r="H17" i="34"/>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G96" i="37" s="1"/>
  <c r="H96" i="37" s="1"/>
  <c r="I96" i="37" s="1"/>
  <c r="J96" i="37" s="1"/>
  <c r="K96" i="37" s="1"/>
  <c r="L96" i="37" s="1"/>
  <c r="M96" i="37" s="1"/>
  <c r="H32" i="37"/>
  <c r="AB32" i="37" s="1"/>
  <c r="F19" i="39"/>
  <c r="S19" i="39" s="1"/>
  <c r="H19" i="39"/>
  <c r="J19" i="39"/>
  <c r="F43" i="39"/>
  <c r="S43" i="39" s="1"/>
  <c r="H43" i="39"/>
  <c r="J43" i="39"/>
  <c r="AC43" i="39" s="1"/>
  <c r="F99" i="37"/>
  <c r="G99" i="37" s="1"/>
  <c r="H99" i="37" s="1"/>
  <c r="U25" i="35"/>
  <c r="U31" i="34"/>
  <c r="W40" i="37"/>
  <c r="S28" i="33"/>
  <c r="AC19" i="33"/>
  <c r="W19" i="33"/>
  <c r="U43" i="34"/>
  <c r="AC34" i="37"/>
  <c r="AA35" i="37"/>
  <c r="AA32" i="21"/>
  <c r="U38" i="21"/>
  <c r="BE5" i="3"/>
  <c r="F42" i="21"/>
  <c r="AA42" i="21" s="1"/>
  <c r="U40" i="33"/>
  <c r="AA35" i="34"/>
  <c r="S35" i="34"/>
  <c r="E90" i="34"/>
  <c r="F90" i="34" s="1"/>
  <c r="G90" i="34" s="1"/>
  <c r="H90" i="34" s="1"/>
  <c r="I90" i="34" s="1"/>
  <c r="J90" i="34" s="1"/>
  <c r="K90" i="34" s="1"/>
  <c r="L90" i="34" s="1"/>
  <c r="M90" i="34" s="1"/>
  <c r="H27" i="34"/>
  <c r="AB27" i="34" s="1"/>
  <c r="AB8" i="35"/>
  <c r="U8" i="35"/>
  <c r="J14" i="35"/>
  <c r="AC14" i="35"/>
  <c r="F14" i="35"/>
  <c r="H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F11" i="36"/>
  <c r="S11" i="36" s="1"/>
  <c r="W16" i="36"/>
  <c r="E78" i="36"/>
  <c r="F78" i="36" s="1"/>
  <c r="G78" i="36" s="1"/>
  <c r="H78" i="36" s="1"/>
  <c r="I78" i="36" s="1"/>
  <c r="J78" i="36" s="1"/>
  <c r="K78" i="36" s="1"/>
  <c r="L78" i="36" s="1"/>
  <c r="M78" i="36" s="1"/>
  <c r="F26" i="36"/>
  <c r="S26" i="36" s="1"/>
  <c r="AB34" i="36"/>
  <c r="H33" i="36"/>
  <c r="F33" i="36"/>
  <c r="AA33" i="36" s="1"/>
  <c r="H27" i="36"/>
  <c r="AA31" i="36"/>
  <c r="AA30" i="37"/>
  <c r="AC30" i="37"/>
  <c r="W31" i="37"/>
  <c r="F17" i="39"/>
  <c r="H17" i="39"/>
  <c r="U17" i="39" s="1"/>
  <c r="J17" i="39"/>
  <c r="F21" i="39"/>
  <c r="S21" i="39" s="1"/>
  <c r="H21" i="39"/>
  <c r="J21" i="39"/>
  <c r="W21" i="39" s="1"/>
  <c r="F33" i="39"/>
  <c r="H33" i="39"/>
  <c r="J33" i="39"/>
  <c r="AC33" i="39" s="1"/>
  <c r="F44" i="39"/>
  <c r="S44" i="39" s="1"/>
  <c r="H44" i="39"/>
  <c r="U44" i="39" s="1"/>
  <c r="J44" i="39"/>
  <c r="W44" i="39" s="1"/>
  <c r="F128" i="39"/>
  <c r="G128" i="39" s="1"/>
  <c r="H128" i="39" s="1"/>
  <c r="I128" i="39" s="1"/>
  <c r="J128" i="39" s="1"/>
  <c r="K128" i="39" s="1"/>
  <c r="L128" i="39" s="1"/>
  <c r="M128" i="39" s="1"/>
  <c r="F46" i="39"/>
  <c r="H46" i="39"/>
  <c r="J46" i="39"/>
  <c r="W46" i="39" s="1"/>
  <c r="F29" i="39"/>
  <c r="AA29" i="39" s="1"/>
  <c r="E103" i="39"/>
  <c r="F103" i="39" s="1"/>
  <c r="G103" i="39" s="1"/>
  <c r="H29" i="39"/>
  <c r="F34" i="39"/>
  <c r="H34" i="39"/>
  <c r="AB34" i="39" s="1"/>
  <c r="J34" i="39"/>
  <c r="H39" i="39"/>
  <c r="J39" i="39"/>
  <c r="AC39" i="39" s="1"/>
  <c r="J29" i="35"/>
  <c r="F29" i="35"/>
  <c r="AC30" i="36"/>
  <c r="BJ5" i="3"/>
  <c r="BB5" i="3"/>
  <c r="F36" i="44"/>
  <c r="F114" i="34"/>
  <c r="G114" i="34" s="1"/>
  <c r="H114" i="34" s="1"/>
  <c r="I114" i="34" s="1"/>
  <c r="J114" i="34" s="1"/>
  <c r="K114" i="34" s="1"/>
  <c r="L114" i="34" s="1"/>
  <c r="M114" i="34" s="1"/>
  <c r="H38" i="34"/>
  <c r="U38" i="34" s="1"/>
  <c r="H30" i="40"/>
  <c r="AB30" i="40" s="1"/>
  <c r="J30" i="40"/>
  <c r="AC30" i="40" s="1"/>
  <c r="F38" i="40"/>
  <c r="AA38" i="40" s="1"/>
  <c r="AA36" i="34"/>
  <c r="AB33" i="21"/>
  <c r="U8" i="21"/>
  <c r="AC36" i="21"/>
  <c r="U8" i="33"/>
  <c r="E106" i="33"/>
  <c r="F106" i="33" s="1"/>
  <c r="G106" i="33" s="1"/>
  <c r="H34" i="33"/>
  <c r="U34" i="33" s="1"/>
  <c r="F34" i="33"/>
  <c r="E121" i="33"/>
  <c r="F41" i="33"/>
  <c r="S41" i="33" s="1"/>
  <c r="AC34" i="34"/>
  <c r="W34" i="34"/>
  <c r="S39" i="34"/>
  <c r="F15" i="34"/>
  <c r="AA15" i="34" s="1"/>
  <c r="AC28" i="35"/>
  <c r="J20" i="35"/>
  <c r="E72" i="35"/>
  <c r="F72" i="35" s="1"/>
  <c r="G72" i="35" s="1"/>
  <c r="H22" i="35"/>
  <c r="H23" i="35"/>
  <c r="U23" i="35" s="1"/>
  <c r="F23" i="35"/>
  <c r="AA23" i="35" s="1"/>
  <c r="W12" i="36"/>
  <c r="U31" i="36"/>
  <c r="S8" i="37"/>
  <c r="AA8" i="37"/>
  <c r="F14" i="39"/>
  <c r="AA14" i="39" s="1"/>
  <c r="H14" i="39"/>
  <c r="AB14" i="39" s="1"/>
  <c r="J14" i="39"/>
  <c r="AC14" i="39" s="1"/>
  <c r="F16" i="39"/>
  <c r="AA16" i="39" s="1"/>
  <c r="H16" i="39"/>
  <c r="U16" i="39" s="1"/>
  <c r="J16" i="39"/>
  <c r="AC16" i="39" s="1"/>
  <c r="F23" i="39"/>
  <c r="AA23" i="39" s="1"/>
  <c r="F27" i="39"/>
  <c r="H27" i="39"/>
  <c r="AB27" i="39" s="1"/>
  <c r="J27" i="39"/>
  <c r="AC27" i="39" s="1"/>
  <c r="F15" i="40"/>
  <c r="J15" i="40"/>
  <c r="W15" i="40" s="1"/>
  <c r="H15" i="40"/>
  <c r="AB15" i="40" s="1"/>
  <c r="E92" i="40"/>
  <c r="F92" i="40" s="1"/>
  <c r="G92" i="40" s="1"/>
  <c r="H23" i="40"/>
  <c r="H36" i="33"/>
  <c r="AB36" i="33" s="1"/>
  <c r="H37" i="34"/>
  <c r="AB37" i="34" s="1"/>
  <c r="H25" i="39"/>
  <c r="J25" i="39"/>
  <c r="F25" i="39"/>
  <c r="F45" i="39"/>
  <c r="H45" i="39"/>
  <c r="J45" i="39"/>
  <c r="AC45" i="39" s="1"/>
  <c r="F47" i="39"/>
  <c r="AA47" i="39" s="1"/>
  <c r="H47" i="39"/>
  <c r="AB47" i="39" s="1"/>
  <c r="J47" i="39"/>
  <c r="F41" i="39"/>
  <c r="H41" i="39"/>
  <c r="AB41" i="39" s="1"/>
  <c r="J41" i="39"/>
  <c r="AC41" i="39" s="1"/>
  <c r="J25" i="40"/>
  <c r="J32" i="40"/>
  <c r="H32" i="40"/>
  <c r="U32" i="40" s="1"/>
  <c r="H33" i="40"/>
  <c r="F33" i="40"/>
  <c r="J33" i="40"/>
  <c r="AC33" i="40" s="1"/>
  <c r="H35" i="40"/>
  <c r="F35" i="40"/>
  <c r="AA35" i="40" s="1"/>
  <c r="J35" i="40"/>
  <c r="H38" i="39"/>
  <c r="U38" i="39" s="1"/>
  <c r="J16" i="40"/>
  <c r="W16" i="40" s="1"/>
  <c r="J14" i="40"/>
  <c r="H40" i="40"/>
  <c r="U40" i="40" s="1"/>
  <c r="H34" i="40"/>
  <c r="U34" i="40" s="1"/>
  <c r="J42" i="40"/>
  <c r="AC42" i="40" s="1"/>
  <c r="J40" i="40"/>
  <c r="AC40" i="40" s="1"/>
  <c r="J34" i="40"/>
  <c r="F32" i="40"/>
  <c r="AA32" i="40" s="1"/>
  <c r="M1" i="46"/>
  <c r="M6" i="46"/>
  <c r="C6" i="46" s="1"/>
  <c r="M10" i="46"/>
  <c r="N2" i="46"/>
  <c r="N5" i="46"/>
  <c r="F58" i="46"/>
  <c r="F47" i="46"/>
  <c r="N7" i="46"/>
  <c r="M7" i="46"/>
  <c r="M11" i="46"/>
  <c r="N3" i="46"/>
  <c r="N10" i="46"/>
  <c r="F34" i="44"/>
  <c r="F27" i="43"/>
  <c r="F66" i="9"/>
  <c r="P72" i="9" s="1"/>
  <c r="F71" i="9"/>
  <c r="F72" i="9"/>
  <c r="S47" i="39"/>
  <c r="U37" i="34"/>
  <c r="J23" i="40"/>
  <c r="AC23" i="40" s="1"/>
  <c r="F23" i="40"/>
  <c r="S23" i="40" s="1"/>
  <c r="AC15" i="40"/>
  <c r="W27" i="39"/>
  <c r="AB16" i="39"/>
  <c r="AB23" i="35"/>
  <c r="H20" i="35"/>
  <c r="U20" i="35" s="1"/>
  <c r="F20" i="35"/>
  <c r="S20" i="35" s="1"/>
  <c r="H15" i="34"/>
  <c r="J15" i="34"/>
  <c r="W15" i="34" s="1"/>
  <c r="H41" i="33"/>
  <c r="F121" i="33"/>
  <c r="G121" i="33" s="1"/>
  <c r="H121" i="33" s="1"/>
  <c r="I121" i="33" s="1"/>
  <c r="J121" i="33" s="1"/>
  <c r="K121" i="33" s="1"/>
  <c r="L121" i="33" s="1"/>
  <c r="M121" i="33" s="1"/>
  <c r="F30" i="40"/>
  <c r="AA30" i="40" s="1"/>
  <c r="AB38" i="34"/>
  <c r="J29" i="39"/>
  <c r="AB17" i="39"/>
  <c r="AA11" i="36"/>
  <c r="AA14" i="35"/>
  <c r="S14" i="35"/>
  <c r="F33" i="37"/>
  <c r="S33" i="37" s="1"/>
  <c r="AB19" i="39"/>
  <c r="U19" i="39"/>
  <c r="U46" i="34"/>
  <c r="AC30" i="34"/>
  <c r="AA14" i="34"/>
  <c r="W12" i="34"/>
  <c r="U29" i="33"/>
  <c r="AC13" i="33"/>
  <c r="AA11" i="34"/>
  <c r="H15" i="33"/>
  <c r="U17" i="21"/>
  <c r="AB34" i="40"/>
  <c r="H25" i="40"/>
  <c r="AB25" i="40" s="1"/>
  <c r="F94" i="40"/>
  <c r="G94" i="40" s="1"/>
  <c r="J37" i="34"/>
  <c r="AC37" i="34" s="1"/>
  <c r="J36" i="33"/>
  <c r="W36" i="33" s="1"/>
  <c r="H23" i="39"/>
  <c r="J23" i="39"/>
  <c r="AC23" i="39" s="1"/>
  <c r="G97" i="39"/>
  <c r="S16" i="39"/>
  <c r="S15" i="34"/>
  <c r="AA41" i="33"/>
  <c r="H106" i="33"/>
  <c r="I106" i="33" s="1"/>
  <c r="J106" i="33" s="1"/>
  <c r="K106" i="33" s="1"/>
  <c r="L106" i="33" s="1"/>
  <c r="M106" i="33" s="1"/>
  <c r="J34" i="33"/>
  <c r="AC34" i="33" s="1"/>
  <c r="W39" i="39"/>
  <c r="S39" i="39"/>
  <c r="U34" i="39"/>
  <c r="AB44" i="39"/>
  <c r="AA33" i="39"/>
  <c r="S33" i="39"/>
  <c r="U11" i="36"/>
  <c r="W14" i="35"/>
  <c r="F27" i="34"/>
  <c r="S27" i="34" s="1"/>
  <c r="W43" i="39"/>
  <c r="AA43" i="39"/>
  <c r="AA19" i="39"/>
  <c r="F32" i="37"/>
  <c r="S32" i="37" s="1"/>
  <c r="S46" i="34"/>
  <c r="U32" i="34"/>
  <c r="U14" i="34"/>
  <c r="AC14" i="34"/>
  <c r="U12" i="34"/>
  <c r="AB13" i="33"/>
  <c r="G80" i="34"/>
  <c r="F17" i="34"/>
  <c r="AA17" i="34" s="1"/>
  <c r="J17" i="34"/>
  <c r="AC17" i="34" s="1"/>
  <c r="H11" i="34"/>
  <c r="AB11" i="34" s="1"/>
  <c r="J35" i="33"/>
  <c r="W35" i="33" s="1"/>
  <c r="AC15" i="33"/>
  <c r="H11" i="33"/>
  <c r="U11" i="33" s="1"/>
  <c r="H10" i="33"/>
  <c r="U10" i="33" s="1"/>
  <c r="J10" i="33"/>
  <c r="U40" i="21"/>
  <c r="U13" i="39"/>
  <c r="AC16" i="35"/>
  <c r="J11" i="34"/>
  <c r="S17" i="34"/>
  <c r="F25" i="40"/>
  <c r="AA25" i="40" s="1"/>
  <c r="J11" i="33"/>
  <c r="W11" i="33" s="1"/>
  <c r="H33" i="37"/>
  <c r="AB33" i="37" s="1"/>
  <c r="AB20" i="35"/>
  <c r="D73" i="9"/>
  <c r="N73" i="9" s="1"/>
  <c r="AP11" i="1"/>
  <c r="J51" i="15"/>
  <c r="B11" i="1"/>
  <c r="E11" i="1" s="1"/>
  <c r="K11" i="1"/>
  <c r="M11" i="1" s="1"/>
  <c r="B9" i="1"/>
  <c r="E9" i="1" s="1"/>
  <c r="K9" i="1"/>
  <c r="M9" i="1" s="1"/>
  <c r="B7" i="1"/>
  <c r="E7" i="1" s="1"/>
  <c r="O7" i="1"/>
  <c r="P7" i="1"/>
  <c r="C20" i="43"/>
  <c r="F6" i="1"/>
  <c r="G11" i="1"/>
  <c r="M22" i="44"/>
  <c r="F32" i="15"/>
  <c r="F59" i="15" s="1"/>
  <c r="F29" i="12"/>
  <c r="F70" i="9"/>
  <c r="D86" i="9"/>
  <c r="M20" i="44"/>
  <c r="F31" i="43"/>
  <c r="F30" i="44"/>
  <c r="AA26" i="36"/>
  <c r="H20" i="36"/>
  <c r="U20" i="36" s="1"/>
  <c r="G68" i="36"/>
  <c r="J20" i="36"/>
  <c r="AC20" i="36" s="1"/>
  <c r="F20" i="36"/>
  <c r="S20" i="36" s="1"/>
  <c r="J14" i="36"/>
  <c r="W14" i="36" s="1"/>
  <c r="H14" i="36"/>
  <c r="U14" i="36" s="1"/>
  <c r="F14" i="36"/>
  <c r="S33" i="36"/>
  <c r="S16" i="36"/>
  <c r="AC33" i="35"/>
  <c r="AA13" i="35"/>
  <c r="S8" i="35"/>
  <c r="S23" i="35"/>
  <c r="S16" i="35"/>
  <c r="AC18" i="35"/>
  <c r="W18" i="35"/>
  <c r="U18" i="35"/>
  <c r="AB18" i="35"/>
  <c r="AB30" i="35"/>
  <c r="S27" i="35"/>
  <c r="S28" i="35"/>
  <c r="AB9" i="37"/>
  <c r="W12" i="37"/>
  <c r="AA9" i="37"/>
  <c r="W28" i="37"/>
  <c r="AA31" i="37"/>
  <c r="U32" i="37"/>
  <c r="J33" i="37"/>
  <c r="W33" i="37" s="1"/>
  <c r="I99" i="37"/>
  <c r="J99" i="37" s="1"/>
  <c r="K99" i="37" s="1"/>
  <c r="L99" i="37" s="1"/>
  <c r="M99" i="37" s="1"/>
  <c r="S29" i="37"/>
  <c r="J19" i="37"/>
  <c r="F19" i="37"/>
  <c r="AA19" i="37" s="1"/>
  <c r="H19" i="37"/>
  <c r="J17" i="37"/>
  <c r="AC17" i="37" s="1"/>
  <c r="S15" i="37"/>
  <c r="AC10" i="37"/>
  <c r="AC21" i="37"/>
  <c r="W21" i="37"/>
  <c r="AC9" i="37"/>
  <c r="U35" i="37"/>
  <c r="U8" i="37"/>
  <c r="AB21" i="37"/>
  <c r="U21" i="37"/>
  <c r="S40" i="37"/>
  <c r="AA11" i="37"/>
  <c r="S10" i="37"/>
  <c r="W46" i="34"/>
  <c r="AC45" i="34"/>
  <c r="W33" i="34"/>
  <c r="U30" i="34"/>
  <c r="S32" i="34"/>
  <c r="AB33" i="34"/>
  <c r="AA12" i="34"/>
  <c r="AC35" i="34"/>
  <c r="AA30" i="34"/>
  <c r="AC32" i="34"/>
  <c r="U34" i="34"/>
  <c r="J25" i="34"/>
  <c r="H25" i="34"/>
  <c r="F25" i="34"/>
  <c r="J23" i="34"/>
  <c r="AC23" i="34" s="1"/>
  <c r="G86" i="34"/>
  <c r="F23" i="34"/>
  <c r="S23" i="34" s="1"/>
  <c r="H23" i="34"/>
  <c r="U23" i="34" s="1"/>
  <c r="W17" i="34"/>
  <c r="U11" i="34"/>
  <c r="U10" i="34"/>
  <c r="W37" i="34"/>
  <c r="AC40" i="34"/>
  <c r="W44" i="34"/>
  <c r="W29" i="34"/>
  <c r="AC21" i="34"/>
  <c r="W21" i="34"/>
  <c r="AB21" i="34"/>
  <c r="U21" i="34"/>
  <c r="U19" i="34"/>
  <c r="AB41" i="34"/>
  <c r="AA41" i="34"/>
  <c r="S10" i="34"/>
  <c r="U37" i="33"/>
  <c r="S35" i="33"/>
  <c r="AB11" i="33"/>
  <c r="S29" i="33"/>
  <c r="W39" i="33"/>
  <c r="AB34" i="33"/>
  <c r="AB26" i="33"/>
  <c r="H25" i="33"/>
  <c r="AB25" i="33" s="1"/>
  <c r="J25" i="33"/>
  <c r="W25" i="33" s="1"/>
  <c r="F25" i="33"/>
  <c r="AA25" i="33" s="1"/>
  <c r="J23" i="33"/>
  <c r="F23" i="33"/>
  <c r="AA23" i="33" s="1"/>
  <c r="H23" i="33"/>
  <c r="U23" i="33" s="1"/>
  <c r="F79" i="33"/>
  <c r="G79" i="33" s="1"/>
  <c r="F17" i="33"/>
  <c r="AA17" i="33" s="1"/>
  <c r="H17" i="33"/>
  <c r="AB17" i="33" s="1"/>
  <c r="J17" i="33"/>
  <c r="W17" i="33" s="1"/>
  <c r="AC11" i="33"/>
  <c r="AC21" i="33"/>
  <c r="W21" i="33"/>
  <c r="U25" i="33"/>
  <c r="AB21" i="33"/>
  <c r="U21" i="33"/>
  <c r="AA21" i="33"/>
  <c r="S21" i="33"/>
  <c r="AA36" i="33"/>
  <c r="W32" i="21"/>
  <c r="W43" i="21"/>
  <c r="AA37" i="21"/>
  <c r="S42" i="21"/>
  <c r="AB32" i="21"/>
  <c r="AC46" i="21"/>
  <c r="AC26" i="21"/>
  <c r="F85" i="21"/>
  <c r="G85" i="21" s="1"/>
  <c r="J23" i="21"/>
  <c r="W23" i="21" s="1"/>
  <c r="F23" i="21"/>
  <c r="AA23" i="21" s="1"/>
  <c r="H23" i="21"/>
  <c r="U23" i="21" s="1"/>
  <c r="AA17" i="21"/>
  <c r="F15" i="21"/>
  <c r="F77" i="21"/>
  <c r="G77" i="21" s="1"/>
  <c r="J15" i="21"/>
  <c r="W15" i="21" s="1"/>
  <c r="H15" i="21"/>
  <c r="AB15" i="21" s="1"/>
  <c r="AC11" i="21"/>
  <c r="W13" i="21"/>
  <c r="AC23" i="21"/>
  <c r="AC21" i="21"/>
  <c r="W21" i="21"/>
  <c r="AC19" i="21"/>
  <c r="AC38" i="21"/>
  <c r="AB21" i="21"/>
  <c r="U21" i="21"/>
  <c r="W33" i="40"/>
  <c r="U15" i="40"/>
  <c r="W11" i="40"/>
  <c r="W42" i="40"/>
  <c r="F37" i="40"/>
  <c r="AA37" i="40" s="1"/>
  <c r="J37" i="40"/>
  <c r="AC37" i="40" s="1"/>
  <c r="H37" i="40"/>
  <c r="AB37" i="40" s="1"/>
  <c r="F39" i="40"/>
  <c r="S39" i="40" s="1"/>
  <c r="H39" i="40"/>
  <c r="U39" i="40" s="1"/>
  <c r="J39" i="40"/>
  <c r="W39" i="40" s="1"/>
  <c r="W38" i="40"/>
  <c r="H29" i="40"/>
  <c r="AB29" i="40" s="1"/>
  <c r="J29" i="40"/>
  <c r="AC29" i="40" s="1"/>
  <c r="H19" i="40"/>
  <c r="U19" i="40" s="1"/>
  <c r="J19" i="40"/>
  <c r="W19" i="40" s="1"/>
  <c r="AB40" i="40"/>
  <c r="U10" i="40"/>
  <c r="AC44" i="39"/>
  <c r="W13" i="39"/>
  <c r="S11" i="39"/>
  <c r="AA21" i="39"/>
  <c r="S29" i="39"/>
  <c r="AC21" i="39"/>
  <c r="S14" i="39"/>
  <c r="U11" i="39"/>
  <c r="U41" i="39"/>
  <c r="AB38" i="39"/>
  <c r="U31" i="39"/>
  <c r="AB31" i="39"/>
  <c r="S38" i="39"/>
  <c r="B22" i="63"/>
  <c r="M20" i="15"/>
  <c r="D96" i="9"/>
  <c r="F28" i="15"/>
  <c r="M18" i="15"/>
  <c r="A18" i="64"/>
  <c r="B74" i="63" s="1"/>
  <c r="C53" i="10"/>
  <c r="A25" i="64" s="1"/>
  <c r="A18" i="51"/>
  <c r="B14" i="63" s="1"/>
  <c r="C24" i="12"/>
  <c r="F3" i="35"/>
  <c r="K1" i="43"/>
  <c r="K1" i="12"/>
  <c r="G1" i="44"/>
  <c r="BK5" i="3"/>
  <c r="BO5" i="3"/>
  <c r="BP5" i="3"/>
  <c r="G29" i="6" s="1"/>
  <c r="BN5" i="3"/>
  <c r="BC5" i="3"/>
  <c r="E12" i="6" s="1"/>
  <c r="BD5" i="3"/>
  <c r="BR5" i="3"/>
  <c r="G28" i="6" s="1"/>
  <c r="BS5" i="3"/>
  <c r="BQ5" i="3"/>
  <c r="BM5" i="3"/>
  <c r="F29" i="6" s="1"/>
  <c r="H52" i="46"/>
  <c r="G28" i="12"/>
  <c r="G22" i="43"/>
  <c r="G26" i="12"/>
  <c r="D24" i="44"/>
  <c r="D26" i="44"/>
  <c r="G27" i="12"/>
  <c r="G23" i="43"/>
  <c r="G21" i="43"/>
  <c r="H54" i="46"/>
  <c r="H55" i="46"/>
  <c r="E11" i="46"/>
  <c r="E10" i="46"/>
  <c r="N8" i="46"/>
  <c r="N4" i="46"/>
  <c r="N1" i="46"/>
  <c r="M9" i="46"/>
  <c r="M2" i="46"/>
  <c r="N11" i="46"/>
  <c r="N9" i="46"/>
  <c r="F69" i="46"/>
  <c r="H75" i="46" s="1"/>
  <c r="M4" i="46"/>
  <c r="M12" i="46"/>
  <c r="M8" i="46"/>
  <c r="M3" i="46"/>
  <c r="M5" i="46"/>
  <c r="H6" i="48"/>
  <c r="E9" i="46"/>
  <c r="H15" i="48"/>
  <c r="H5" i="48"/>
  <c r="H14" i="48"/>
  <c r="F38" i="46"/>
  <c r="F36" i="46"/>
  <c r="F34" i="46"/>
  <c r="J17" i="46"/>
  <c r="C17" i="46"/>
  <c r="F39" i="46"/>
  <c r="H13" i="48"/>
  <c r="H11" i="48"/>
  <c r="E8" i="46"/>
  <c r="I17" i="46"/>
  <c r="E17" i="46"/>
  <c r="D71" i="46"/>
  <c r="D84" i="46"/>
  <c r="D69" i="46"/>
  <c r="E69" i="46" s="1"/>
  <c r="B67" i="46" s="1"/>
  <c r="E47" i="46"/>
  <c r="B45" i="46" s="1"/>
  <c r="E58" i="46"/>
  <c r="B56" i="46" s="1"/>
  <c r="A4" i="64"/>
  <c r="A4" i="51"/>
  <c r="B6" i="63" s="1"/>
  <c r="C51" i="10"/>
  <c r="H58" i="46"/>
  <c r="H62" i="46"/>
  <c r="H71" i="46"/>
  <c r="H76" i="46"/>
  <c r="I100" i="46"/>
  <c r="N100" i="46"/>
  <c r="H100" i="46"/>
  <c r="F108" i="46"/>
  <c r="E100" i="46"/>
  <c r="G100" i="46"/>
  <c r="H65" i="46"/>
  <c r="C100" i="46"/>
  <c r="J100" i="46"/>
  <c r="M100" i="46"/>
  <c r="U12" i="35"/>
  <c r="W11" i="35"/>
  <c r="C24" i="9"/>
  <c r="C25" i="9"/>
  <c r="AP7" i="1"/>
  <c r="G7" i="1"/>
  <c r="AP9" i="1"/>
  <c r="G9" i="1"/>
  <c r="AP8" i="1"/>
  <c r="G8" i="1"/>
  <c r="D46" i="36"/>
  <c r="E46" i="36" s="1"/>
  <c r="C59" i="34"/>
  <c r="D59" i="34" s="1"/>
  <c r="E59" i="34" s="1"/>
  <c r="F59" i="34" s="1"/>
  <c r="C48" i="35"/>
  <c r="D48" i="35" s="1"/>
  <c r="C52" i="37"/>
  <c r="D52" i="37" s="1"/>
  <c r="C67" i="40"/>
  <c r="C72" i="39"/>
  <c r="H77" i="46"/>
  <c r="H69" i="46"/>
  <c r="H63" i="46"/>
  <c r="H64" i="46"/>
  <c r="H10" i="48"/>
  <c r="O13" i="1"/>
  <c r="P13" i="1"/>
  <c r="K10" i="1"/>
  <c r="M10" i="1" s="1"/>
  <c r="O10" i="1"/>
  <c r="P10" i="1"/>
  <c r="S13" i="1"/>
  <c r="R13" i="1"/>
  <c r="B6" i="1"/>
  <c r="E6" i="1" s="1"/>
  <c r="B10" i="1"/>
  <c r="E10" i="1" s="1"/>
  <c r="B8" i="1"/>
  <c r="E8" i="1" s="1"/>
  <c r="B12" i="1"/>
  <c r="E12" i="1" s="1"/>
  <c r="K6" i="1"/>
  <c r="M6" i="1" s="1"/>
  <c r="O9" i="1"/>
  <c r="P9" i="1"/>
  <c r="O11" i="1"/>
  <c r="P11" i="1"/>
  <c r="O12" i="1"/>
  <c r="P12" i="1"/>
  <c r="G1" i="15"/>
  <c r="F66" i="36"/>
  <c r="H18" i="36"/>
  <c r="U18" i="36" s="1"/>
  <c r="S25" i="36"/>
  <c r="W28" i="36"/>
  <c r="U13" i="36"/>
  <c r="W29" i="36"/>
  <c r="S9" i="36"/>
  <c r="AC30" i="35"/>
  <c r="AA33" i="35"/>
  <c r="U32" i="35"/>
  <c r="W22" i="35"/>
  <c r="S32" i="35"/>
  <c r="AC33" i="37"/>
  <c r="U33" i="37"/>
  <c r="AC15" i="37"/>
  <c r="S12" i="37"/>
  <c r="W36" i="37"/>
  <c r="AB28" i="37"/>
  <c r="W13" i="37"/>
  <c r="AB35" i="34"/>
  <c r="AB29" i="34"/>
  <c r="S47" i="34"/>
  <c r="S8" i="34"/>
  <c r="AA19" i="33"/>
  <c r="AC25" i="33"/>
  <c r="S43" i="33"/>
  <c r="AB12" i="33"/>
  <c r="S39" i="21"/>
  <c r="W25" i="21"/>
  <c r="AC37" i="21"/>
  <c r="U27" i="21"/>
  <c r="AC27" i="21"/>
  <c r="G96" i="40"/>
  <c r="H27" i="40" s="1"/>
  <c r="J27" i="40"/>
  <c r="AC27" i="40" s="1"/>
  <c r="G105" i="39"/>
  <c r="J31" i="39"/>
  <c r="AC31" i="39" s="1"/>
  <c r="W41" i="39"/>
  <c r="AC46" i="39"/>
  <c r="W42" i="39"/>
  <c r="W36" i="39"/>
  <c r="W23" i="39"/>
  <c r="U14" i="39"/>
  <c r="W16" i="39"/>
  <c r="W45" i="39"/>
  <c r="AA44" i="39"/>
  <c r="W10" i="39"/>
  <c r="W11" i="39"/>
  <c r="U42" i="39"/>
  <c r="W40" i="39"/>
  <c r="C27" i="39"/>
  <c r="C17" i="40"/>
  <c r="C19" i="40"/>
  <c r="C17" i="39"/>
  <c r="C19" i="39"/>
  <c r="C21" i="39"/>
  <c r="C23" i="40"/>
  <c r="B48" i="46"/>
  <c r="B51" i="46"/>
  <c r="B55" i="46"/>
  <c r="B59" i="46"/>
  <c r="B62" i="46"/>
  <c r="B66" i="46"/>
  <c r="B53" i="46"/>
  <c r="B64" i="46"/>
  <c r="D24" i="15"/>
  <c r="AG6" i="1"/>
  <c r="G6" i="1"/>
  <c r="AB20" i="36"/>
  <c r="AA20" i="36"/>
  <c r="AC14" i="36"/>
  <c r="AB14" i="36"/>
  <c r="S19" i="37"/>
  <c r="AB19" i="37"/>
  <c r="U19" i="37"/>
  <c r="W17" i="37"/>
  <c r="AA25" i="34"/>
  <c r="S25" i="34"/>
  <c r="W25" i="34"/>
  <c r="AC25" i="34"/>
  <c r="AA23" i="34"/>
  <c r="W23" i="34"/>
  <c r="S25" i="33"/>
  <c r="S23" i="33"/>
  <c r="AC17" i="33"/>
  <c r="S17" i="33"/>
  <c r="U17" i="33"/>
  <c r="AB23" i="21"/>
  <c r="U15" i="21"/>
  <c r="AC15" i="21"/>
  <c r="W31" i="39"/>
  <c r="E5" i="6"/>
  <c r="O6" i="1"/>
  <c r="P6" i="1"/>
  <c r="E14" i="6"/>
  <c r="E66" i="39" s="1"/>
  <c r="E15" i="6"/>
  <c r="E62" i="40" s="1"/>
  <c r="E13" i="6"/>
  <c r="E60" i="40" s="1"/>
  <c r="H70" i="46"/>
  <c r="A9" i="64"/>
  <c r="A9" i="51"/>
  <c r="B9" i="63" s="1"/>
  <c r="A25" i="51"/>
  <c r="B18" i="63" s="1"/>
  <c r="E52" i="37"/>
  <c r="F52" i="37" s="1"/>
  <c r="E48" i="35"/>
  <c r="F48" i="35" s="1"/>
  <c r="G48" i="35" s="1"/>
  <c r="D72" i="39"/>
  <c r="E70" i="39"/>
  <c r="F70" i="39" s="1"/>
  <c r="D67" i="40"/>
  <c r="E65" i="40"/>
  <c r="F65" i="40" s="1"/>
  <c r="G39" i="46"/>
  <c r="I39" i="46" s="1"/>
  <c r="E4" i="4"/>
  <c r="B21" i="55" s="1"/>
  <c r="B72" i="63" s="1"/>
  <c r="G66" i="36"/>
  <c r="J18" i="36"/>
  <c r="W18" i="36" s="1"/>
  <c r="D21" i="12"/>
  <c r="C21" i="12" s="1"/>
  <c r="D12" i="11"/>
  <c r="C12" i="11"/>
  <c r="L20" i="6"/>
  <c r="L19" i="6"/>
  <c r="L27" i="6" s="1"/>
  <c r="E61" i="40"/>
  <c r="O14" i="1"/>
  <c r="O16" i="1"/>
  <c r="P14" i="1"/>
  <c r="P16" i="1"/>
  <c r="C13" i="12" s="1"/>
  <c r="C17" i="12" s="1"/>
  <c r="C45" i="9"/>
  <c r="C44" i="9"/>
  <c r="G14" i="66" s="1"/>
  <c r="B6" i="66" s="1"/>
  <c r="O40" i="9"/>
  <c r="R7" i="54" s="1"/>
  <c r="B52" i="63" s="1"/>
  <c r="N69" i="9"/>
  <c r="M84" i="9" s="1"/>
  <c r="N84" i="9" s="1"/>
  <c r="K29" i="9"/>
  <c r="M88" i="9"/>
  <c r="N88" i="9" s="1"/>
  <c r="K30" i="9"/>
  <c r="N76" i="9"/>
  <c r="C46" i="9"/>
  <c r="I14" i="66" s="1"/>
  <c r="B8" i="66" s="1"/>
  <c r="E10" i="11" l="1"/>
  <c r="E10" i="87"/>
  <c r="C92" i="9"/>
  <c r="E59" i="40"/>
  <c r="E64" i="39"/>
  <c r="G30" i="6"/>
  <c r="E29" i="6"/>
  <c r="K15" i="1" s="1"/>
  <c r="U36" i="35"/>
  <c r="AB36" i="35"/>
  <c r="E67" i="39"/>
  <c r="E65" i="39"/>
  <c r="H72" i="46"/>
  <c r="E11" i="6"/>
  <c r="E10" i="6"/>
  <c r="AB19" i="40"/>
  <c r="H74" i="46"/>
  <c r="H73" i="46"/>
  <c r="F28" i="6"/>
  <c r="E28" i="6" s="1"/>
  <c r="AB10" i="33"/>
  <c r="AC35" i="33"/>
  <c r="W34" i="33"/>
  <c r="AA33" i="37"/>
  <c r="W20" i="36"/>
  <c r="AC15" i="34"/>
  <c r="W14" i="39"/>
  <c r="S23" i="39"/>
  <c r="W40" i="40"/>
  <c r="AB13" i="35"/>
  <c r="B47" i="46"/>
  <c r="B47" i="86"/>
  <c r="B70" i="46"/>
  <c r="B70" i="86"/>
  <c r="B59" i="86"/>
  <c r="B48" i="86"/>
  <c r="B73" i="46"/>
  <c r="B73" i="86"/>
  <c r="B64" i="86"/>
  <c r="B53" i="86"/>
  <c r="B80" i="46"/>
  <c r="B80" i="86"/>
  <c r="F9" i="33"/>
  <c r="J36" i="35"/>
  <c r="F80" i="46"/>
  <c r="B65" i="46"/>
  <c r="B74" i="86"/>
  <c r="B65" i="86"/>
  <c r="B54" i="86"/>
  <c r="AA5" i="59"/>
  <c r="AP6" i="1"/>
  <c r="B69" i="46"/>
  <c r="B69" i="86"/>
  <c r="B58" i="46"/>
  <c r="B58" i="86"/>
  <c r="B76" i="46"/>
  <c r="B76" i="86"/>
  <c r="B66" i="86"/>
  <c r="B55" i="86"/>
  <c r="B72" i="46"/>
  <c r="B72" i="86"/>
  <c r="B62" i="86"/>
  <c r="B51" i="86"/>
  <c r="B81" i="46"/>
  <c r="B81" i="86"/>
  <c r="B87" i="46"/>
  <c r="B87" i="86"/>
  <c r="B84" i="46"/>
  <c r="B84" i="86"/>
  <c r="B85" i="46"/>
  <c r="B85" i="86"/>
  <c r="C56" i="59"/>
  <c r="D56" i="59" s="1"/>
  <c r="B48" i="59"/>
  <c r="N47" i="59" s="1"/>
  <c r="Y10" i="59"/>
  <c r="Z10" i="59" s="1"/>
  <c r="AA8" i="59"/>
  <c r="X7" i="59"/>
  <c r="Y21" i="59"/>
  <c r="Z21" i="59" s="1"/>
  <c r="AD12" i="46"/>
  <c r="AH12" i="46"/>
  <c r="C42" i="1"/>
  <c r="G19" i="86"/>
  <c r="AA17" i="59"/>
  <c r="AA13" i="59"/>
  <c r="V10" i="59"/>
  <c r="G566" i="3"/>
  <c r="G564" i="3"/>
  <c r="G563" i="3"/>
  <c r="G550" i="3"/>
  <c r="G548" i="3"/>
  <c r="G547" i="3"/>
  <c r="G534" i="3"/>
  <c r="G532" i="3"/>
  <c r="G531" i="3"/>
  <c r="G518" i="3"/>
  <c r="G516" i="3"/>
  <c r="G515" i="3"/>
  <c r="G502" i="3"/>
  <c r="G500" i="3"/>
  <c r="G499" i="3"/>
  <c r="G486" i="3"/>
  <c r="G484" i="3"/>
  <c r="G483" i="3"/>
  <c r="G470" i="3"/>
  <c r="G468" i="3"/>
  <c r="G467" i="3"/>
  <c r="G454" i="3"/>
  <c r="G452" i="3"/>
  <c r="G451" i="3"/>
  <c r="G438" i="3"/>
  <c r="G436" i="3"/>
  <c r="G435" i="3"/>
  <c r="G422" i="3"/>
  <c r="G420" i="3"/>
  <c r="G419" i="3"/>
  <c r="G406" i="3"/>
  <c r="G404" i="3"/>
  <c r="G403" i="3"/>
  <c r="G390" i="3"/>
  <c r="G388" i="3"/>
  <c r="G387" i="3"/>
  <c r="G374" i="3"/>
  <c r="G372" i="3"/>
  <c r="G371" i="3"/>
  <c r="G358" i="3"/>
  <c r="G356" i="3"/>
  <c r="G355" i="3"/>
  <c r="G342" i="3"/>
  <c r="G340" i="3"/>
  <c r="G339" i="3"/>
  <c r="G326" i="3"/>
  <c r="G324" i="3"/>
  <c r="G323" i="3"/>
  <c r="G310" i="3"/>
  <c r="G308" i="3"/>
  <c r="G307" i="3"/>
  <c r="G296" i="3"/>
  <c r="G294" i="3"/>
  <c r="G293" i="3"/>
  <c r="G280" i="3"/>
  <c r="G278" i="3"/>
  <c r="G277" i="3"/>
  <c r="G264" i="3"/>
  <c r="G262" i="3"/>
  <c r="G261" i="3"/>
  <c r="G248" i="3"/>
  <c r="G246" i="3"/>
  <c r="G245" i="3"/>
  <c r="BA569" i="3"/>
  <c r="BA561" i="3"/>
  <c r="BA553" i="3"/>
  <c r="BA545" i="3"/>
  <c r="BA537" i="3"/>
  <c r="BA529" i="3"/>
  <c r="BA521" i="3"/>
  <c r="BA513" i="3"/>
  <c r="BA505" i="3"/>
  <c r="BA497" i="3"/>
  <c r="BA489" i="3"/>
  <c r="BA481" i="3"/>
  <c r="BA473" i="3"/>
  <c r="BA465" i="3"/>
  <c r="BA457" i="3"/>
  <c r="G224" i="3"/>
  <c r="G222" i="3"/>
  <c r="G221" i="3"/>
  <c r="G208" i="3"/>
  <c r="G206" i="3"/>
  <c r="G205" i="3"/>
  <c r="G192" i="3"/>
  <c r="G190" i="3"/>
  <c r="G189" i="3"/>
  <c r="G176" i="3"/>
  <c r="G174" i="3"/>
  <c r="G173" i="3"/>
  <c r="G160" i="3"/>
  <c r="G158" i="3"/>
  <c r="G157" i="3"/>
  <c r="G144" i="3"/>
  <c r="G142" i="3"/>
  <c r="G141" i="3"/>
  <c r="G128" i="3"/>
  <c r="G126" i="3"/>
  <c r="G125" i="3"/>
  <c r="G112" i="3"/>
  <c r="G110" i="3"/>
  <c r="G109" i="3"/>
  <c r="G94" i="3"/>
  <c r="G92" i="3"/>
  <c r="G91" i="3"/>
  <c r="G78" i="3"/>
  <c r="G76" i="3"/>
  <c r="G75" i="3"/>
  <c r="G62" i="3"/>
  <c r="G60" i="3"/>
  <c r="G58" i="3"/>
  <c r="G57" i="3"/>
  <c r="G46" i="3"/>
  <c r="G44" i="3"/>
  <c r="G43" i="3"/>
  <c r="G30" i="3"/>
  <c r="G28" i="3"/>
  <c r="G27" i="3"/>
  <c r="G14" i="3"/>
  <c r="BA565" i="3"/>
  <c r="BA557" i="3"/>
  <c r="BA549" i="3"/>
  <c r="BA541" i="3"/>
  <c r="BA533" i="3"/>
  <c r="BA525" i="3"/>
  <c r="BA517" i="3"/>
  <c r="BA509" i="3"/>
  <c r="BA501" i="3"/>
  <c r="BA493" i="3"/>
  <c r="BA485" i="3"/>
  <c r="BA477" i="3"/>
  <c r="BA469" i="3"/>
  <c r="BA461" i="3"/>
  <c r="BA453" i="3"/>
  <c r="BA445" i="3"/>
  <c r="BA437" i="3"/>
  <c r="BA429" i="3"/>
  <c r="BA421" i="3"/>
  <c r="BA413" i="3"/>
  <c r="BA404" i="3"/>
  <c r="BA396" i="3"/>
  <c r="BA388" i="3"/>
  <c r="BA380" i="3"/>
  <c r="BA372" i="3"/>
  <c r="BA364" i="3"/>
  <c r="BA356" i="3"/>
  <c r="BA348" i="3"/>
  <c r="BA340" i="3"/>
  <c r="BA332" i="3"/>
  <c r="BA324" i="3"/>
  <c r="BA316" i="3"/>
  <c r="BA308" i="3"/>
  <c r="BA300" i="3"/>
  <c r="BA292" i="3"/>
  <c r="BA284" i="3"/>
  <c r="BA276" i="3"/>
  <c r="BA268" i="3"/>
  <c r="BA260" i="3"/>
  <c r="BA194" i="3"/>
  <c r="BA186" i="3"/>
  <c r="BA178" i="3"/>
  <c r="BA170" i="3"/>
  <c r="BA162" i="3"/>
  <c r="L27" i="74"/>
  <c r="L28" i="74"/>
  <c r="D9" i="81"/>
  <c r="BA449" i="3"/>
  <c r="BA441" i="3"/>
  <c r="BA433" i="3"/>
  <c r="BA425" i="3"/>
  <c r="BA417" i="3"/>
  <c r="BA409" i="3"/>
  <c r="BA400" i="3"/>
  <c r="BA392" i="3"/>
  <c r="BA384" i="3"/>
  <c r="BA376" i="3"/>
  <c r="BA368" i="3"/>
  <c r="BA360" i="3"/>
  <c r="BA352" i="3"/>
  <c r="BA344" i="3"/>
  <c r="BA336" i="3"/>
  <c r="BA328" i="3"/>
  <c r="BA320" i="3"/>
  <c r="BA312" i="3"/>
  <c r="BA304" i="3"/>
  <c r="BA296" i="3"/>
  <c r="BA288" i="3"/>
  <c r="BA280" i="3"/>
  <c r="BA272" i="3"/>
  <c r="BA264" i="3"/>
  <c r="BA256" i="3"/>
  <c r="BA198" i="3"/>
  <c r="BA190" i="3"/>
  <c r="BA182" i="3"/>
  <c r="BA174" i="3"/>
  <c r="BA166" i="3"/>
  <c r="W24" i="36"/>
  <c r="AC24" i="36"/>
  <c r="AB26" i="37"/>
  <c r="U26" i="37"/>
  <c r="AA26" i="35"/>
  <c r="S26" i="35"/>
  <c r="AA40" i="40"/>
  <c r="S40" i="40"/>
  <c r="D48" i="59"/>
  <c r="O47" i="59"/>
  <c r="C41" i="59"/>
  <c r="D40" i="59"/>
  <c r="E72" i="39"/>
  <c r="E30" i="6"/>
  <c r="C16" i="46"/>
  <c r="AC13" i="36"/>
  <c r="AB28" i="36"/>
  <c r="H23" i="36"/>
  <c r="H24" i="36"/>
  <c r="F26" i="37"/>
  <c r="C18" i="9"/>
  <c r="C25" i="59"/>
  <c r="C45" i="59"/>
  <c r="X19" i="59"/>
  <c r="X16" i="59"/>
  <c r="X15" i="59"/>
  <c r="X12" i="59"/>
  <c r="X11" i="59"/>
  <c r="Y18" i="59"/>
  <c r="Z18" i="59" s="1"/>
  <c r="Y17" i="59"/>
  <c r="Z17" i="59" s="1"/>
  <c r="Y14" i="59"/>
  <c r="Z14" i="59" s="1"/>
  <c r="Y13" i="59"/>
  <c r="Z13" i="59" s="1"/>
  <c r="Y6" i="59"/>
  <c r="Z6" i="59" s="1"/>
  <c r="AA19" i="59"/>
  <c r="AA18" i="59"/>
  <c r="AA15" i="59"/>
  <c r="AA14" i="59"/>
  <c r="AA11" i="59"/>
  <c r="AB20" i="59"/>
  <c r="AB17" i="59"/>
  <c r="AB16" i="59"/>
  <c r="AB13" i="59"/>
  <c r="AB12" i="59"/>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60" i="3"/>
  <c r="G359" i="3"/>
  <c r="G352" i="3"/>
  <c r="G351" i="3"/>
  <c r="G344" i="3"/>
  <c r="G343" i="3"/>
  <c r="G336" i="3"/>
  <c r="G335" i="3"/>
  <c r="G328" i="3"/>
  <c r="G327" i="3"/>
  <c r="G320" i="3"/>
  <c r="G319" i="3"/>
  <c r="G312" i="3"/>
  <c r="G311" i="3"/>
  <c r="G304" i="3"/>
  <c r="G303" i="3"/>
  <c r="G298" i="3"/>
  <c r="G297" i="3"/>
  <c r="G290" i="3"/>
  <c r="G289" i="3"/>
  <c r="G282" i="3"/>
  <c r="G281" i="3"/>
  <c r="G274" i="3"/>
  <c r="G273" i="3"/>
  <c r="G266" i="3"/>
  <c r="G265" i="3"/>
  <c r="G258" i="3"/>
  <c r="G257" i="3"/>
  <c r="G250" i="3"/>
  <c r="G249" i="3"/>
  <c r="G242" i="3"/>
  <c r="G241" i="3"/>
  <c r="G234" i="3"/>
  <c r="G233" i="3"/>
  <c r="G226" i="3"/>
  <c r="G225" i="3"/>
  <c r="G218" i="3"/>
  <c r="G217" i="3"/>
  <c r="G210" i="3"/>
  <c r="G209" i="3"/>
  <c r="G202" i="3"/>
  <c r="G201" i="3"/>
  <c r="G194" i="3"/>
  <c r="G193" i="3"/>
  <c r="G186" i="3"/>
  <c r="G185" i="3"/>
  <c r="G178" i="3"/>
  <c r="G177" i="3"/>
  <c r="G170" i="3"/>
  <c r="G169" i="3"/>
  <c r="G162" i="3"/>
  <c r="G161" i="3"/>
  <c r="G154" i="3"/>
  <c r="G153" i="3"/>
  <c r="G146" i="3"/>
  <c r="G145" i="3"/>
  <c r="G138" i="3"/>
  <c r="G137" i="3"/>
  <c r="G130" i="3"/>
  <c r="G129" i="3"/>
  <c r="G122" i="3"/>
  <c r="G121" i="3"/>
  <c r="G114" i="3"/>
  <c r="G113" i="3"/>
  <c r="G106" i="3"/>
  <c r="G104" i="3"/>
  <c r="G103" i="3"/>
  <c r="G96" i="3"/>
  <c r="G95" i="3"/>
  <c r="G88" i="3"/>
  <c r="G87" i="3"/>
  <c r="G80" i="3"/>
  <c r="G79" i="3"/>
  <c r="G72" i="3"/>
  <c r="G71" i="3"/>
  <c r="G64" i="3"/>
  <c r="G63" i="3"/>
  <c r="G54" i="3"/>
  <c r="G53" i="3"/>
  <c r="G47" i="3"/>
  <c r="G40" i="3"/>
  <c r="G39" i="3"/>
  <c r="G32" i="3"/>
  <c r="G31" i="3"/>
  <c r="G24" i="3"/>
  <c r="G23" i="3"/>
  <c r="G16" i="3"/>
  <c r="E26" i="57"/>
  <c r="I15" i="57"/>
  <c r="N48" i="59"/>
  <c r="D49" i="59"/>
  <c r="D54" i="59"/>
  <c r="S50" i="59"/>
  <c r="AC12" i="46"/>
  <c r="U6" i="59"/>
  <c r="G15"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L418" i="3"/>
  <c r="BL414" i="3"/>
  <c r="BL410" i="3"/>
  <c r="BL405" i="3"/>
  <c r="BL401" i="3"/>
  <c r="BL397" i="3"/>
  <c r="BL393" i="3"/>
  <c r="BL389" i="3"/>
  <c r="BL385" i="3"/>
  <c r="BL381" i="3"/>
  <c r="BL377" i="3"/>
  <c r="BL373" i="3"/>
  <c r="BL369" i="3"/>
  <c r="BL365" i="3"/>
  <c r="BL361" i="3"/>
  <c r="BL357" i="3"/>
  <c r="BL353" i="3"/>
  <c r="BL349" i="3"/>
  <c r="BL345" i="3"/>
  <c r="BL341" i="3"/>
  <c r="BL321" i="3"/>
  <c r="BL317" i="3"/>
  <c r="BL313" i="3"/>
  <c r="BL309" i="3"/>
  <c r="BL305" i="3"/>
  <c r="BL301" i="3"/>
  <c r="BL297" i="3"/>
  <c r="BL293" i="3"/>
  <c r="BL289" i="3"/>
  <c r="BL285" i="3"/>
  <c r="BL281" i="3"/>
  <c r="BL277" i="3"/>
  <c r="BL273" i="3"/>
  <c r="BL269" i="3"/>
  <c r="BL265" i="3"/>
  <c r="BL261" i="3"/>
  <c r="BL257" i="3"/>
  <c r="BA250" i="3"/>
  <c r="BL249" i="3"/>
  <c r="BA242" i="3"/>
  <c r="BL241" i="3"/>
  <c r="BA234" i="3"/>
  <c r="BL233" i="3"/>
  <c r="BA226" i="3"/>
  <c r="BL225" i="3"/>
  <c r="BA218" i="3"/>
  <c r="BL217" i="3"/>
  <c r="BA210" i="3"/>
  <c r="BL209" i="3"/>
  <c r="BA202" i="3"/>
  <c r="BL201"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L416" i="3"/>
  <c r="BL412" i="3"/>
  <c r="BL408" i="3"/>
  <c r="BL403" i="3"/>
  <c r="BL399" i="3"/>
  <c r="BL395" i="3"/>
  <c r="BL391" i="3"/>
  <c r="BL387" i="3"/>
  <c r="BL383" i="3"/>
  <c r="BL379" i="3"/>
  <c r="BL375" i="3"/>
  <c r="BL371" i="3"/>
  <c r="BL367" i="3"/>
  <c r="BL363" i="3"/>
  <c r="BL359" i="3"/>
  <c r="BL355" i="3"/>
  <c r="BL351" i="3"/>
  <c r="BL347" i="3"/>
  <c r="BL343" i="3"/>
  <c r="BL319" i="3"/>
  <c r="BL315" i="3"/>
  <c r="BL311" i="3"/>
  <c r="BL307" i="3"/>
  <c r="BL303" i="3"/>
  <c r="BL299" i="3"/>
  <c r="BL295" i="3"/>
  <c r="BL291" i="3"/>
  <c r="BL287" i="3"/>
  <c r="BL283" i="3"/>
  <c r="BL279" i="3"/>
  <c r="BL275" i="3"/>
  <c r="BL271" i="3"/>
  <c r="BL267" i="3"/>
  <c r="BL263" i="3"/>
  <c r="BL259" i="3"/>
  <c r="BL255" i="3"/>
  <c r="BA254" i="3"/>
  <c r="BL253" i="3"/>
  <c r="BA246" i="3"/>
  <c r="BL245" i="3"/>
  <c r="BA238" i="3"/>
  <c r="BL237" i="3"/>
  <c r="BA230" i="3"/>
  <c r="BL229" i="3"/>
  <c r="BA222" i="3"/>
  <c r="BL221" i="3"/>
  <c r="BA214" i="3"/>
  <c r="BL213" i="3"/>
  <c r="BA206" i="3"/>
  <c r="BL20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A156" i="3"/>
  <c r="BL155" i="3"/>
  <c r="BA148" i="3"/>
  <c r="BL147" i="3"/>
  <c r="BA140" i="3"/>
  <c r="BA132" i="3"/>
  <c r="BL131" i="3"/>
  <c r="BA124" i="3"/>
  <c r="BL123" i="3"/>
  <c r="BA116" i="3"/>
  <c r="BL115" i="3"/>
  <c r="BA108" i="3"/>
  <c r="BL107" i="3"/>
  <c r="BA100" i="3"/>
  <c r="BL99" i="3"/>
  <c r="BA92" i="3"/>
  <c r="BL91" i="3"/>
  <c r="BA84" i="3"/>
  <c r="BL83" i="3"/>
  <c r="BA76" i="3"/>
  <c r="BL75" i="3"/>
  <c r="BA68" i="3"/>
  <c r="BL67" i="3"/>
  <c r="BA60" i="3"/>
  <c r="BL59" i="3"/>
  <c r="BA52" i="3"/>
  <c r="BL51" i="3"/>
  <c r="BL43" i="3"/>
  <c r="BA42" i="3"/>
  <c r="BL35" i="3"/>
  <c r="BA34" i="3"/>
  <c r="BL27" i="3"/>
  <c r="BA26" i="3"/>
  <c r="BL19" i="3"/>
  <c r="BA18" i="3"/>
  <c r="P75" i="69"/>
  <c r="P62" i="69"/>
  <c r="BL197" i="3"/>
  <c r="BL193" i="3"/>
  <c r="BL189" i="3"/>
  <c r="BL185" i="3"/>
  <c r="BL181" i="3"/>
  <c r="BL177" i="3"/>
  <c r="BL173" i="3"/>
  <c r="BL169" i="3"/>
  <c r="BL165" i="3"/>
  <c r="BL161" i="3"/>
  <c r="BA160" i="3"/>
  <c r="BL159" i="3"/>
  <c r="BA152" i="3"/>
  <c r="BL151" i="3"/>
  <c r="BA144" i="3"/>
  <c r="BA136" i="3"/>
  <c r="BA128" i="3"/>
  <c r="BL127" i="3"/>
  <c r="BA120" i="3"/>
  <c r="BL119" i="3"/>
  <c r="BA112" i="3"/>
  <c r="BL111" i="3"/>
  <c r="BA104" i="3"/>
  <c r="BL103" i="3"/>
  <c r="BA96" i="3"/>
  <c r="BL95" i="3"/>
  <c r="BA88" i="3"/>
  <c r="BL87" i="3"/>
  <c r="BA80" i="3"/>
  <c r="BL79" i="3"/>
  <c r="BA72" i="3"/>
  <c r="BL71" i="3"/>
  <c r="BA64" i="3"/>
  <c r="BL63" i="3"/>
  <c r="BA56" i="3"/>
  <c r="BL55" i="3"/>
  <c r="BL47" i="3"/>
  <c r="BL39" i="3"/>
  <c r="BA38" i="3"/>
  <c r="BL31" i="3"/>
  <c r="BA30" i="3"/>
  <c r="BL23" i="3"/>
  <c r="BA22" i="3"/>
  <c r="BL15" i="3"/>
  <c r="BA14" i="3"/>
  <c r="D23" i="68"/>
  <c r="D22" i="68"/>
  <c r="F34" i="72"/>
  <c r="F61" i="72" s="1"/>
  <c r="M20" i="72"/>
  <c r="F34" i="71"/>
  <c r="F61" i="71" s="1"/>
  <c r="F34" i="70"/>
  <c r="F61" i="70" s="1"/>
  <c r="M20" i="70"/>
  <c r="M20" i="69"/>
  <c r="F34" i="68"/>
  <c r="F61" i="68" s="1"/>
  <c r="M20" i="68"/>
  <c r="BL157" i="3"/>
  <c r="BL153" i="3"/>
  <c r="BL149" i="3"/>
  <c r="BL145" i="3"/>
  <c r="BL133" i="3"/>
  <c r="BL129" i="3"/>
  <c r="BL125" i="3"/>
  <c r="BL121" i="3"/>
  <c r="BL117" i="3"/>
  <c r="BL113" i="3"/>
  <c r="BL109" i="3"/>
  <c r="BL105" i="3"/>
  <c r="BL101" i="3"/>
  <c r="BL97" i="3"/>
  <c r="BL93" i="3"/>
  <c r="BL89" i="3"/>
  <c r="BL85" i="3"/>
  <c r="BL81" i="3"/>
  <c r="BL77" i="3"/>
  <c r="BL73" i="3"/>
  <c r="BL69" i="3"/>
  <c r="BL65" i="3"/>
  <c r="BL61" i="3"/>
  <c r="BL57" i="3"/>
  <c r="BL53" i="3"/>
  <c r="BL49" i="3"/>
  <c r="BA44" i="3"/>
  <c r="BA40" i="3"/>
  <c r="BA36" i="3"/>
  <c r="BA32" i="3"/>
  <c r="BA28" i="3"/>
  <c r="BA24" i="3"/>
  <c r="BA20" i="3"/>
  <c r="BA16" i="3"/>
  <c r="S32" i="40"/>
  <c r="AB39" i="40"/>
  <c r="AC39" i="40"/>
  <c r="W37" i="40"/>
  <c r="S37" i="40"/>
  <c r="S38" i="40"/>
  <c r="U37" i="40"/>
  <c r="AB32" i="40"/>
  <c r="W30" i="40"/>
  <c r="U30" i="40"/>
  <c r="S30" i="40"/>
  <c r="G98" i="40"/>
  <c r="H98" i="40" s="1"/>
  <c r="I98" i="40" s="1"/>
  <c r="J98" i="40" s="1"/>
  <c r="K98" i="40" s="1"/>
  <c r="L98" i="40" s="1"/>
  <c r="M98" i="40" s="1"/>
  <c r="F29" i="40"/>
  <c r="S29" i="40" s="1"/>
  <c r="W29" i="40"/>
  <c r="U27" i="40"/>
  <c r="AB27" i="40"/>
  <c r="W27" i="40"/>
  <c r="S25" i="40"/>
  <c r="AA23" i="40"/>
  <c r="W23" i="40"/>
  <c r="F21" i="40"/>
  <c r="H21" i="40"/>
  <c r="F88" i="40"/>
  <c r="G88" i="40" s="1"/>
  <c r="F19" i="40"/>
  <c r="AA19" i="40" s="1"/>
  <c r="AC19" i="40"/>
  <c r="F86" i="40"/>
  <c r="G86" i="40" s="1"/>
  <c r="H17" i="40"/>
  <c r="E67" i="40"/>
  <c r="G19" i="46"/>
  <c r="M85" i="9"/>
  <c r="N85" i="9" s="1"/>
  <c r="M86" i="9"/>
  <c r="N86" i="9" s="1"/>
  <c r="O39" i="9"/>
  <c r="R6" i="54" s="1"/>
  <c r="B50" i="63" s="1"/>
  <c r="K31" i="9"/>
  <c r="K32" i="9" s="1"/>
  <c r="C7" i="46"/>
  <c r="F30" i="6"/>
  <c r="U25" i="34"/>
  <c r="AB25" i="34"/>
  <c r="AA14" i="36"/>
  <c r="S14" i="36"/>
  <c r="W11" i="34"/>
  <c r="AC11" i="34"/>
  <c r="AB23" i="39"/>
  <c r="U23" i="39"/>
  <c r="AA41" i="39"/>
  <c r="S41" i="39"/>
  <c r="AA45" i="39"/>
  <c r="S45" i="39"/>
  <c r="AC25" i="39"/>
  <c r="W25" i="39"/>
  <c r="U23" i="40"/>
  <c r="AB23" i="40"/>
  <c r="S29" i="35"/>
  <c r="AA29" i="35"/>
  <c r="AC34" i="39"/>
  <c r="W34" i="39"/>
  <c r="AA34" i="39"/>
  <c r="S34" i="39"/>
  <c r="U21" i="39"/>
  <c r="AB21" i="39"/>
  <c r="W17" i="39"/>
  <c r="AC17" i="39"/>
  <c r="U14" i="35"/>
  <c r="AB14" i="35"/>
  <c r="U43" i="39"/>
  <c r="AB43" i="39"/>
  <c r="AC32" i="33"/>
  <c r="W32" i="33"/>
  <c r="AB19" i="33"/>
  <c r="U19" i="33"/>
  <c r="S11" i="33"/>
  <c r="AA11" i="33"/>
  <c r="AA17" i="37"/>
  <c r="S17" i="37"/>
  <c r="AC43" i="33"/>
  <c r="W43" i="33"/>
  <c r="U25" i="21"/>
  <c r="AB25" i="21"/>
  <c r="AC37" i="37"/>
  <c r="W37" i="37"/>
  <c r="AA27" i="21"/>
  <c r="S27" i="21"/>
  <c r="W28" i="34"/>
  <c r="AC28" i="34"/>
  <c r="AC10" i="34"/>
  <c r="W10" i="34"/>
  <c r="S33" i="34"/>
  <c r="AA33" i="34"/>
  <c r="S39" i="37"/>
  <c r="AA39" i="37"/>
  <c r="AC10" i="21"/>
  <c r="W10" i="21"/>
  <c r="U10" i="21"/>
  <c r="AB10" i="21"/>
  <c r="AB35" i="21"/>
  <c r="U35" i="21"/>
  <c r="S38" i="21"/>
  <c r="AA38" i="21"/>
  <c r="E8" i="6"/>
  <c r="F20" i="6"/>
  <c r="E20" i="6" s="1"/>
  <c r="I4" i="6"/>
  <c r="AB17" i="40"/>
  <c r="U17" i="40"/>
  <c r="W23" i="33"/>
  <c r="AC23" i="33"/>
  <c r="AC19" i="37"/>
  <c r="W19" i="37"/>
  <c r="AA20" i="35"/>
  <c r="U47" i="39"/>
  <c r="AB15" i="34"/>
  <c r="U15" i="34"/>
  <c r="H49" i="46"/>
  <c r="H47" i="46"/>
  <c r="H48" i="46"/>
  <c r="H53" i="46"/>
  <c r="H50" i="46"/>
  <c r="H51" i="46"/>
  <c r="AC34" i="40"/>
  <c r="W34" i="40"/>
  <c r="AC35" i="40"/>
  <c r="W35" i="40"/>
  <c r="AB35" i="40"/>
  <c r="U35" i="40"/>
  <c r="W47" i="39"/>
  <c r="AC47" i="39"/>
  <c r="U45" i="39"/>
  <c r="AB45" i="39"/>
  <c r="AA25" i="39"/>
  <c r="S25" i="39"/>
  <c r="U25" i="39"/>
  <c r="AB25" i="39"/>
  <c r="AB22" i="35"/>
  <c r="U22" i="35"/>
  <c r="AC29" i="35"/>
  <c r="W29" i="35"/>
  <c r="U29" i="39"/>
  <c r="AB29" i="39"/>
  <c r="AB27" i="36"/>
  <c r="U27" i="36"/>
  <c r="U33" i="36"/>
  <c r="AB33" i="36"/>
  <c r="AC32" i="35"/>
  <c r="W32" i="35"/>
  <c r="AA32" i="33"/>
  <c r="S32" i="33"/>
  <c r="AA10" i="33"/>
  <c r="S10" i="33"/>
  <c r="AC21" i="40"/>
  <c r="W21" i="40"/>
  <c r="S39" i="33"/>
  <c r="W23" i="37"/>
  <c r="AC23" i="37"/>
  <c r="AC28" i="33"/>
  <c r="AA14" i="37"/>
  <c r="S14" i="37"/>
  <c r="AB25" i="36"/>
  <c r="U25" i="36"/>
  <c r="U13" i="34"/>
  <c r="AB13" i="34"/>
  <c r="U44" i="33"/>
  <c r="AB44" i="33"/>
  <c r="AB10" i="36"/>
  <c r="U10" i="36"/>
  <c r="AA30" i="35"/>
  <c r="S30" i="35"/>
  <c r="U29" i="35"/>
  <c r="AB29" i="35"/>
  <c r="AA19" i="34"/>
  <c r="S19" i="34"/>
  <c r="W12" i="21"/>
  <c r="AC12" i="21"/>
  <c r="AC8" i="21"/>
  <c r="W8" i="21"/>
  <c r="S36" i="21"/>
  <c r="AA36" i="21"/>
  <c r="U31" i="21"/>
  <c r="AB31" i="21"/>
  <c r="W45" i="21"/>
  <c r="AC45" i="21"/>
  <c r="W24" i="35"/>
  <c r="AC24" i="35"/>
  <c r="C38" i="59"/>
  <c r="D37" i="59"/>
  <c r="D41" i="59"/>
  <c r="C42" i="59"/>
  <c r="W39" i="21"/>
  <c r="S9" i="34"/>
  <c r="H42" i="40"/>
  <c r="J38" i="39"/>
  <c r="W38" i="39" s="1"/>
  <c r="W26" i="37"/>
  <c r="U42" i="21"/>
  <c r="H24" i="35"/>
  <c r="AB27" i="37"/>
  <c r="AB27" i="33"/>
  <c r="J27" i="37"/>
  <c r="F27" i="37"/>
  <c r="F38" i="37"/>
  <c r="AB36" i="37"/>
  <c r="F27" i="33"/>
  <c r="H45" i="21"/>
  <c r="F29" i="21"/>
  <c r="F13" i="21"/>
  <c r="W8" i="34"/>
  <c r="AA28" i="34"/>
  <c r="C29" i="39"/>
  <c r="U38" i="33"/>
  <c r="H9" i="21"/>
  <c r="F12" i="33"/>
  <c r="H9" i="35"/>
  <c r="F9" i="35"/>
  <c r="D25" i="59"/>
  <c r="C26" i="59"/>
  <c r="D32" i="59"/>
  <c r="C33" i="59"/>
  <c r="C46" i="59"/>
  <c r="D45" i="59"/>
  <c r="K13" i="1"/>
  <c r="M13" i="1" s="1"/>
  <c r="F12" i="1"/>
  <c r="I10" i="57"/>
  <c r="C31" i="39"/>
  <c r="S21" i="21"/>
  <c r="S18" i="36"/>
  <c r="O48" i="59"/>
  <c r="N16" i="4"/>
  <c r="K17" i="4" s="1"/>
  <c r="A22" i="51" s="1"/>
  <c r="B16" i="63" s="1"/>
  <c r="D62" i="59"/>
  <c r="Q49" i="59"/>
  <c r="E48" i="59"/>
  <c r="C29" i="59"/>
  <c r="D29" i="59" s="1"/>
  <c r="B37" i="59"/>
  <c r="B38" i="59" s="1"/>
  <c r="S38" i="59" s="1"/>
  <c r="AG12" i="46"/>
  <c r="F21" i="59"/>
  <c r="F22" i="59" s="1"/>
  <c r="M19" i="86" s="1"/>
  <c r="C20" i="59"/>
  <c r="D20" i="59" s="1"/>
  <c r="E17" i="59"/>
  <c r="E18" i="59" s="1"/>
  <c r="U18" i="59" s="1"/>
  <c r="B16" i="59"/>
  <c r="B17" i="59" s="1"/>
  <c r="B18" i="59" s="1"/>
  <c r="S18" i="59" s="1"/>
  <c r="F13" i="59"/>
  <c r="F14" i="59" s="1"/>
  <c r="V14" i="59" s="1"/>
  <c r="C5" i="59"/>
  <c r="D5" i="59" s="1"/>
  <c r="C9" i="59"/>
  <c r="T10" i="59"/>
  <c r="L76" i="9"/>
  <c r="AB5" i="59"/>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X5" i="59"/>
  <c r="Y5" i="59"/>
  <c r="Z5" i="59" s="1"/>
  <c r="AA6" i="59"/>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59" i="3"/>
  <c r="G55" i="3"/>
  <c r="G51" i="3"/>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L337" i="3"/>
  <c r="BA337" i="3"/>
  <c r="AZ337" i="3" s="1"/>
  <c r="BL336" i="3"/>
  <c r="AZ336" i="3" s="1"/>
  <c r="BL333" i="3"/>
  <c r="BA333" i="3"/>
  <c r="BL332" i="3"/>
  <c r="AZ332" i="3" s="1"/>
  <c r="BL329" i="3"/>
  <c r="BA329" i="3"/>
  <c r="AZ329" i="3" s="1"/>
  <c r="BL328" i="3"/>
  <c r="AZ328" i="3" s="1"/>
  <c r="BL325" i="3"/>
  <c r="BA325" i="3"/>
  <c r="BL324" i="3"/>
  <c r="AZ324" i="3" s="1"/>
  <c r="G105" i="3"/>
  <c r="G101" i="3"/>
  <c r="G97" i="3"/>
  <c r="G93" i="3"/>
  <c r="G89" i="3"/>
  <c r="G85" i="3"/>
  <c r="G81" i="3"/>
  <c r="G77" i="3"/>
  <c r="G73" i="3"/>
  <c r="G69" i="3"/>
  <c r="G65" i="3"/>
  <c r="G61" i="3"/>
  <c r="G45" i="3"/>
  <c r="G41" i="3"/>
  <c r="G37" i="3"/>
  <c r="G33" i="3"/>
  <c r="G29" i="3"/>
  <c r="G25" i="3"/>
  <c r="G21" i="3"/>
  <c r="G17" i="3"/>
  <c r="G13" i="3"/>
  <c r="BL339" i="3"/>
  <c r="BA339" i="3"/>
  <c r="BL338" i="3"/>
  <c r="AZ338" i="3" s="1"/>
  <c r="BL335" i="3"/>
  <c r="BA335" i="3"/>
  <c r="AZ335" i="3" s="1"/>
  <c r="BL334" i="3"/>
  <c r="AZ334" i="3" s="1"/>
  <c r="BL331" i="3"/>
  <c r="BA331" i="3"/>
  <c r="BL330" i="3"/>
  <c r="AZ330" i="3" s="1"/>
  <c r="BL327" i="3"/>
  <c r="BA327" i="3"/>
  <c r="AZ327" i="3" s="1"/>
  <c r="BL326" i="3"/>
  <c r="AZ326" i="3" s="1"/>
  <c r="BL323" i="3"/>
  <c r="BA323" i="3"/>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A305" i="3"/>
  <c r="AZ305"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L141" i="3"/>
  <c r="BA141" i="3"/>
  <c r="AZ141" i="3" s="1"/>
  <c r="BL140" i="3"/>
  <c r="AZ140" i="3" s="1"/>
  <c r="BL137" i="3"/>
  <c r="BA137" i="3"/>
  <c r="BL136" i="3"/>
  <c r="AZ136" i="3" s="1"/>
  <c r="BL143" i="3"/>
  <c r="BA143" i="3"/>
  <c r="AZ143" i="3" s="1"/>
  <c r="BL142" i="3"/>
  <c r="AZ142" i="3" s="1"/>
  <c r="BL139" i="3"/>
  <c r="BA139" i="3"/>
  <c r="BL138" i="3"/>
  <c r="AZ138" i="3" s="1"/>
  <c r="BL135"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A48" i="3"/>
  <c r="F32" i="72"/>
  <c r="F59" i="72" s="1"/>
  <c r="M18" i="72"/>
  <c r="F32" i="71"/>
  <c r="F59" i="71" s="1"/>
  <c r="M18" i="71"/>
  <c r="F32" i="70"/>
  <c r="F59" i="70" s="1"/>
  <c r="M18" i="70"/>
  <c r="F28" i="69"/>
  <c r="F28" i="68"/>
  <c r="F28" i="71"/>
  <c r="F28" i="70"/>
  <c r="F32" i="69"/>
  <c r="F59" i="69" s="1"/>
  <c r="M18" i="69"/>
  <c r="F32" i="68"/>
  <c r="F59" i="68" s="1"/>
  <c r="M18" i="68"/>
  <c r="BA46" i="3"/>
  <c r="S4" i="74"/>
  <c r="M4" i="74" s="1"/>
  <c r="N4" i="74" s="1"/>
  <c r="P4" i="74" s="1"/>
  <c r="Q4" i="74" s="1"/>
  <c r="BL48" i="3"/>
  <c r="BA47" i="3"/>
  <c r="AZ47" i="3" s="1"/>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L16" i="3"/>
  <c r="AZ16" i="3" s="1"/>
  <c r="BA15" i="3"/>
  <c r="AZ15" i="3" s="1"/>
  <c r="BL14" i="3"/>
  <c r="AZ14" i="3" s="1"/>
  <c r="BA13" i="3"/>
  <c r="AZ13" i="3" s="1"/>
  <c r="F34" i="69"/>
  <c r="F61" i="69" s="1"/>
  <c r="D24" i="70"/>
  <c r="D24" i="71"/>
  <c r="P62" i="71"/>
  <c r="P62" i="72"/>
  <c r="S5" i="74"/>
  <c r="M5" i="74" s="1"/>
  <c r="N5" i="74" s="1"/>
  <c r="P5" i="74" s="1"/>
  <c r="Q5" i="74" s="1"/>
  <c r="S7" i="74"/>
  <c r="M7" i="74" s="1"/>
  <c r="N7" i="74" s="1"/>
  <c r="P7" i="74" s="1"/>
  <c r="Q7" i="74" s="1"/>
  <c r="S26" i="74"/>
  <c r="M26" i="74" s="1"/>
  <c r="N26" i="74" s="1"/>
  <c r="P26" i="74" s="1"/>
  <c r="Q26" i="74" s="1"/>
  <c r="S28" i="74"/>
  <c r="M28" i="74" s="1"/>
  <c r="N28" i="74" s="1"/>
  <c r="P28" i="74" s="1"/>
  <c r="Q28" i="74" s="1"/>
  <c r="H14" i="66"/>
  <c r="B7" i="66" s="1"/>
  <c r="G58" i="21"/>
  <c r="H58" i="21" s="1"/>
  <c r="I58" i="21" s="1"/>
  <c r="J58" i="21" s="1"/>
  <c r="K58" i="21" s="1"/>
  <c r="L58" i="21" s="1"/>
  <c r="M58" i="21" s="1"/>
  <c r="N58" i="21" s="1"/>
  <c r="O58" i="21" s="1"/>
  <c r="H7" i="21"/>
  <c r="G58" i="33"/>
  <c r="H58" i="33" s="1"/>
  <c r="I58" i="33" s="1"/>
  <c r="J58" i="33" s="1"/>
  <c r="K58" i="33" s="1"/>
  <c r="L58" i="33" s="1"/>
  <c r="M58" i="33" s="1"/>
  <c r="N58" i="33" s="1"/>
  <c r="O58" i="33" s="1"/>
  <c r="AC23" i="36"/>
  <c r="W23" i="36"/>
  <c r="K33" i="9"/>
  <c r="O41" i="9"/>
  <c r="R8" i="54" s="1"/>
  <c r="B54" i="63" s="1"/>
  <c r="M83" i="9"/>
  <c r="N83" i="9" s="1"/>
  <c r="N89" i="9" s="1"/>
  <c r="O89" i="9" s="1"/>
  <c r="M87" i="9"/>
  <c r="N87" i="9" s="1"/>
  <c r="F67" i="40"/>
  <c r="G65" i="40"/>
  <c r="F72" i="39"/>
  <c r="G70" i="39"/>
  <c r="H48" i="35"/>
  <c r="I48" i="35" s="1"/>
  <c r="J48" i="35" s="1"/>
  <c r="K48" i="35" s="1"/>
  <c r="L48" i="35" s="1"/>
  <c r="M48" i="35" s="1"/>
  <c r="N48" i="35" s="1"/>
  <c r="O48" i="35" s="1"/>
  <c r="G52" i="37"/>
  <c r="H52" i="37" s="1"/>
  <c r="I52" i="37" s="1"/>
  <c r="J52" i="37" s="1"/>
  <c r="K52" i="37" s="1"/>
  <c r="L52" i="37" s="1"/>
  <c r="M52" i="37" s="1"/>
  <c r="N52" i="37" s="1"/>
  <c r="O52" i="37" s="1"/>
  <c r="G59" i="34"/>
  <c r="H59" i="34" s="1"/>
  <c r="I59" i="34" s="1"/>
  <c r="J59" i="34" s="1"/>
  <c r="K59" i="34" s="1"/>
  <c r="L59" i="34" s="1"/>
  <c r="M59" i="34" s="1"/>
  <c r="N59" i="34" s="1"/>
  <c r="O59" i="34" s="1"/>
  <c r="F46" i="36"/>
  <c r="G46" i="36" s="1"/>
  <c r="H46" i="36" s="1"/>
  <c r="I46" i="36" s="1"/>
  <c r="J46" i="36" s="1"/>
  <c r="K46" i="36" s="1"/>
  <c r="L46" i="36" s="1"/>
  <c r="M46" i="36" s="1"/>
  <c r="N46" i="36" s="1"/>
  <c r="O46" i="36" s="1"/>
  <c r="K14" i="1"/>
  <c r="M14" i="1" s="1"/>
  <c r="AC18" i="36"/>
  <c r="H7" i="37"/>
  <c r="H7" i="36"/>
  <c r="J7" i="35"/>
  <c r="U29" i="40"/>
  <c r="AA39" i="40"/>
  <c r="S23" i="21"/>
  <c r="AB23" i="33"/>
  <c r="AB23" i="34"/>
  <c r="AB18" i="36"/>
  <c r="C5" i="46"/>
  <c r="F27" i="6"/>
  <c r="F31" i="6" s="1"/>
  <c r="E53" i="40"/>
  <c r="AC38" i="39"/>
  <c r="U25" i="40"/>
  <c r="S35" i="40"/>
  <c r="S15" i="21"/>
  <c r="AA15" i="21"/>
  <c r="U36" i="33"/>
  <c r="U27" i="34"/>
  <c r="AA27" i="34"/>
  <c r="AA32" i="37"/>
  <c r="AC36" i="33"/>
  <c r="AC10" i="33"/>
  <c r="W10" i="33"/>
  <c r="W33" i="39"/>
  <c r="U27" i="39"/>
  <c r="AC16" i="40"/>
  <c r="AA13" i="39"/>
  <c r="U41" i="33"/>
  <c r="AB41" i="33"/>
  <c r="W14" i="40"/>
  <c r="AC14" i="40"/>
  <c r="AA33" i="40"/>
  <c r="S33" i="40"/>
  <c r="AC25" i="40"/>
  <c r="W25" i="40"/>
  <c r="AA27" i="39"/>
  <c r="S27" i="39"/>
  <c r="AC20" i="35"/>
  <c r="W20" i="35"/>
  <c r="S34" i="33"/>
  <c r="AA34" i="33"/>
  <c r="AB39" i="39"/>
  <c r="U39" i="39"/>
  <c r="S46" i="39"/>
  <c r="AA46" i="39"/>
  <c r="U33" i="39"/>
  <c r="AB33" i="39"/>
  <c r="AA17" i="39"/>
  <c r="S17" i="39"/>
  <c r="S14" i="21"/>
  <c r="U37" i="21"/>
  <c r="AB37" i="21"/>
  <c r="U28" i="33"/>
  <c r="U31" i="37"/>
  <c r="AA13" i="33"/>
  <c r="U42" i="33"/>
  <c r="AB42" i="33"/>
  <c r="AA37" i="37"/>
  <c r="S37" i="37"/>
  <c r="AC32" i="37"/>
  <c r="W32" i="37"/>
  <c r="AB24" i="35"/>
  <c r="U24" i="35"/>
  <c r="AA10" i="35"/>
  <c r="S10" i="35"/>
  <c r="AB28" i="34"/>
  <c r="U28" i="34"/>
  <c r="S25" i="21"/>
  <c r="AA25" i="21"/>
  <c r="S46" i="33"/>
  <c r="S46" i="21"/>
  <c r="W27" i="37"/>
  <c r="AC27" i="37"/>
  <c r="AA27" i="37"/>
  <c r="S27" i="37"/>
  <c r="AB38" i="37"/>
  <c r="U38" i="37"/>
  <c r="AB13" i="37"/>
  <c r="U13" i="37"/>
  <c r="AC35" i="35"/>
  <c r="W35" i="35"/>
  <c r="AA25" i="35"/>
  <c r="S25" i="35"/>
  <c r="AA45" i="34"/>
  <c r="S45" i="34"/>
  <c r="W13" i="34"/>
  <c r="AC13" i="34"/>
  <c r="AB46" i="33"/>
  <c r="U46" i="33"/>
  <c r="AC46" i="33"/>
  <c r="W46" i="33"/>
  <c r="U40" i="37"/>
  <c r="AB40" i="37"/>
  <c r="S27" i="33"/>
  <c r="AA27" i="33"/>
  <c r="U45" i="21"/>
  <c r="AB45" i="21"/>
  <c r="S29" i="21"/>
  <c r="AA29" i="21"/>
  <c r="AC29" i="21"/>
  <c r="W29" i="21"/>
  <c r="U13" i="21"/>
  <c r="AB13" i="21"/>
  <c r="S28" i="36"/>
  <c r="AA28" i="36"/>
  <c r="AA44" i="21"/>
  <c r="S44" i="21"/>
  <c r="AC44" i="21"/>
  <c r="W44" i="21"/>
  <c r="U14" i="21"/>
  <c r="AB14" i="21"/>
  <c r="S44" i="34"/>
  <c r="AA44" i="34"/>
  <c r="AC19" i="34"/>
  <c r="W19" i="34"/>
  <c r="S10" i="21"/>
  <c r="U16" i="35"/>
  <c r="AB16" i="35"/>
  <c r="S34" i="36"/>
  <c r="AA34" i="36"/>
  <c r="S12" i="36"/>
  <c r="AA12" i="36"/>
  <c r="AA22" i="35"/>
  <c r="S22" i="35"/>
  <c r="AB36" i="21"/>
  <c r="S33" i="33"/>
  <c r="U9" i="33"/>
  <c r="AB39" i="33"/>
  <c r="U39" i="33"/>
  <c r="AA35" i="21"/>
  <c r="S35" i="21"/>
  <c r="W34" i="21"/>
  <c r="AC34" i="21"/>
  <c r="S43" i="21"/>
  <c r="AA43" i="21"/>
  <c r="AA34" i="21"/>
  <c r="S34" i="21"/>
  <c r="F12" i="21"/>
  <c r="H12" i="21"/>
  <c r="H30" i="21"/>
  <c r="F30" i="21"/>
  <c r="J30" i="21"/>
  <c r="J7" i="33"/>
  <c r="H7" i="33"/>
  <c r="W12" i="33"/>
  <c r="AC12" i="33"/>
  <c r="AA15" i="33"/>
  <c r="S15" i="33"/>
  <c r="AB33" i="33"/>
  <c r="U33" i="33"/>
  <c r="AB35" i="33"/>
  <c r="U35" i="33"/>
  <c r="AA38" i="33"/>
  <c r="S38" i="33"/>
  <c r="AC26" i="33"/>
  <c r="W26" i="33"/>
  <c r="AC39" i="34"/>
  <c r="W39" i="34"/>
  <c r="S40" i="34"/>
  <c r="AA40" i="34"/>
  <c r="AA43" i="34"/>
  <c r="S43" i="34"/>
  <c r="AB44" i="34"/>
  <c r="U44" i="34"/>
  <c r="J12" i="35"/>
  <c r="H14" i="33"/>
  <c r="F14" i="33"/>
  <c r="J14" i="33"/>
  <c r="H30" i="33"/>
  <c r="F30" i="33"/>
  <c r="J30" i="33"/>
  <c r="U45" i="33"/>
  <c r="AB45" i="33"/>
  <c r="J34" i="35"/>
  <c r="H34" i="35"/>
  <c r="F34" i="35"/>
  <c r="AA8" i="36"/>
  <c r="S8" i="36"/>
  <c r="AC8" i="36"/>
  <c r="W8" i="36"/>
  <c r="AB9" i="36"/>
  <c r="U9" i="36"/>
  <c r="H12" i="36"/>
  <c r="F23" i="36"/>
  <c r="F32" i="36"/>
  <c r="H32" i="36"/>
  <c r="J32" i="36"/>
  <c r="U29" i="37"/>
  <c r="AB29" i="37"/>
  <c r="U14" i="37"/>
  <c r="AB14" i="37"/>
  <c r="AC39" i="37"/>
  <c r="W39" i="37"/>
  <c r="F15" i="39"/>
  <c r="H15" i="39"/>
  <c r="J15" i="39"/>
  <c r="F14" i="40"/>
  <c r="H14" i="40"/>
  <c r="AA34" i="40"/>
  <c r="S34" i="40"/>
  <c r="AB38" i="40"/>
  <c r="U38" i="40"/>
  <c r="AA42" i="40"/>
  <c r="S42" i="40"/>
  <c r="U41" i="21"/>
  <c r="AB41" i="21"/>
  <c r="AB34" i="37"/>
  <c r="U34" i="37"/>
  <c r="F37" i="39"/>
  <c r="H37" i="39"/>
  <c r="J37" i="39"/>
  <c r="L5" i="54"/>
  <c r="B39" i="63" s="1"/>
  <c r="K5" i="54"/>
  <c r="T41" i="4"/>
  <c r="A17" i="64" s="1"/>
  <c r="U15" i="33"/>
  <c r="AB15" i="33"/>
  <c r="AC29" i="39"/>
  <c r="W29" i="39"/>
  <c r="H61" i="46"/>
  <c r="H66" i="46"/>
  <c r="H59" i="46"/>
  <c r="H60" i="46"/>
  <c r="AB33" i="40"/>
  <c r="U33" i="40"/>
  <c r="AC32" i="40"/>
  <c r="W32" i="40"/>
  <c r="AA15" i="40"/>
  <c r="S15" i="40"/>
  <c r="U46" i="39"/>
  <c r="AB46" i="39"/>
  <c r="W19" i="39"/>
  <c r="AC19" i="39"/>
  <c r="AB17" i="34"/>
  <c r="U17" i="34"/>
  <c r="S40" i="21"/>
  <c r="AA40" i="21"/>
  <c r="AC17" i="21"/>
  <c r="W17" i="21"/>
  <c r="AB16" i="36"/>
  <c r="U16" i="36"/>
  <c r="AB11" i="37"/>
  <c r="U11" i="37"/>
  <c r="S21" i="40"/>
  <c r="AA21" i="40"/>
  <c r="W11" i="37"/>
  <c r="AC11" i="37"/>
  <c r="AA24" i="35"/>
  <c r="S24" i="35"/>
  <c r="W41" i="34"/>
  <c r="AC41" i="34"/>
  <c r="S22" i="36"/>
  <c r="AA22" i="36"/>
  <c r="AA42" i="33"/>
  <c r="S42" i="33"/>
  <c r="W14" i="37"/>
  <c r="AC14" i="37"/>
  <c r="AC38" i="37"/>
  <c r="W38" i="37"/>
  <c r="AA28" i="37"/>
  <c r="S28" i="37"/>
  <c r="S13" i="37"/>
  <c r="AA13" i="37"/>
  <c r="W25" i="36"/>
  <c r="AC25" i="36"/>
  <c r="S35" i="35"/>
  <c r="AA35" i="35"/>
  <c r="AC25" i="35"/>
  <c r="W25" i="35"/>
  <c r="AC13" i="35"/>
  <c r="W13" i="35"/>
  <c r="AC47" i="34"/>
  <c r="W47" i="34"/>
  <c r="U47" i="34"/>
  <c r="AB47" i="34"/>
  <c r="S31" i="34"/>
  <c r="AA31" i="34"/>
  <c r="AC31" i="34"/>
  <c r="W31" i="34"/>
  <c r="S29" i="34"/>
  <c r="AA29" i="34"/>
  <c r="AA13" i="34"/>
  <c r="S13" i="34"/>
  <c r="S44" i="33"/>
  <c r="AA44" i="33"/>
  <c r="U37" i="37"/>
  <c r="AB37" i="37"/>
  <c r="S13" i="36"/>
  <c r="AA13" i="36"/>
  <c r="AC31" i="33"/>
  <c r="W31" i="33"/>
  <c r="AC27" i="33"/>
  <c r="W27" i="33"/>
  <c r="AA45" i="21"/>
  <c r="S45" i="21"/>
  <c r="S31" i="21"/>
  <c r="AA31" i="21"/>
  <c r="AC31" i="21"/>
  <c r="W31" i="21"/>
  <c r="U29" i="21"/>
  <c r="AB29" i="21"/>
  <c r="S27" i="36"/>
  <c r="AA27" i="36"/>
  <c r="AB46" i="21"/>
  <c r="U46" i="21"/>
  <c r="AB28" i="21"/>
  <c r="U28" i="21"/>
  <c r="W10" i="35"/>
  <c r="AC10" i="35"/>
  <c r="W37" i="33"/>
  <c r="AC37" i="33"/>
  <c r="AB33" i="35"/>
  <c r="U33" i="35"/>
  <c r="AA24" i="36"/>
  <c r="S24" i="36"/>
  <c r="U10" i="35"/>
  <c r="AB10" i="35"/>
  <c r="W27" i="36"/>
  <c r="AC27" i="36"/>
  <c r="U11" i="21"/>
  <c r="AB11" i="21"/>
  <c r="S11" i="21"/>
  <c r="AA11" i="21"/>
  <c r="AA26" i="33"/>
  <c r="S26" i="33"/>
  <c r="AA29" i="36"/>
  <c r="S29" i="36"/>
  <c r="AA19" i="21"/>
  <c r="S19" i="21"/>
  <c r="W33" i="21"/>
  <c r="AC33" i="21"/>
  <c r="AB39" i="21"/>
  <c r="U39" i="21"/>
  <c r="AB9" i="21"/>
  <c r="U9" i="21"/>
  <c r="U34" i="21"/>
  <c r="AB34" i="21"/>
  <c r="H38" i="46"/>
  <c r="E25" i="6"/>
  <c r="G27" i="6"/>
  <c r="G31" i="6" s="1"/>
  <c r="K8" i="1"/>
  <c r="E9" i="43"/>
  <c r="W8" i="33"/>
  <c r="AC8" i="33"/>
  <c r="AC33" i="33"/>
  <c r="W33" i="33"/>
  <c r="AC40" i="33"/>
  <c r="W40" i="33"/>
  <c r="U39" i="34"/>
  <c r="AB39" i="34"/>
  <c r="W36" i="34"/>
  <c r="AC36" i="34"/>
  <c r="W9" i="35"/>
  <c r="AC9" i="35"/>
  <c r="AC23" i="35"/>
  <c r="W23" i="35"/>
  <c r="F11" i="35"/>
  <c r="H11" i="35"/>
  <c r="U8" i="36"/>
  <c r="AB8" i="36"/>
  <c r="AC9" i="36"/>
  <c r="W9" i="36"/>
  <c r="AB26" i="36"/>
  <c r="U26" i="36"/>
  <c r="AC35" i="37"/>
  <c r="W35" i="37"/>
  <c r="H25" i="37"/>
  <c r="J25" i="37"/>
  <c r="F25" i="37"/>
  <c r="F16" i="40"/>
  <c r="H16" i="40"/>
  <c r="H41" i="40"/>
  <c r="F41" i="40"/>
  <c r="J41" i="40"/>
  <c r="AA40" i="33"/>
  <c r="S40" i="33"/>
  <c r="J26" i="35"/>
  <c r="H26" i="35"/>
  <c r="S22" i="31"/>
  <c r="I21" i="57"/>
  <c r="D1" i="57" s="1"/>
  <c r="E10" i="57" s="1"/>
  <c r="D46" i="59"/>
  <c r="T46" i="59"/>
  <c r="D38" i="59"/>
  <c r="T38" i="59"/>
  <c r="G1" i="70"/>
  <c r="G1" i="68"/>
  <c r="G1" i="72"/>
  <c r="G1" i="71"/>
  <c r="G1" i="69"/>
  <c r="B54" i="46"/>
  <c r="C27" i="40"/>
  <c r="S27" i="40"/>
  <c r="S21" i="34"/>
  <c r="S18" i="35"/>
  <c r="C61" i="59"/>
  <c r="C53" i="59"/>
  <c r="Q48" i="59"/>
  <c r="Q47" i="59"/>
  <c r="G5" i="3"/>
  <c r="B3" i="3" s="1"/>
  <c r="G3" i="81" s="1"/>
  <c r="F10" i="1"/>
  <c r="I20" i="86" s="1"/>
  <c r="D100" i="46"/>
  <c r="U10" i="59"/>
  <c r="E9" i="59"/>
  <c r="E8" i="59" s="1"/>
  <c r="AA12" i="46"/>
  <c r="AE12" i="46"/>
  <c r="AI12" i="46"/>
  <c r="H1" i="65"/>
  <c r="C21" i="59"/>
  <c r="C17" i="59"/>
  <c r="C13" i="59"/>
  <c r="C15" i="43"/>
  <c r="C28" i="70"/>
  <c r="C28" i="68"/>
  <c r="K76" i="9"/>
  <c r="K77" i="9" s="1"/>
  <c r="K79" i="9" s="1"/>
  <c r="K81" i="9" s="1"/>
  <c r="AB6" i="59"/>
  <c r="C19" i="46" s="1"/>
  <c r="A30" i="64"/>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L186" i="3"/>
  <c r="AZ186" i="3" s="1"/>
  <c r="BA185" i="3"/>
  <c r="AZ185" i="3" s="1"/>
  <c r="BL182" i="3"/>
  <c r="AZ182" i="3" s="1"/>
  <c r="BA181" i="3"/>
  <c r="AZ181" i="3" s="1"/>
  <c r="BL178" i="3"/>
  <c r="AZ178" i="3" s="1"/>
  <c r="BA177" i="3"/>
  <c r="AZ177" i="3" s="1"/>
  <c r="BL174" i="3"/>
  <c r="AZ174" i="3" s="1"/>
  <c r="BA173" i="3"/>
  <c r="AZ173" i="3" s="1"/>
  <c r="BA187" i="3"/>
  <c r="AZ187" i="3" s="1"/>
  <c r="BL184" i="3"/>
  <c r="AZ184" i="3" s="1"/>
  <c r="BA183" i="3"/>
  <c r="AZ183" i="3" s="1"/>
  <c r="BL180" i="3"/>
  <c r="AZ180" i="3" s="1"/>
  <c r="BA179" i="3"/>
  <c r="AZ179" i="3" s="1"/>
  <c r="BL176" i="3"/>
  <c r="AZ176" i="3" s="1"/>
  <c r="BA175" i="3"/>
  <c r="AZ175" i="3" s="1"/>
  <c r="BL172" i="3"/>
  <c r="AZ172" i="3" s="1"/>
  <c r="BA79" i="3"/>
  <c r="AZ79" i="3" s="1"/>
  <c r="C28" i="71"/>
  <c r="J39" i="74"/>
  <c r="K39" i="74" s="1"/>
  <c r="J10" i="74"/>
  <c r="K10" i="74" s="1"/>
  <c r="L10" i="74" s="1"/>
  <c r="J42" i="74"/>
  <c r="K42" i="74" s="1"/>
  <c r="L42" i="74" s="1"/>
  <c r="J23" i="74"/>
  <c r="K23" i="74" s="1"/>
  <c r="J36" i="74"/>
  <c r="J32" i="74"/>
  <c r="K32" i="74" s="1"/>
  <c r="L32" i="74" s="1"/>
  <c r="J25" i="74"/>
  <c r="J19" i="74"/>
  <c r="K19" i="74" s="1"/>
  <c r="BL78" i="3"/>
  <c r="BA77" i="3"/>
  <c r="C28" i="69"/>
  <c r="J41" i="74"/>
  <c r="K41" i="74" s="1"/>
  <c r="J12" i="74"/>
  <c r="K12" i="74" s="1"/>
  <c r="J16" i="74"/>
  <c r="J40" i="74"/>
  <c r="S40" i="74"/>
  <c r="M40" i="74" s="1"/>
  <c r="K40" i="74"/>
  <c r="J15" i="74"/>
  <c r="K15" i="74" s="1"/>
  <c r="J11" i="74"/>
  <c r="K11" i="74" s="1"/>
  <c r="L11" i="74"/>
  <c r="J34" i="74"/>
  <c r="K34" i="74"/>
  <c r="S34" i="74" s="1"/>
  <c r="M34" i="74" s="1"/>
  <c r="J30" i="74"/>
  <c r="K30" i="74" s="1"/>
  <c r="S21" i="74"/>
  <c r="M21" i="74" s="1"/>
  <c r="J21" i="74"/>
  <c r="K21" i="74" s="1"/>
  <c r="S17" i="74"/>
  <c r="M17" i="74" s="1"/>
  <c r="J17" i="74"/>
  <c r="K17" i="74" s="1"/>
  <c r="N13" i="74"/>
  <c r="P13" i="74" s="1"/>
  <c r="Q13" i="74" s="1"/>
  <c r="J29" i="74"/>
  <c r="J33" i="74"/>
  <c r="J37" i="74"/>
  <c r="K37" i="74" s="1"/>
  <c r="S37" i="74"/>
  <c r="M37" i="74" s="1"/>
  <c r="S14" i="74"/>
  <c r="M14" i="74" s="1"/>
  <c r="S27" i="74"/>
  <c r="M27" i="74" s="1"/>
  <c r="N27" i="74" s="1"/>
  <c r="P27" i="74" s="1"/>
  <c r="Q27" i="74" s="1"/>
  <c r="S13" i="74"/>
  <c r="M13" i="74" s="1"/>
  <c r="S6" i="74"/>
  <c r="M6" i="74" s="1"/>
  <c r="N6" i="74" s="1"/>
  <c r="P6" i="74" s="1"/>
  <c r="Q6" i="74" s="1"/>
  <c r="S8" i="74"/>
  <c r="M8" i="74" s="1"/>
  <c r="P62" i="68"/>
  <c r="D22" i="69"/>
  <c r="P62" i="70"/>
  <c r="D22" i="71"/>
  <c r="F28" i="72"/>
  <c r="C28" i="72" s="1"/>
  <c r="N8" i="74"/>
  <c r="P8" i="74" s="1"/>
  <c r="Q8" i="74" s="1"/>
  <c r="N14" i="74"/>
  <c r="P14" i="74" s="1"/>
  <c r="Q14" i="74" s="1"/>
  <c r="J31" i="74"/>
  <c r="J35" i="74"/>
  <c r="K35" i="74" s="1"/>
  <c r="L35" i="74" s="1"/>
  <c r="J9" i="74"/>
  <c r="E11" i="52"/>
  <c r="B23" i="52"/>
  <c r="E80" i="46"/>
  <c r="B78" i="46" s="1"/>
  <c r="C24" i="46" s="1"/>
  <c r="D23" i="15"/>
  <c r="L38" i="74"/>
  <c r="S38" i="74"/>
  <c r="M38" i="74" s="1"/>
  <c r="B4" i="52"/>
  <c r="B6" i="52"/>
  <c r="E9" i="52"/>
  <c r="B10" i="52"/>
  <c r="E5" i="52"/>
  <c r="B16" i="52"/>
  <c r="E10" i="52"/>
  <c r="C4" i="4" s="1"/>
  <c r="B20" i="55" s="1"/>
  <c r="B70" i="63" s="1"/>
  <c r="B8" i="52"/>
  <c r="B9" i="52"/>
  <c r="B7" i="52"/>
  <c r="E4" i="52"/>
  <c r="E16" i="52"/>
  <c r="B11" i="52"/>
  <c r="E8" i="52"/>
  <c r="B5" i="52"/>
  <c r="B13" i="52"/>
  <c r="B22" i="52"/>
  <c r="E21" i="52"/>
  <c r="B14" i="52"/>
  <c r="E6" i="52"/>
  <c r="E7" i="52"/>
  <c r="L17" i="74"/>
  <c r="L19" i="74"/>
  <c r="L21" i="74"/>
  <c r="L23" i="74"/>
  <c r="K16" i="74"/>
  <c r="K18" i="74"/>
  <c r="S18" i="74" s="1"/>
  <c r="M18" i="74" s="1"/>
  <c r="K20" i="74"/>
  <c r="S20" i="74" s="1"/>
  <c r="M20" i="74" s="1"/>
  <c r="K22" i="74"/>
  <c r="S22" i="74" s="1"/>
  <c r="M22" i="74" s="1"/>
  <c r="K24" i="74"/>
  <c r="S24" i="74" s="1"/>
  <c r="M24" i="74" s="1"/>
  <c r="L37" i="74"/>
  <c r="L40" i="74"/>
  <c r="K3" i="74"/>
  <c r="S3" i="74" s="1"/>
  <c r="M3" i="74" s="1"/>
  <c r="C14" i="12"/>
  <c r="C25" i="12" l="1"/>
  <c r="C15" i="12"/>
  <c r="C28" i="15"/>
  <c r="H81" i="46"/>
  <c r="H86" i="46"/>
  <c r="H85" i="46"/>
  <c r="H80" i="46"/>
  <c r="H82" i="46"/>
  <c r="H87" i="46"/>
  <c r="H83" i="46"/>
  <c r="H84" i="46"/>
  <c r="AA9" i="33"/>
  <c r="S9" i="33"/>
  <c r="E63" i="39"/>
  <c r="E58" i="40"/>
  <c r="N37" i="74"/>
  <c r="P37" i="74" s="1"/>
  <c r="Q37" i="74" s="1"/>
  <c r="K25" i="74"/>
  <c r="S25" i="74" s="1"/>
  <c r="M25" i="74" s="1"/>
  <c r="J7" i="34"/>
  <c r="F17" i="40"/>
  <c r="J17" i="40"/>
  <c r="P24" i="86"/>
  <c r="C19" i="86"/>
  <c r="P25" i="86"/>
  <c r="P23" i="86"/>
  <c r="O19" i="86"/>
  <c r="P21" i="86"/>
  <c r="P22" i="86"/>
  <c r="C29" i="12"/>
  <c r="AC36" i="35"/>
  <c r="W36" i="35"/>
  <c r="C27" i="43"/>
  <c r="C30" i="44"/>
  <c r="AA26" i="37"/>
  <c r="S26" i="37"/>
  <c r="AB23" i="36"/>
  <c r="U23" i="36"/>
  <c r="N19" i="74"/>
  <c r="P19" i="74" s="1"/>
  <c r="Q19" i="74" s="1"/>
  <c r="S35" i="74"/>
  <c r="M35" i="74" s="1"/>
  <c r="N35" i="74" s="1"/>
  <c r="P35" i="74" s="1"/>
  <c r="Q35" i="74" s="1"/>
  <c r="BL5" i="3"/>
  <c r="S19" i="74"/>
  <c r="M19" i="74" s="1"/>
  <c r="H7" i="34"/>
  <c r="U7" i="34" s="1"/>
  <c r="H7" i="35"/>
  <c r="J7" i="36"/>
  <c r="AC7" i="36" s="1"/>
  <c r="V36" i="36" s="1"/>
  <c r="I36" i="36" s="1"/>
  <c r="F7" i="36"/>
  <c r="F7" i="34"/>
  <c r="S7" i="34" s="1"/>
  <c r="D18" i="9"/>
  <c r="M44" i="9" s="1"/>
  <c r="M43" i="9"/>
  <c r="AB24" i="36"/>
  <c r="U24" i="36"/>
  <c r="AA29" i="40"/>
  <c r="AB21" i="40"/>
  <c r="U21" i="40"/>
  <c r="S19" i="40"/>
  <c r="W17" i="40"/>
  <c r="AC17" i="40"/>
  <c r="P25" i="46"/>
  <c r="B73" i="39" s="1"/>
  <c r="P21" i="46"/>
  <c r="P24" i="46"/>
  <c r="B68" i="40" s="1"/>
  <c r="P23" i="46"/>
  <c r="P22" i="46"/>
  <c r="O19" i="46"/>
  <c r="S16" i="74"/>
  <c r="M16" i="74" s="1"/>
  <c r="N40" i="74"/>
  <c r="P40" i="74" s="1"/>
  <c r="Q40" i="74" s="1"/>
  <c r="S11" i="74"/>
  <c r="M11" i="74" s="1"/>
  <c r="L15" i="74"/>
  <c r="L12" i="74"/>
  <c r="S42" i="74"/>
  <c r="M42" i="74" s="1"/>
  <c r="S10" i="74"/>
  <c r="M10" i="74" s="1"/>
  <c r="L39" i="74"/>
  <c r="N39" i="74" s="1"/>
  <c r="P39" i="74" s="1"/>
  <c r="Q39" i="74" s="1"/>
  <c r="S39" i="74"/>
  <c r="M39" i="74" s="1"/>
  <c r="C8" i="59"/>
  <c r="D8" i="59" s="1"/>
  <c r="D9" i="59"/>
  <c r="M19" i="46"/>
  <c r="V22" i="59"/>
  <c r="P47" i="59"/>
  <c r="P48" i="59"/>
  <c r="AB9" i="35"/>
  <c r="U9" i="35"/>
  <c r="S38" i="37"/>
  <c r="AA38" i="37"/>
  <c r="T42" i="59"/>
  <c r="D42" i="59"/>
  <c r="E58" i="39"/>
  <c r="E16" i="6"/>
  <c r="A17" i="51"/>
  <c r="B13" i="63" s="1"/>
  <c r="F7" i="37"/>
  <c r="J7" i="37"/>
  <c r="W7" i="37" s="1"/>
  <c r="F7" i="33"/>
  <c r="J7" i="21"/>
  <c r="W7" i="21" s="1"/>
  <c r="F7" i="21"/>
  <c r="S7" i="21" s="1"/>
  <c r="AZ48" i="3"/>
  <c r="AZ139" i="3"/>
  <c r="AZ137" i="3"/>
  <c r="AZ323" i="3"/>
  <c r="AZ331" i="3"/>
  <c r="AZ339" i="3"/>
  <c r="AZ325" i="3"/>
  <c r="AZ333" i="3"/>
  <c r="AP12" i="1"/>
  <c r="G12" i="1"/>
  <c r="C34" i="59"/>
  <c r="D33" i="59"/>
  <c r="D26" i="59"/>
  <c r="T26" i="59"/>
  <c r="AA9" i="35"/>
  <c r="S9" i="35"/>
  <c r="S12" i="33"/>
  <c r="AA12" i="33"/>
  <c r="AA13" i="21"/>
  <c r="S13" i="21"/>
  <c r="U42" i="40"/>
  <c r="AB42" i="40"/>
  <c r="D9" i="43"/>
  <c r="K7" i="1"/>
  <c r="M7" i="1" s="1"/>
  <c r="N42" i="74"/>
  <c r="P42" i="74" s="1"/>
  <c r="Q42" i="74" s="1"/>
  <c r="L34" i="74"/>
  <c r="N34" i="74" s="1"/>
  <c r="P34" i="74" s="1"/>
  <c r="Q34" i="74" s="1"/>
  <c r="N21" i="74"/>
  <c r="P21" i="74" s="1"/>
  <c r="Q21" i="74" s="1"/>
  <c r="N17" i="74"/>
  <c r="P17" i="74" s="1"/>
  <c r="Q17" i="74" s="1"/>
  <c r="N38" i="74"/>
  <c r="P38" i="74" s="1"/>
  <c r="Q38" i="74" s="1"/>
  <c r="K9" i="74"/>
  <c r="S9" i="74" s="1"/>
  <c r="M9" i="74" s="1"/>
  <c r="K31" i="74"/>
  <c r="S31" i="74" s="1"/>
  <c r="M31" i="74" s="1"/>
  <c r="K33" i="74"/>
  <c r="S33" i="74" s="1"/>
  <c r="M33" i="74" s="1"/>
  <c r="K29" i="74"/>
  <c r="S29" i="74" s="1"/>
  <c r="M29" i="74" s="1"/>
  <c r="L30" i="74"/>
  <c r="S30" i="74"/>
  <c r="M30" i="74" s="1"/>
  <c r="N11" i="74"/>
  <c r="P11" i="74" s="1"/>
  <c r="Q11" i="74" s="1"/>
  <c r="S15" i="74"/>
  <c r="M15" i="74" s="1"/>
  <c r="S12" i="74"/>
  <c r="M12" i="74" s="1"/>
  <c r="L41" i="74"/>
  <c r="S41" i="74"/>
  <c r="M41" i="74" s="1"/>
  <c r="AZ77" i="3"/>
  <c r="BA5" i="3"/>
  <c r="E27" i="6" s="1"/>
  <c r="K25" i="6" s="1"/>
  <c r="K36" i="74"/>
  <c r="L36" i="74" s="1"/>
  <c r="S23" i="74"/>
  <c r="M23" i="74" s="1"/>
  <c r="N23" i="74" s="1"/>
  <c r="P23" i="74" s="1"/>
  <c r="Q23" i="74" s="1"/>
  <c r="N10" i="74"/>
  <c r="P10" i="74" s="1"/>
  <c r="Q10" i="74" s="1"/>
  <c r="AZ78" i="3"/>
  <c r="D13" i="59"/>
  <c r="C14" i="59"/>
  <c r="D21" i="59"/>
  <c r="C22" i="59"/>
  <c r="D6" i="75"/>
  <c r="G9" i="75" s="1"/>
  <c r="E10" i="89" s="1"/>
  <c r="E413" i="3"/>
  <c r="E297" i="3"/>
  <c r="E561" i="3"/>
  <c r="E411" i="3"/>
  <c r="E283" i="3"/>
  <c r="E395" i="3"/>
  <c r="E23" i="3"/>
  <c r="E250" i="3"/>
  <c r="E535" i="3"/>
  <c r="AN6" i="3"/>
  <c r="E443" i="3"/>
  <c r="E41" i="3"/>
  <c r="E156" i="3"/>
  <c r="E280" i="3"/>
  <c r="E265" i="3"/>
  <c r="E471" i="3"/>
  <c r="E381" i="3"/>
  <c r="E59" i="3"/>
  <c r="E194" i="3"/>
  <c r="E418" i="3"/>
  <c r="E49" i="3"/>
  <c r="E270"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192" i="3"/>
  <c r="E446" i="3"/>
  <c r="E333" i="3"/>
  <c r="E91" i="3"/>
  <c r="E115" i="3"/>
  <c r="E457" i="3"/>
  <c r="E31" i="3"/>
  <c r="E534" i="3"/>
  <c r="E472" i="3"/>
  <c r="E124" i="3"/>
  <c r="E222" i="3"/>
  <c r="E424" i="3"/>
  <c r="E82" i="3"/>
  <c r="E164" i="3"/>
  <c r="E99" i="3"/>
  <c r="E552" i="3"/>
  <c r="E57" i="3"/>
  <c r="E463" i="3"/>
  <c r="E292" i="3"/>
  <c r="E426" i="3"/>
  <c r="E33" i="3"/>
  <c r="Q6" i="3"/>
  <c r="E119" i="3"/>
  <c r="E48" i="3"/>
  <c r="E438" i="3"/>
  <c r="E455" i="3"/>
  <c r="E363" i="3"/>
  <c r="E79" i="3"/>
  <c r="E401" i="3"/>
  <c r="E166" i="3"/>
  <c r="O6" i="3"/>
  <c r="E25" i="3"/>
  <c r="E258" i="3"/>
  <c r="E449" i="3"/>
  <c r="E196" i="3"/>
  <c r="E259" i="3"/>
  <c r="E308" i="3"/>
  <c r="E477" i="3"/>
  <c r="E540" i="3"/>
  <c r="E134" i="3"/>
  <c r="AI6" i="3"/>
  <c r="E239" i="3"/>
  <c r="E234" i="3"/>
  <c r="E29" i="3"/>
  <c r="E256" i="3"/>
  <c r="E554" i="3"/>
  <c r="E491" i="3"/>
  <c r="E525" i="3"/>
  <c r="E334" i="3"/>
  <c r="E489" i="3"/>
  <c r="E353" i="3"/>
  <c r="E569" i="3"/>
  <c r="E50" i="3"/>
  <c r="E216" i="3"/>
  <c r="E320" i="3"/>
  <c r="E392" i="3"/>
  <c r="E45" i="3"/>
  <c r="E373" i="3"/>
  <c r="E284" i="3"/>
  <c r="E360" i="3"/>
  <c r="E42" i="3"/>
  <c r="E531" i="3"/>
  <c r="E122" i="3"/>
  <c r="E495" i="3"/>
  <c r="E208" i="3"/>
  <c r="E338" i="3"/>
  <c r="E506" i="3"/>
  <c r="E562" i="3"/>
  <c r="E571" i="3"/>
  <c r="E518" i="3"/>
  <c r="E330" i="3"/>
  <c r="E340" i="3"/>
  <c r="E350" i="3"/>
  <c r="E521" i="3"/>
  <c r="E496" i="3"/>
  <c r="E130" i="3"/>
  <c r="E352" i="3"/>
  <c r="E461" i="3"/>
  <c r="E138" i="3"/>
  <c r="E112" i="3"/>
  <c r="E341" i="3"/>
  <c r="E268" i="3"/>
  <c r="E316" i="3"/>
  <c r="E175" i="3"/>
  <c r="E541" i="3"/>
  <c r="E523" i="3"/>
  <c r="E557" i="3"/>
  <c r="E13" i="3"/>
  <c r="E86" i="3"/>
  <c r="AO6" i="3"/>
  <c r="M6" i="3"/>
  <c r="E475" i="3"/>
  <c r="E241" i="3"/>
  <c r="E114" i="3"/>
  <c r="E147" i="3"/>
  <c r="E348" i="3"/>
  <c r="E22" i="3"/>
  <c r="E93" i="3"/>
  <c r="E439" i="3"/>
  <c r="E394" i="3"/>
  <c r="E459" i="3"/>
  <c r="E55" i="3"/>
  <c r="E117" i="3"/>
  <c r="E282" i="3"/>
  <c r="E231" i="3"/>
  <c r="E570" i="3"/>
  <c r="E528" i="3"/>
  <c r="E375" i="3"/>
  <c r="E470" i="3"/>
  <c r="E409" i="3"/>
  <c r="E49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68" i="3"/>
  <c r="E135" i="3"/>
  <c r="E421" i="3"/>
  <c r="E69" i="3"/>
  <c r="E206" i="3"/>
  <c r="E132" i="3"/>
  <c r="E152" i="3"/>
  <c r="E437" i="3"/>
  <c r="E46" i="3"/>
  <c r="E221" i="3"/>
  <c r="E359" i="3"/>
  <c r="E195" i="3"/>
  <c r="E391" i="3"/>
  <c r="E83" i="3"/>
  <c r="E186" i="3"/>
  <c r="E311" i="3"/>
  <c r="E263" i="3"/>
  <c r="E388" i="3"/>
  <c r="E430" i="3"/>
  <c r="E146" i="3"/>
  <c r="E77" i="3"/>
  <c r="E434" i="3"/>
  <c r="E262" i="3"/>
  <c r="E101" i="3"/>
  <c r="E274" i="3"/>
  <c r="E32" i="3"/>
  <c r="E547" i="3"/>
  <c r="E447" i="3"/>
  <c r="E60" i="3"/>
  <c r="E75" i="3"/>
  <c r="E178" i="3"/>
  <c r="J6" i="3"/>
  <c r="E500" i="3"/>
  <c r="E97" i="3"/>
  <c r="AE6" i="3"/>
  <c r="E289" i="3"/>
  <c r="E113" i="3"/>
  <c r="E425" i="3"/>
  <c r="E257" i="3"/>
  <c r="E272" i="3"/>
  <c r="E102" i="3"/>
  <c r="E204" i="3"/>
  <c r="E207" i="3"/>
  <c r="E479" i="3"/>
  <c r="E43" i="3"/>
  <c r="E276" i="3"/>
  <c r="E370" i="3"/>
  <c r="E526" i="3"/>
  <c r="E416" i="3"/>
  <c r="E96" i="3"/>
  <c r="E160" i="3"/>
  <c r="E242" i="3"/>
  <c r="E133" i="3"/>
  <c r="E87" i="3"/>
  <c r="E458" i="3"/>
  <c r="E128" i="3"/>
  <c r="E176" i="3"/>
  <c r="E228" i="3"/>
  <c r="E314" i="3"/>
  <c r="E324" i="3"/>
  <c r="E502" i="3"/>
  <c r="E319" i="3"/>
  <c r="K6" i="3"/>
  <c r="E456" i="3"/>
  <c r="E325" i="3"/>
  <c r="E286" i="3"/>
  <c r="E396" i="3"/>
  <c r="E183" i="3"/>
  <c r="AJ6" i="3"/>
  <c r="E236" i="3"/>
  <c r="E546" i="3"/>
  <c r="E474" i="3"/>
  <c r="E15" i="3"/>
  <c r="E171" i="3"/>
  <c r="E251" i="3"/>
  <c r="E354" i="3"/>
  <c r="E56" i="3"/>
  <c r="T6" i="3"/>
  <c r="E181" i="3"/>
  <c r="E144" i="3"/>
  <c r="E269" i="3"/>
  <c r="E219" i="3"/>
  <c r="E344" i="3"/>
  <c r="E485" i="3"/>
  <c r="E335" i="3"/>
  <c r="E483" i="3"/>
  <c r="E366" i="3"/>
  <c r="E532" i="3"/>
  <c r="E497" i="3"/>
  <c r="E167" i="3"/>
  <c r="E566" i="3"/>
  <c r="E515" i="3"/>
  <c r="E553" i="3"/>
  <c r="E494" i="3"/>
  <c r="E273" i="3"/>
  <c r="E542" i="3"/>
  <c r="E563" i="3"/>
  <c r="E254" i="3"/>
  <c r="E328" i="3"/>
  <c r="E519" i="3"/>
  <c r="E155" i="3"/>
  <c r="E252" i="3"/>
  <c r="E346" i="3"/>
  <c r="E544" i="3"/>
  <c r="E318" i="3"/>
  <c r="E565" i="3"/>
  <c r="E380" i="3"/>
  <c r="E503" i="3"/>
  <c r="C52" i="59"/>
  <c r="D52" i="59" s="1"/>
  <c r="D53" i="59"/>
  <c r="U26" i="35"/>
  <c r="AB26" i="35"/>
  <c r="W41" i="40"/>
  <c r="AC41" i="40"/>
  <c r="AB41" i="40"/>
  <c r="U41" i="40"/>
  <c r="S16" i="40"/>
  <c r="AA16" i="40"/>
  <c r="W25" i="37"/>
  <c r="AC25" i="37"/>
  <c r="AB11" i="35"/>
  <c r="U11" i="35"/>
  <c r="AH6" i="3"/>
  <c r="AQ6" i="3"/>
  <c r="M8" i="1"/>
  <c r="K12" i="1"/>
  <c r="M12" i="1" s="1"/>
  <c r="I9" i="43"/>
  <c r="W6" i="3"/>
  <c r="AB37" i="39"/>
  <c r="U37" i="39"/>
  <c r="AB14" i="40"/>
  <c r="U14" i="40"/>
  <c r="W15" i="39"/>
  <c r="AC15" i="39"/>
  <c r="AA15" i="39"/>
  <c r="S15" i="39"/>
  <c r="U32" i="36"/>
  <c r="AB32" i="36"/>
  <c r="AA23" i="36"/>
  <c r="S23" i="36"/>
  <c r="S34" i="35"/>
  <c r="AA34" i="35"/>
  <c r="W34" i="35"/>
  <c r="AC34" i="35"/>
  <c r="AA30" i="33"/>
  <c r="S30" i="33"/>
  <c r="AC14" i="33"/>
  <c r="W14" i="33"/>
  <c r="U14" i="33"/>
  <c r="AB14" i="33"/>
  <c r="AB7" i="33"/>
  <c r="T48" i="33" s="1"/>
  <c r="G48" i="33" s="1"/>
  <c r="U7" i="33"/>
  <c r="W30" i="21"/>
  <c r="AC30" i="21"/>
  <c r="U30" i="21"/>
  <c r="AB30" i="21"/>
  <c r="S12" i="21"/>
  <c r="AA12" i="21"/>
  <c r="U7" i="35"/>
  <c r="AB7" i="35"/>
  <c r="T38" i="35" s="1"/>
  <c r="G38" i="35" s="1"/>
  <c r="W7" i="36"/>
  <c r="AB7" i="37"/>
  <c r="T42" i="37" s="1"/>
  <c r="G42" i="37" s="1"/>
  <c r="U7" i="37"/>
  <c r="F7" i="35"/>
  <c r="G72" i="39"/>
  <c r="H70" i="39"/>
  <c r="G67" i="40"/>
  <c r="H65" i="40"/>
  <c r="K34" i="9"/>
  <c r="AB7" i="21"/>
  <c r="T48" i="21" s="1"/>
  <c r="G48" i="21" s="1"/>
  <c r="U7" i="21"/>
  <c r="N15" i="74"/>
  <c r="P15" i="74" s="1"/>
  <c r="Q15" i="74" s="1"/>
  <c r="N12" i="74"/>
  <c r="P12" i="74" s="1"/>
  <c r="Q12" i="74" s="1"/>
  <c r="S32" i="74"/>
  <c r="M32" i="74" s="1"/>
  <c r="N32" i="74" s="1"/>
  <c r="P32" i="74" s="1"/>
  <c r="Q32" i="74" s="1"/>
  <c r="D17" i="59"/>
  <c r="C18" i="59"/>
  <c r="AP10" i="1"/>
  <c r="G10" i="1"/>
  <c r="I20" i="46"/>
  <c r="D61" i="59"/>
  <c r="C60" i="59"/>
  <c r="D60" i="59" s="1"/>
  <c r="R22" i="31"/>
  <c r="B21" i="31" s="1"/>
  <c r="B20" i="31"/>
  <c r="W26" i="35"/>
  <c r="AC26" i="35"/>
  <c r="AA41" i="40"/>
  <c r="S41" i="40"/>
  <c r="U16" i="40"/>
  <c r="AB16" i="40"/>
  <c r="AA25" i="37"/>
  <c r="S25" i="37"/>
  <c r="U25" i="37"/>
  <c r="AB25" i="37"/>
  <c r="AA11" i="35"/>
  <c r="S11" i="35"/>
  <c r="AM6" i="3"/>
  <c r="B38" i="63"/>
  <c r="A3" i="55"/>
  <c r="B56" i="63" s="1"/>
  <c r="AC37" i="39"/>
  <c r="W37" i="39"/>
  <c r="AA37" i="39"/>
  <c r="S37" i="39"/>
  <c r="AA14" i="40"/>
  <c r="S14" i="40"/>
  <c r="AB15" i="39"/>
  <c r="U15" i="39"/>
  <c r="AC32" i="36"/>
  <c r="W32" i="36"/>
  <c r="AA32" i="36"/>
  <c r="S32" i="36"/>
  <c r="U12" i="36"/>
  <c r="AB12" i="36"/>
  <c r="AB34" i="35"/>
  <c r="U34" i="35"/>
  <c r="AC30" i="33"/>
  <c r="W30" i="33"/>
  <c r="AB30" i="33"/>
  <c r="U30" i="33"/>
  <c r="AA14" i="33"/>
  <c r="S14" i="33"/>
  <c r="W12" i="35"/>
  <c r="AC12" i="35"/>
  <c r="AC7" i="33"/>
  <c r="V48" i="33" s="1"/>
  <c r="I48" i="33" s="1"/>
  <c r="W7" i="33"/>
  <c r="S30" i="21"/>
  <c r="AA30" i="21"/>
  <c r="U12" i="21"/>
  <c r="AB12" i="21"/>
  <c r="W7" i="34"/>
  <c r="AC7" i="34"/>
  <c r="V49" i="34" s="1"/>
  <c r="I49" i="34" s="1"/>
  <c r="W7" i="35"/>
  <c r="AC7" i="35"/>
  <c r="V38" i="35" s="1"/>
  <c r="I38" i="35" s="1"/>
  <c r="AB7" i="36"/>
  <c r="T36" i="36" s="1"/>
  <c r="G36" i="36" s="1"/>
  <c r="U7" i="36"/>
  <c r="AA7" i="37"/>
  <c r="R42" i="37" s="1"/>
  <c r="S7" i="37"/>
  <c r="AA7" i="36"/>
  <c r="R36" i="36" s="1"/>
  <c r="S7" i="36"/>
  <c r="AA7" i="34"/>
  <c r="R49" i="34" s="1"/>
  <c r="AC7" i="37"/>
  <c r="V42" i="37" s="1"/>
  <c r="I42" i="37" s="1"/>
  <c r="AA7" i="33"/>
  <c r="R48" i="33" s="1"/>
  <c r="S7" i="33"/>
  <c r="AC7" i="21"/>
  <c r="V48" i="21" s="1"/>
  <c r="I48" i="21" s="1"/>
  <c r="AA7" i="21"/>
  <c r="R48" i="21" s="1"/>
  <c r="L22" i="74"/>
  <c r="N22" i="74" s="1"/>
  <c r="P22" i="74" s="1"/>
  <c r="Q22" i="74" s="1"/>
  <c r="L18" i="74"/>
  <c r="N18" i="74" s="1"/>
  <c r="P18" i="74" s="1"/>
  <c r="Q18" i="74" s="1"/>
  <c r="L24" i="74"/>
  <c r="N24" i="74" s="1"/>
  <c r="P24" i="74" s="1"/>
  <c r="Q24" i="74" s="1"/>
  <c r="L20" i="74"/>
  <c r="N20" i="74" s="1"/>
  <c r="P20" i="74" s="1"/>
  <c r="Q20" i="74" s="1"/>
  <c r="L16" i="74"/>
  <c r="N16" i="74" s="1"/>
  <c r="P16" i="74" s="1"/>
  <c r="Q16" i="74" s="1"/>
  <c r="L3" i="74"/>
  <c r="N3" i="74" s="1"/>
  <c r="P3" i="74" s="1"/>
  <c r="Q3" i="74" s="1"/>
  <c r="AP16" i="1" l="1"/>
  <c r="AB7" i="34"/>
  <c r="T49" i="34" s="1"/>
  <c r="G49" i="34" s="1"/>
  <c r="L25" i="74"/>
  <c r="N25" i="74" s="1"/>
  <c r="P25" i="74" s="1"/>
  <c r="Q25" i="74" s="1"/>
  <c r="S17" i="40"/>
  <c r="AA17" i="40"/>
  <c r="K16" i="1"/>
  <c r="H13" i="40"/>
  <c r="J13" i="40"/>
  <c r="F13" i="40"/>
  <c r="G16" i="1"/>
  <c r="T34" i="59"/>
  <c r="D34" i="59"/>
  <c r="H16" i="1"/>
  <c r="AZ5" i="3"/>
  <c r="N41" i="74"/>
  <c r="P41" i="74" s="1"/>
  <c r="Q41" i="74" s="1"/>
  <c r="L29" i="74"/>
  <c r="N29" i="74" s="1"/>
  <c r="P29" i="74" s="1"/>
  <c r="Q29" i="74" s="1"/>
  <c r="L33" i="74"/>
  <c r="N33" i="74" s="1"/>
  <c r="P33" i="74" s="1"/>
  <c r="Q33" i="74" s="1"/>
  <c r="L31" i="74"/>
  <c r="N31" i="74" s="1"/>
  <c r="P31" i="74" s="1"/>
  <c r="Q31" i="74" s="1"/>
  <c r="L9" i="74"/>
  <c r="N9" i="74" s="1"/>
  <c r="P9" i="74" s="1"/>
  <c r="Q9" i="74" s="1"/>
  <c r="D8" i="78"/>
  <c r="D11" i="81"/>
  <c r="I52" i="21"/>
  <c r="J52" i="21" s="1"/>
  <c r="E36" i="36"/>
  <c r="R37" i="36"/>
  <c r="E42" i="37"/>
  <c r="R43" i="37"/>
  <c r="G40" i="36"/>
  <c r="H40" i="36" s="1"/>
  <c r="G41" i="36"/>
  <c r="H41" i="36" s="1"/>
  <c r="I52" i="33"/>
  <c r="J52" i="33" s="1"/>
  <c r="G46" i="37"/>
  <c r="H46" i="37" s="1"/>
  <c r="G47" i="37"/>
  <c r="H47" i="37" s="1"/>
  <c r="G53" i="34"/>
  <c r="H53" i="34" s="1"/>
  <c r="G54" i="34"/>
  <c r="H54" i="34" s="1"/>
  <c r="M25" i="6"/>
  <c r="I25" i="6" s="1"/>
  <c r="S25" i="6" s="1"/>
  <c r="S12" i="1"/>
  <c r="Q16" i="1"/>
  <c r="F18" i="87" s="1"/>
  <c r="C18" i="87" s="1"/>
  <c r="M16" i="1"/>
  <c r="AC6" i="3"/>
  <c r="D22" i="59"/>
  <c r="T22" i="59"/>
  <c r="D14" i="59"/>
  <c r="M20" i="86" s="1"/>
  <c r="T14" i="59"/>
  <c r="K19" i="6"/>
  <c r="K22" i="6"/>
  <c r="K21" i="6"/>
  <c r="E31" i="6"/>
  <c r="D1" i="86" s="1"/>
  <c r="K26" i="6"/>
  <c r="M26" i="6" s="1"/>
  <c r="I26" i="6" s="1"/>
  <c r="S26" i="6" s="1"/>
  <c r="K20" i="6"/>
  <c r="K23" i="6"/>
  <c r="K24" i="6"/>
  <c r="N30" i="74"/>
  <c r="P30" i="74" s="1"/>
  <c r="Q30" i="74" s="1"/>
  <c r="S36" i="74"/>
  <c r="M36" i="74" s="1"/>
  <c r="N36" i="74" s="1"/>
  <c r="P36" i="74" s="1"/>
  <c r="Q36" i="74" s="1"/>
  <c r="Q43" i="74" s="1"/>
  <c r="D6" i="81" s="1"/>
  <c r="E48" i="21"/>
  <c r="R49" i="21"/>
  <c r="R49" i="33"/>
  <c r="E48" i="33"/>
  <c r="I46" i="37"/>
  <c r="J46" i="37" s="1"/>
  <c r="I47" i="37"/>
  <c r="J47" i="37" s="1"/>
  <c r="R50" i="34"/>
  <c r="E49" i="34"/>
  <c r="I54" i="34" s="1"/>
  <c r="J54" i="34" s="1"/>
  <c r="I42" i="35"/>
  <c r="J42" i="35" s="1"/>
  <c r="I53" i="34"/>
  <c r="J53" i="34" s="1"/>
  <c r="H12" i="39"/>
  <c r="F12" i="39"/>
  <c r="J12" i="39"/>
  <c r="D18" i="59"/>
  <c r="T18" i="59"/>
  <c r="G52" i="21"/>
  <c r="H52" i="21" s="1"/>
  <c r="G53" i="21"/>
  <c r="H53" i="21" s="1"/>
  <c r="I65" i="40"/>
  <c r="H67" i="40"/>
  <c r="I70" i="39"/>
  <c r="H72" i="39"/>
  <c r="AA7" i="35"/>
  <c r="R38" i="35" s="1"/>
  <c r="S7" i="35"/>
  <c r="I40" i="36"/>
  <c r="J40" i="36" s="1"/>
  <c r="I41" i="36"/>
  <c r="J41" i="36" s="1"/>
  <c r="G43" i="35"/>
  <c r="H43" i="35" s="1"/>
  <c r="G42" i="35"/>
  <c r="H42" i="35" s="1"/>
  <c r="G52" i="33"/>
  <c r="H52" i="33" s="1"/>
  <c r="G53" i="33"/>
  <c r="H53" i="33" s="1"/>
  <c r="H6" i="3"/>
  <c r="M20" i="46"/>
  <c r="AY6" i="3"/>
  <c r="E3" i="6"/>
  <c r="E6" i="3" l="1"/>
  <c r="S13" i="40"/>
  <c r="AA13" i="40"/>
  <c r="U13" i="40"/>
  <c r="AB13" i="40"/>
  <c r="W13" i="40"/>
  <c r="AC13" i="40"/>
  <c r="Q55" i="74"/>
  <c r="Q91" i="74"/>
  <c r="D6" i="78" s="1"/>
  <c r="D3" i="6"/>
  <c r="AY80" i="3"/>
  <c r="AY198" i="3"/>
  <c r="AY179" i="3"/>
  <c r="AY105" i="3"/>
  <c r="AY36" i="3"/>
  <c r="AY145" i="3"/>
  <c r="AY293" i="3"/>
  <c r="AY218" i="3"/>
  <c r="AY216" i="3"/>
  <c r="AY386" i="3"/>
  <c r="AY309" i="3"/>
  <c r="AY432" i="3"/>
  <c r="AY409" i="3"/>
  <c r="AY414" i="3"/>
  <c r="AY4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69" i="3"/>
  <c r="AY37" i="3"/>
  <c r="AY97" i="3"/>
  <c r="AY67" i="3"/>
  <c r="AY88" i="3"/>
  <c r="AY41" i="3"/>
  <c r="AY109" i="3"/>
  <c r="AY58" i="3"/>
  <c r="AY26" i="3"/>
  <c r="AY203" i="3"/>
  <c r="AY159" i="3"/>
  <c r="AY129" i="3"/>
  <c r="AY128" i="3"/>
  <c r="AY142" i="3"/>
  <c r="AY529" i="3"/>
  <c r="AY95" i="3"/>
  <c r="AY77" i="3"/>
  <c r="AY104" i="3"/>
  <c r="AY34" i="3"/>
  <c r="AY274" i="3"/>
  <c r="AY150" i="3"/>
  <c r="AY158" i="3"/>
  <c r="AY259" i="3"/>
  <c r="AY246" i="3"/>
  <c r="AY275" i="3"/>
  <c r="AY248" i="3"/>
  <c r="AY290" i="3"/>
  <c r="AY368" i="3"/>
  <c r="AY333" i="3"/>
  <c r="AY556" i="3"/>
  <c r="AY472" i="3"/>
  <c r="AY443" i="3"/>
  <c r="AY411" i="3"/>
  <c r="AY408" i="3"/>
  <c r="AY392" i="3"/>
  <c r="AY96" i="3"/>
  <c r="AY28" i="3"/>
  <c r="AY187" i="3"/>
  <c r="AY171" i="3"/>
  <c r="AY117"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38" i="35"/>
  <c r="R39" i="35"/>
  <c r="J70" i="39"/>
  <c r="I72" i="39"/>
  <c r="J65" i="40"/>
  <c r="I67" i="40"/>
  <c r="AA12" i="40"/>
  <c r="S12" i="40"/>
  <c r="AB12" i="39"/>
  <c r="U12" i="39"/>
  <c r="W12" i="40"/>
  <c r="AC12" i="40"/>
  <c r="C50" i="34"/>
  <c r="B3" i="34" s="1"/>
  <c r="B2" i="34" s="1"/>
  <c r="C49" i="34"/>
  <c r="C49" i="33"/>
  <c r="B3" i="33" s="1"/>
  <c r="B2" i="33" s="1"/>
  <c r="C48" i="33"/>
  <c r="E53" i="21"/>
  <c r="F53" i="21" s="1"/>
  <c r="E52" i="21"/>
  <c r="F52" i="21" s="1"/>
  <c r="M23" i="6"/>
  <c r="I23" i="6" s="1"/>
  <c r="S23" i="6" s="1"/>
  <c r="S10" i="1"/>
  <c r="S8" i="1"/>
  <c r="M21" i="6"/>
  <c r="I21" i="6" s="1"/>
  <c r="S21" i="6" s="1"/>
  <c r="K27" i="6"/>
  <c r="S6" i="1"/>
  <c r="M19" i="6"/>
  <c r="C13" i="43"/>
  <c r="N16" i="1"/>
  <c r="C29" i="43" s="1"/>
  <c r="L16" i="1"/>
  <c r="E46" i="37"/>
  <c r="F46" i="37" s="1"/>
  <c r="E47" i="37"/>
  <c r="F47" i="37" s="1"/>
  <c r="E40" i="36"/>
  <c r="F40" i="36" s="1"/>
  <c r="E41" i="36"/>
  <c r="F41" i="36" s="1"/>
  <c r="D5" i="77"/>
  <c r="E11" i="89" s="1"/>
  <c r="D16" i="43"/>
  <c r="C16" i="43" s="1"/>
  <c r="L38" i="9"/>
  <c r="B14" i="66" s="1"/>
  <c r="B1" i="66" s="1"/>
  <c r="D16" i="12"/>
  <c r="E6" i="6"/>
  <c r="D44" i="9"/>
  <c r="C21" i="4"/>
  <c r="O5" i="54" s="1"/>
  <c r="B45" i="63" s="1"/>
  <c r="D10" i="11"/>
  <c r="D46" i="9"/>
  <c r="D45" i="9"/>
  <c r="AC12" i="39"/>
  <c r="W12" i="39"/>
  <c r="S12" i="39"/>
  <c r="AA12" i="39"/>
  <c r="AB12" i="40"/>
  <c r="U12" i="40"/>
  <c r="E54" i="34"/>
  <c r="F54" i="34" s="1"/>
  <c r="E53" i="34"/>
  <c r="F53" i="34" s="1"/>
  <c r="E52" i="33"/>
  <c r="F52" i="33" s="1"/>
  <c r="E53" i="33"/>
  <c r="F53" i="33" s="1"/>
  <c r="C48" i="21"/>
  <c r="C49" i="21"/>
  <c r="B3" i="21" s="1"/>
  <c r="B2" i="21" s="1"/>
  <c r="S11" i="1"/>
  <c r="M24" i="6"/>
  <c r="I24" i="6" s="1"/>
  <c r="S24" i="6" s="1"/>
  <c r="S7" i="1"/>
  <c r="M20" i="6"/>
  <c r="I20" i="6" s="1"/>
  <c r="S20" i="6" s="1"/>
  <c r="D1" i="46"/>
  <c r="S9" i="1"/>
  <c r="M22" i="6"/>
  <c r="I22" i="6" s="1"/>
  <c r="S22" i="6" s="1"/>
  <c r="F24" i="43"/>
  <c r="C26" i="43" s="1"/>
  <c r="D24" i="43" s="1"/>
  <c r="F18" i="11"/>
  <c r="F33" i="12"/>
  <c r="C34" i="12" s="1"/>
  <c r="D33" i="12" s="1"/>
  <c r="I53" i="33"/>
  <c r="J53" i="33" s="1"/>
  <c r="C42" i="37"/>
  <c r="C43" i="37"/>
  <c r="B3" i="37" s="1"/>
  <c r="B2" i="37" s="1"/>
  <c r="C37" i="36"/>
  <c r="B3" i="36" s="1"/>
  <c r="B2" i="36" s="1"/>
  <c r="C36" i="36"/>
  <c r="I53" i="21"/>
  <c r="J53" i="21" s="1"/>
  <c r="D9" i="78" l="1"/>
  <c r="D12" i="81"/>
  <c r="D13" i="11"/>
  <c r="C13" i="11" s="1"/>
  <c r="D22" i="12"/>
  <c r="C22" i="12" s="1"/>
  <c r="C20" i="12" s="1"/>
  <c r="C8" i="66"/>
  <c r="C6" i="66"/>
  <c r="C7" i="66"/>
  <c r="C14" i="43"/>
  <c r="C17" i="43"/>
  <c r="S16" i="1"/>
  <c r="T6" i="1" s="1"/>
  <c r="T10" i="1"/>
  <c r="C38" i="35"/>
  <c r="C39" i="35"/>
  <c r="B3" i="35" s="1"/>
  <c r="B2" i="35" s="1"/>
  <c r="K38" i="9"/>
  <c r="C14" i="66" s="1"/>
  <c r="B2" i="66" s="1"/>
  <c r="H25" i="6"/>
  <c r="H23" i="6"/>
  <c r="D25" i="6"/>
  <c r="R25" i="6" s="1"/>
  <c r="R12" i="1" s="1"/>
  <c r="D23" i="6"/>
  <c r="R23" i="6" s="1"/>
  <c r="R10" i="1" s="1"/>
  <c r="D24" i="6"/>
  <c r="H24" i="6"/>
  <c r="E63" i="40"/>
  <c r="C22" i="4"/>
  <c r="F1" i="86" s="1"/>
  <c r="D21" i="6"/>
  <c r="D22" i="6"/>
  <c r="D11" i="6"/>
  <c r="D12" i="6"/>
  <c r="H20" i="6"/>
  <c r="D9" i="6"/>
  <c r="D14" i="6"/>
  <c r="D28" i="6"/>
  <c r="D20" i="6"/>
  <c r="R20" i="6" s="1"/>
  <c r="R7" i="1" s="1"/>
  <c r="D8" i="6"/>
  <c r="F44" i="9"/>
  <c r="E68" i="39"/>
  <c r="D19" i="6"/>
  <c r="D10" i="6"/>
  <c r="H21" i="6"/>
  <c r="D5" i="6"/>
  <c r="H22" i="6"/>
  <c r="D15" i="6"/>
  <c r="E44" i="9"/>
  <c r="F46" i="9"/>
  <c r="D26" i="6"/>
  <c r="D13" i="6"/>
  <c r="D6" i="6"/>
  <c r="D29" i="6"/>
  <c r="H26" i="6"/>
  <c r="E46" i="9"/>
  <c r="F45" i="9"/>
  <c r="E45" i="9"/>
  <c r="T9" i="1"/>
  <c r="T7" i="1"/>
  <c r="T11" i="1"/>
  <c r="D19" i="12"/>
  <c r="C19" i="12" s="1"/>
  <c r="C16" i="12"/>
  <c r="C18" i="12" s="1"/>
  <c r="M27" i="6"/>
  <c r="I19" i="6"/>
  <c r="H19" i="6" s="1"/>
  <c r="H27" i="6" s="1"/>
  <c r="T8" i="1"/>
  <c r="K65" i="40"/>
  <c r="J67" i="40"/>
  <c r="K70" i="39"/>
  <c r="J72" i="39"/>
  <c r="E43" i="35"/>
  <c r="F43" i="35" s="1"/>
  <c r="E42" i="35"/>
  <c r="F42" i="35" s="1"/>
  <c r="I43" i="35"/>
  <c r="J43" i="35" s="1"/>
  <c r="M25" i="44"/>
  <c r="F12" i="67"/>
  <c r="M9" i="71"/>
  <c r="M6" i="71"/>
  <c r="M8" i="15"/>
  <c r="F6" i="70"/>
  <c r="F42" i="68"/>
  <c r="F13" i="70"/>
  <c r="M24" i="44"/>
  <c r="M22" i="15"/>
  <c r="L47" i="69"/>
  <c r="F16" i="71"/>
  <c r="M27" i="71"/>
  <c r="M23" i="70"/>
  <c r="M24" i="15"/>
  <c r="C14" i="71"/>
  <c r="M10" i="44"/>
  <c r="F26" i="71"/>
  <c r="M31" i="44"/>
  <c r="F40" i="69"/>
  <c r="F8" i="72"/>
  <c r="I3" i="65"/>
  <c r="M30" i="44"/>
  <c r="M22" i="71"/>
  <c r="J15" i="15"/>
  <c r="L47" i="68"/>
  <c r="C19" i="44"/>
  <c r="L48" i="44"/>
  <c r="F18" i="44"/>
  <c r="L48" i="69"/>
  <c r="L48" i="71"/>
  <c r="M9" i="70"/>
  <c r="F8" i="15"/>
  <c r="M29" i="15"/>
  <c r="L48" i="68"/>
  <c r="F38" i="69"/>
  <c r="F42" i="71"/>
  <c r="F43" i="44"/>
  <c r="B8" i="67"/>
  <c r="J36" i="69"/>
  <c r="F36" i="69"/>
  <c r="B11" i="67"/>
  <c r="M6" i="68"/>
  <c r="M26" i="69"/>
  <c r="J15" i="69"/>
  <c r="F8" i="69"/>
  <c r="F13" i="69"/>
  <c r="M6" i="69"/>
  <c r="J36" i="15"/>
  <c r="E12" i="67"/>
  <c r="F42" i="15"/>
  <c r="M29" i="70"/>
  <c r="J5" i="65"/>
  <c r="F37" i="68"/>
  <c r="F42" i="69"/>
  <c r="M11" i="44"/>
  <c r="F36" i="68"/>
  <c r="F36" i="72"/>
  <c r="B10" i="67"/>
  <c r="L48" i="70"/>
  <c r="J36" i="68"/>
  <c r="M22" i="72"/>
  <c r="M27" i="72"/>
  <c r="F36" i="15"/>
  <c r="F40" i="71"/>
  <c r="L47" i="72"/>
  <c r="M28" i="70"/>
  <c r="F6" i="72"/>
  <c r="E8" i="67"/>
  <c r="L49" i="44"/>
  <c r="M24" i="69"/>
  <c r="E10" i="67"/>
  <c r="F38" i="72"/>
  <c r="F37" i="71"/>
  <c r="I6" i="65"/>
  <c r="M8" i="69"/>
  <c r="F43" i="69"/>
  <c r="B14" i="67"/>
  <c r="F37" i="70"/>
  <c r="M8" i="71"/>
  <c r="F43" i="72"/>
  <c r="M6" i="72"/>
  <c r="M28" i="69"/>
  <c r="F38" i="44"/>
  <c r="C14" i="68"/>
  <c r="E11" i="67"/>
  <c r="F9" i="67"/>
  <c r="I5" i="65"/>
  <c r="F9" i="69"/>
  <c r="M24" i="71"/>
  <c r="F8" i="67"/>
  <c r="M29" i="71"/>
  <c r="N4" i="65"/>
  <c r="F7" i="69"/>
  <c r="M29" i="69"/>
  <c r="I7" i="65"/>
  <c r="F26" i="15"/>
  <c r="F26" i="68"/>
  <c r="N6" i="65"/>
  <c r="F26" i="70"/>
  <c r="E13" i="67"/>
  <c r="F38" i="71"/>
  <c r="M6" i="15"/>
  <c r="F35" i="71"/>
  <c r="L48" i="15"/>
  <c r="M29" i="72"/>
  <c r="M8" i="44"/>
  <c r="J15" i="71"/>
  <c r="M8" i="72"/>
  <c r="M27" i="15"/>
  <c r="F46" i="44"/>
  <c r="J36" i="72"/>
  <c r="J6" i="65"/>
  <c r="F40" i="70"/>
  <c r="F26" i="72"/>
  <c r="M26" i="68"/>
  <c r="F8" i="70"/>
  <c r="J15" i="70"/>
  <c r="M24" i="70"/>
  <c r="M23" i="72"/>
  <c r="F26" i="69"/>
  <c r="F43" i="71"/>
  <c r="J17" i="44"/>
  <c r="F11" i="44"/>
  <c r="F43" i="68"/>
  <c r="M26" i="72"/>
  <c r="F8" i="44"/>
  <c r="J15" i="72"/>
  <c r="M23" i="71"/>
  <c r="F40" i="15"/>
  <c r="F38" i="68"/>
  <c r="C14" i="70"/>
  <c r="M26" i="70"/>
  <c r="L48" i="72"/>
  <c r="F8" i="71"/>
  <c r="M28" i="68"/>
  <c r="M28" i="15"/>
  <c r="M9" i="69"/>
  <c r="F13" i="68"/>
  <c r="M27" i="70"/>
  <c r="J3" i="65"/>
  <c r="C14" i="15"/>
  <c r="F43" i="70"/>
  <c r="L47" i="70"/>
  <c r="F6" i="71"/>
  <c r="J15" i="68"/>
  <c r="F39" i="44"/>
  <c r="M26" i="15"/>
  <c r="M22" i="68"/>
  <c r="M9" i="72"/>
  <c r="F9" i="71"/>
  <c r="F16" i="70"/>
  <c r="F7" i="71"/>
  <c r="F13" i="72"/>
  <c r="B13" i="67"/>
  <c r="F42" i="70"/>
  <c r="F16" i="72"/>
  <c r="L47" i="15"/>
  <c r="M23" i="15"/>
  <c r="M6" i="70"/>
  <c r="B9" i="67"/>
  <c r="M26" i="44"/>
  <c r="J4" i="65"/>
  <c r="E9" i="67"/>
  <c r="F6" i="68"/>
  <c r="F37" i="44"/>
  <c r="M27" i="68"/>
  <c r="F7" i="72"/>
  <c r="F40" i="44"/>
  <c r="F28" i="44"/>
  <c r="C14" i="69"/>
  <c r="F38" i="15"/>
  <c r="M23" i="69"/>
  <c r="F9" i="70"/>
  <c r="F9" i="15"/>
  <c r="F35" i="68"/>
  <c r="N3" i="65"/>
  <c r="F42" i="72"/>
  <c r="E14" i="67"/>
  <c r="M9" i="68"/>
  <c r="M26" i="71"/>
  <c r="F16" i="15"/>
  <c r="M29" i="44"/>
  <c r="N5" i="65"/>
  <c r="M28" i="72"/>
  <c r="M27" i="69"/>
  <c r="F43" i="15"/>
  <c r="C14" i="72"/>
  <c r="F37" i="72"/>
  <c r="M21" i="71"/>
  <c r="F7" i="68"/>
  <c r="F7" i="15"/>
  <c r="M8" i="68"/>
  <c r="J7" i="65"/>
  <c r="F7" i="70"/>
  <c r="F40" i="72"/>
  <c r="F36" i="70"/>
  <c r="F13" i="67"/>
  <c r="F9" i="44"/>
  <c r="B12" i="67"/>
  <c r="F10" i="44"/>
  <c r="M24" i="72"/>
  <c r="I4" i="65"/>
  <c r="M29" i="68"/>
  <c r="M9" i="15"/>
  <c r="M23" i="44"/>
  <c r="F16" i="68"/>
  <c r="J36" i="71"/>
  <c r="M23" i="68"/>
  <c r="F13" i="71"/>
  <c r="F40" i="68"/>
  <c r="M21" i="68"/>
  <c r="F14" i="67"/>
  <c r="M28" i="71"/>
  <c r="F9" i="68"/>
  <c r="M8" i="70"/>
  <c r="F37" i="69"/>
  <c r="F15" i="44"/>
  <c r="F13" i="15"/>
  <c r="M24" i="68"/>
  <c r="M22" i="69"/>
  <c r="F45" i="44"/>
  <c r="F16" i="69"/>
  <c r="F38" i="70"/>
  <c r="F9" i="72"/>
  <c r="M22" i="70"/>
  <c r="J36" i="70"/>
  <c r="N7" i="65"/>
  <c r="F10" i="67"/>
  <c r="M28" i="44"/>
  <c r="F6" i="15"/>
  <c r="F11" i="67"/>
  <c r="F37" i="15"/>
  <c r="L47" i="71"/>
  <c r="F6" i="69"/>
  <c r="F36" i="71"/>
  <c r="F8" i="68"/>
  <c r="F10" i="81" l="1"/>
  <c r="D15" i="81"/>
  <c r="D17" i="81" s="1"/>
  <c r="D19" i="81" s="1"/>
  <c r="I1" i="65"/>
  <c r="M7" i="71"/>
  <c r="J6" i="71" s="1"/>
  <c r="F49" i="71"/>
  <c r="J60" i="44"/>
  <c r="I55" i="44"/>
  <c r="J61" i="44"/>
  <c r="Q50" i="44" s="1"/>
  <c r="L57" i="44"/>
  <c r="J58" i="44"/>
  <c r="J56" i="44" s="1"/>
  <c r="J59" i="44" s="1"/>
  <c r="Q52" i="44" s="1"/>
  <c r="J54" i="44"/>
  <c r="F1" i="44" s="1"/>
  <c r="F65" i="70"/>
  <c r="L59" i="70"/>
  <c r="Q62" i="70" s="1"/>
  <c r="L58" i="70"/>
  <c r="Q74" i="70" s="1"/>
  <c r="F50" i="68"/>
  <c r="F67" i="15"/>
  <c r="F67" i="69"/>
  <c r="F49" i="72"/>
  <c r="M7" i="72"/>
  <c r="C27" i="69"/>
  <c r="F63" i="70"/>
  <c r="I54" i="72"/>
  <c r="L57" i="72"/>
  <c r="J57" i="72"/>
  <c r="J55" i="72" s="1"/>
  <c r="J58" i="72" s="1"/>
  <c r="Q51" i="72" s="1"/>
  <c r="L56" i="72"/>
  <c r="L60" i="72"/>
  <c r="Q58" i="72" s="1"/>
  <c r="J59" i="72"/>
  <c r="J53" i="72"/>
  <c r="Q53" i="72" s="1"/>
  <c r="J60" i="72"/>
  <c r="Q49" i="72" s="1"/>
  <c r="F50" i="15"/>
  <c r="J60" i="68"/>
  <c r="Q49" i="68" s="1"/>
  <c r="J53" i="68"/>
  <c r="Q53" i="68" s="1"/>
  <c r="J59" i="68"/>
  <c r="L56" i="68"/>
  <c r="L60" i="68"/>
  <c r="Q67" i="68" s="1"/>
  <c r="J57" i="68"/>
  <c r="J55" i="68" s="1"/>
  <c r="J58" i="68" s="1"/>
  <c r="Q51" i="68" s="1"/>
  <c r="I54" i="68"/>
  <c r="L57" i="68"/>
  <c r="M9" i="44"/>
  <c r="J8" i="44" s="1"/>
  <c r="F64" i="68"/>
  <c r="F63" i="68"/>
  <c r="C8" i="44"/>
  <c r="C27" i="68"/>
  <c r="C27" i="71"/>
  <c r="C6" i="71"/>
  <c r="F67" i="68"/>
  <c r="Q72" i="69"/>
  <c r="F50" i="70"/>
  <c r="C29" i="44"/>
  <c r="L58" i="15"/>
  <c r="Q61" i="15" s="1"/>
  <c r="L59" i="15"/>
  <c r="Q75" i="15" s="1"/>
  <c r="F70" i="71"/>
  <c r="F64" i="71"/>
  <c r="J22" i="44"/>
  <c r="F50" i="69"/>
  <c r="F67" i="71"/>
  <c r="L59" i="69"/>
  <c r="Q62" i="69" s="1"/>
  <c r="L58" i="69"/>
  <c r="Q61" i="69" s="1"/>
  <c r="Q72" i="71"/>
  <c r="F64" i="72"/>
  <c r="F49" i="15"/>
  <c r="M7" i="15"/>
  <c r="F65" i="71"/>
  <c r="C6" i="15"/>
  <c r="L58" i="68"/>
  <c r="Q74" i="68" s="1"/>
  <c r="L59" i="68"/>
  <c r="Q62" i="68" s="1"/>
  <c r="Q72" i="72"/>
  <c r="F63" i="71"/>
  <c r="C27" i="15"/>
  <c r="Q72" i="15"/>
  <c r="Q73" i="44"/>
  <c r="F70" i="69"/>
  <c r="F65" i="69"/>
  <c r="F64" i="15"/>
  <c r="F67" i="72"/>
  <c r="Q72" i="68"/>
  <c r="F70" i="70"/>
  <c r="I54" i="70"/>
  <c r="J57" i="70"/>
  <c r="J55" i="70" s="1"/>
  <c r="J58" i="70" s="1"/>
  <c r="Q51" i="70" s="1"/>
  <c r="L60" i="70"/>
  <c r="Q58" i="70" s="1"/>
  <c r="J60" i="70"/>
  <c r="Q49" i="70" s="1"/>
  <c r="J59" i="70"/>
  <c r="L57" i="70"/>
  <c r="J53" i="70"/>
  <c r="Q53" i="70" s="1"/>
  <c r="L56" i="70"/>
  <c r="F64" i="69"/>
  <c r="Q72" i="70"/>
  <c r="J1" i="65"/>
  <c r="F63" i="72"/>
  <c r="F70" i="15"/>
  <c r="F49" i="70"/>
  <c r="M7" i="70"/>
  <c r="J6" i="70" s="1"/>
  <c r="F65" i="72"/>
  <c r="C36" i="44"/>
  <c r="M7" i="69"/>
  <c r="J6" i="69" s="1"/>
  <c r="F49" i="69"/>
  <c r="C27" i="70"/>
  <c r="F67" i="70"/>
  <c r="F63" i="69"/>
  <c r="F70" i="68"/>
  <c r="L60" i="71"/>
  <c r="Q58" i="71" s="1"/>
  <c r="I54" i="71"/>
  <c r="L57" i="71"/>
  <c r="J53" i="71"/>
  <c r="F1" i="71" s="1"/>
  <c r="L56" i="71"/>
  <c r="J60" i="71"/>
  <c r="Q49" i="71" s="1"/>
  <c r="J57" i="71"/>
  <c r="J55" i="71" s="1"/>
  <c r="J58" i="71" s="1"/>
  <c r="Q51" i="71" s="1"/>
  <c r="J59" i="71"/>
  <c r="F70" i="72"/>
  <c r="F65" i="68"/>
  <c r="J60" i="15"/>
  <c r="Q49" i="15" s="1"/>
  <c r="L56" i="15"/>
  <c r="L46" i="15"/>
  <c r="L57" i="15"/>
  <c r="J53" i="15"/>
  <c r="Q53" i="15" s="1"/>
  <c r="I54" i="15"/>
  <c r="L60" i="15"/>
  <c r="Q58" i="15" s="1"/>
  <c r="J57" i="15"/>
  <c r="J55" i="15" s="1"/>
  <c r="J58" i="15" s="1"/>
  <c r="Q51" i="15" s="1"/>
  <c r="J59" i="15"/>
  <c r="F65" i="15"/>
  <c r="F50" i="72"/>
  <c r="L60" i="44"/>
  <c r="Q63" i="44" s="1"/>
  <c r="L59" i="44"/>
  <c r="Q62" i="44" s="1"/>
  <c r="C4" i="65"/>
  <c r="B39" i="1" s="1"/>
  <c r="F11" i="15" s="1"/>
  <c r="C10" i="15" s="1"/>
  <c r="C5" i="15" s="1"/>
  <c r="C33" i="15" s="1"/>
  <c r="C6" i="68"/>
  <c r="F50" i="71"/>
  <c r="F63" i="15"/>
  <c r="C27" i="72"/>
  <c r="F49" i="68"/>
  <c r="M7" i="68"/>
  <c r="J6" i="68" s="1"/>
  <c r="L57" i="69"/>
  <c r="J53" i="69"/>
  <c r="L60" i="69"/>
  <c r="Q67" i="69" s="1"/>
  <c r="J60" i="69"/>
  <c r="Q49" i="69" s="1"/>
  <c r="J57" i="69"/>
  <c r="J55" i="69" s="1"/>
  <c r="J58" i="69" s="1"/>
  <c r="Q51" i="69" s="1"/>
  <c r="J59" i="69"/>
  <c r="I54" i="69"/>
  <c r="L56" i="69"/>
  <c r="F64" i="70"/>
  <c r="E20" i="86"/>
  <c r="M17" i="86" s="1"/>
  <c r="E20" i="46"/>
  <c r="M17" i="46" s="1"/>
  <c r="L59" i="71"/>
  <c r="Q75" i="71" s="1"/>
  <c r="L58" i="71"/>
  <c r="Q74" i="71" s="1"/>
  <c r="C6" i="72"/>
  <c r="C6" i="69"/>
  <c r="C6" i="70"/>
  <c r="L59" i="72"/>
  <c r="Q75" i="72" s="1"/>
  <c r="L58" i="72"/>
  <c r="Q74" i="72" s="1"/>
  <c r="Q58" i="68"/>
  <c r="Q75" i="68"/>
  <c r="C23" i="12"/>
  <c r="C18" i="43"/>
  <c r="C15" i="69"/>
  <c r="C18" i="69"/>
  <c r="C15" i="68"/>
  <c r="C18" i="68"/>
  <c r="J20" i="71"/>
  <c r="C34" i="71"/>
  <c r="F62" i="71"/>
  <c r="C61" i="71" s="1"/>
  <c r="C18" i="15"/>
  <c r="C15" i="15"/>
  <c r="C18" i="72"/>
  <c r="C15" i="72"/>
  <c r="C15" i="70"/>
  <c r="C18" i="70"/>
  <c r="C34" i="68"/>
  <c r="F62" i="68"/>
  <c r="C61" i="68" s="1"/>
  <c r="J20" i="68"/>
  <c r="C15" i="71"/>
  <c r="C18" i="71"/>
  <c r="D16" i="6"/>
  <c r="D30" i="6"/>
  <c r="R22" i="6"/>
  <c r="R9" i="1" s="1"/>
  <c r="L2" i="79"/>
  <c r="F1" i="46"/>
  <c r="A6" i="64"/>
  <c r="A6" i="51"/>
  <c r="B7" i="63" s="1"/>
  <c r="A20" i="51"/>
  <c r="B15" i="63" s="1"/>
  <c r="A20" i="64"/>
  <c r="N5" i="54"/>
  <c r="B43" i="63" s="1"/>
  <c r="D8" i="66"/>
  <c r="D6" i="66"/>
  <c r="D7" i="66"/>
  <c r="L70" i="39"/>
  <c r="K72" i="39"/>
  <c r="L65" i="40"/>
  <c r="K67" i="40"/>
  <c r="I27" i="6"/>
  <c r="S19" i="6"/>
  <c r="S27" i="6" s="1"/>
  <c r="R26" i="6"/>
  <c r="R19" i="6"/>
  <c r="D27" i="6"/>
  <c r="D31" i="6" s="1"/>
  <c r="R21" i="6"/>
  <c r="R8" i="1" s="1"/>
  <c r="R24" i="6"/>
  <c r="R11" i="1" s="1"/>
  <c r="T13" i="1"/>
  <c r="T12" i="1"/>
  <c r="C16" i="70"/>
  <c r="M17" i="69"/>
  <c r="F58" i="70"/>
  <c r="F58" i="72"/>
  <c r="C17" i="72"/>
  <c r="C18" i="44"/>
  <c r="F31" i="71"/>
  <c r="AE10" i="1"/>
  <c r="E2" i="65"/>
  <c r="F35" i="70"/>
  <c r="M17" i="71"/>
  <c r="C16" i="69"/>
  <c r="C17" i="70"/>
  <c r="F31" i="72"/>
  <c r="F58" i="69"/>
  <c r="F58" i="71"/>
  <c r="C16" i="68"/>
  <c r="F31" i="70"/>
  <c r="F31" i="15"/>
  <c r="M21" i="72"/>
  <c r="M17" i="15"/>
  <c r="E3" i="65"/>
  <c r="F35" i="69"/>
  <c r="M21" i="69"/>
  <c r="F31" i="68"/>
  <c r="M19" i="44"/>
  <c r="M17" i="72"/>
  <c r="F31" i="69"/>
  <c r="F33" i="44"/>
  <c r="F35" i="72"/>
  <c r="C17" i="71"/>
  <c r="C16" i="44"/>
  <c r="C16" i="72"/>
  <c r="C17" i="15"/>
  <c r="F58" i="68"/>
  <c r="M17" i="68"/>
  <c r="M21" i="70"/>
  <c r="C16" i="71"/>
  <c r="M17" i="70"/>
  <c r="C16" i="15"/>
  <c r="F58" i="15"/>
  <c r="C17" i="68"/>
  <c r="C17" i="69"/>
  <c r="Q67" i="72" l="1"/>
  <c r="F1" i="70"/>
  <c r="Q53" i="71"/>
  <c r="F1" i="72"/>
  <c r="L46" i="71"/>
  <c r="F1" i="68"/>
  <c r="Q62" i="15"/>
  <c r="Q61" i="70"/>
  <c r="Q67" i="70"/>
  <c r="Q74" i="15"/>
  <c r="C48" i="68"/>
  <c r="Q67" i="71"/>
  <c r="C48" i="71"/>
  <c r="Q61" i="71"/>
  <c r="Q61" i="68"/>
  <c r="F1" i="15"/>
  <c r="L46" i="68"/>
  <c r="C48" i="15"/>
  <c r="Q58" i="69"/>
  <c r="P17" i="46"/>
  <c r="G20" i="46" s="1"/>
  <c r="C20" i="46" s="1"/>
  <c r="Q75" i="44"/>
  <c r="N17" i="46"/>
  <c r="L46" i="69"/>
  <c r="C52" i="15"/>
  <c r="C47" i="15" s="1"/>
  <c r="C59" i="15" s="1"/>
  <c r="M11" i="71"/>
  <c r="J10" i="71" s="1"/>
  <c r="J5" i="71" s="1"/>
  <c r="J26" i="71" s="1"/>
  <c r="Q74" i="69"/>
  <c r="C48" i="72"/>
  <c r="M11" i="70"/>
  <c r="J10" i="70" s="1"/>
  <c r="F11" i="68"/>
  <c r="C10" i="68" s="1"/>
  <c r="B40" i="1"/>
  <c r="F24" i="68" s="1"/>
  <c r="C24" i="68" s="1"/>
  <c r="Q76" i="44"/>
  <c r="F11" i="69"/>
  <c r="C52" i="69" s="1"/>
  <c r="M11" i="68"/>
  <c r="J10" i="68" s="1"/>
  <c r="J5" i="68" s="1"/>
  <c r="J18" i="68" s="1"/>
  <c r="M13" i="44"/>
  <c r="J12" i="44" s="1"/>
  <c r="J7" i="44" s="1"/>
  <c r="J20" i="44" s="1"/>
  <c r="Q61" i="72"/>
  <c r="F11" i="71"/>
  <c r="C52" i="71" s="1"/>
  <c r="M11" i="15"/>
  <c r="J10" i="15" s="1"/>
  <c r="M11" i="72"/>
  <c r="J10" i="72" s="1"/>
  <c r="F11" i="72"/>
  <c r="C52" i="72" s="1"/>
  <c r="C47" i="72" s="1"/>
  <c r="M11" i="69"/>
  <c r="J10" i="69" s="1"/>
  <c r="J5" i="69" s="1"/>
  <c r="J26" i="69" s="1"/>
  <c r="F11" i="70"/>
  <c r="C10" i="70" s="1"/>
  <c r="F13" i="44"/>
  <c r="C12" i="44" s="1"/>
  <c r="C7" i="44" s="1"/>
  <c r="C40" i="44" s="1"/>
  <c r="O17" i="86"/>
  <c r="P17" i="86"/>
  <c r="G20" i="86" s="1"/>
  <c r="C5" i="70"/>
  <c r="C33" i="70" s="1"/>
  <c r="Q62" i="71"/>
  <c r="N17" i="86"/>
  <c r="C48" i="70"/>
  <c r="C48" i="69"/>
  <c r="J5" i="70"/>
  <c r="J24" i="70" s="1"/>
  <c r="O17" i="46"/>
  <c r="Q75" i="70"/>
  <c r="Q75" i="69"/>
  <c r="L46" i="70"/>
  <c r="C5" i="68"/>
  <c r="Q67" i="15"/>
  <c r="Q54" i="44"/>
  <c r="Q62" i="72"/>
  <c r="L46" i="72"/>
  <c r="F17" i="87"/>
  <c r="C17" i="87" s="1"/>
  <c r="C19" i="87" s="1"/>
  <c r="F17" i="11"/>
  <c r="Q53" i="69"/>
  <c r="F1" i="69"/>
  <c r="J6" i="72"/>
  <c r="J6" i="15"/>
  <c r="C36" i="86"/>
  <c r="C33" i="86"/>
  <c r="C35" i="86"/>
  <c r="C34" i="86"/>
  <c r="C39" i="86"/>
  <c r="E39" i="86" s="1"/>
  <c r="T16" i="86"/>
  <c r="V16" i="86" s="1"/>
  <c r="C37" i="86"/>
  <c r="T14" i="86"/>
  <c r="V14" i="86" s="1"/>
  <c r="T12" i="86"/>
  <c r="V12" i="86" s="1"/>
  <c r="T11" i="86"/>
  <c r="V11" i="86" s="1"/>
  <c r="T6" i="86"/>
  <c r="V6" i="86" s="1"/>
  <c r="T3" i="86"/>
  <c r="V3" i="86" s="1"/>
  <c r="T4" i="86"/>
  <c r="V4" i="86" s="1"/>
  <c r="T10" i="86"/>
  <c r="V10" i="86" s="1"/>
  <c r="C29" i="86"/>
  <c r="C38" i="86"/>
  <c r="T15" i="86"/>
  <c r="V15" i="86" s="1"/>
  <c r="T13" i="86"/>
  <c r="V13" i="86" s="1"/>
  <c r="T9" i="86"/>
  <c r="V9" i="86" s="1"/>
  <c r="T8" i="86"/>
  <c r="V8" i="86" s="1"/>
  <c r="T5" i="86"/>
  <c r="V5" i="86" s="1"/>
  <c r="T7" i="86"/>
  <c r="V7" i="86" s="1"/>
  <c r="T2" i="86"/>
  <c r="V2" i="86" s="1"/>
  <c r="C32" i="68"/>
  <c r="C7" i="11"/>
  <c r="C18" i="11" s="1"/>
  <c r="K3" i="79"/>
  <c r="C38" i="15"/>
  <c r="C32" i="15"/>
  <c r="C19" i="72"/>
  <c r="C20" i="72" s="1"/>
  <c r="C19" i="15"/>
  <c r="C20" i="15" s="1"/>
  <c r="C26" i="15" s="1"/>
  <c r="C35" i="12"/>
  <c r="C33" i="12" s="1"/>
  <c r="C19" i="71"/>
  <c r="C20" i="71" s="1"/>
  <c r="C26" i="71" s="1"/>
  <c r="C19" i="69"/>
  <c r="C20" i="69" s="1"/>
  <c r="C26" i="69" s="1"/>
  <c r="C19" i="43"/>
  <c r="C25" i="43" s="1"/>
  <c r="C24" i="43" s="1"/>
  <c r="C19" i="70"/>
  <c r="C20" i="70" s="1"/>
  <c r="C19" i="68"/>
  <c r="C20" i="44"/>
  <c r="C17" i="44"/>
  <c r="C34" i="72"/>
  <c r="F62" i="72"/>
  <c r="C61" i="72" s="1"/>
  <c r="J20" i="72"/>
  <c r="J20" i="70"/>
  <c r="F62" i="70"/>
  <c r="C61" i="70" s="1"/>
  <c r="C34" i="70"/>
  <c r="J20" i="69"/>
  <c r="C34" i="69"/>
  <c r="F62" i="69"/>
  <c r="C61" i="69" s="1"/>
  <c r="I6" i="6"/>
  <c r="G3" i="46" s="1"/>
  <c r="I5" i="6"/>
  <c r="L67" i="40"/>
  <c r="M65" i="40"/>
  <c r="M70" i="39"/>
  <c r="L72" i="39"/>
  <c r="R6" i="1"/>
  <c r="R27" i="6"/>
  <c r="T16" i="1"/>
  <c r="M21" i="15"/>
  <c r="F35" i="15"/>
  <c r="AE9" i="1"/>
  <c r="AE8" i="1"/>
  <c r="AE7" i="1"/>
  <c r="F41" i="71"/>
  <c r="AE11" i="1"/>
  <c r="AE6" i="1"/>
  <c r="L52" i="44"/>
  <c r="C32" i="70" l="1"/>
  <c r="C17" i="11"/>
  <c r="T15" i="46"/>
  <c r="V15" i="46" s="1"/>
  <c r="T14" i="46"/>
  <c r="V14" i="46" s="1"/>
  <c r="C10" i="72"/>
  <c r="C5" i="72" s="1"/>
  <c r="C33" i="72" s="1"/>
  <c r="C52" i="68"/>
  <c r="C47" i="68" s="1"/>
  <c r="C65" i="68" s="1"/>
  <c r="C47" i="71"/>
  <c r="C59" i="71" s="1"/>
  <c r="T10" i="46"/>
  <c r="V10" i="46" s="1"/>
  <c r="T16" i="46"/>
  <c r="V16" i="46" s="1"/>
  <c r="F24" i="69"/>
  <c r="C24" i="69" s="1"/>
  <c r="F24" i="70"/>
  <c r="C24" i="70" s="1"/>
  <c r="C47" i="69"/>
  <c r="C59" i="69" s="1"/>
  <c r="C39" i="46"/>
  <c r="E39" i="46" s="1"/>
  <c r="C34" i="46"/>
  <c r="G34" i="46" s="1"/>
  <c r="I34" i="46" s="1"/>
  <c r="C36" i="46"/>
  <c r="E36" i="46" s="1"/>
  <c r="T11" i="46"/>
  <c r="V11" i="46" s="1"/>
  <c r="C10" i="71"/>
  <c r="C5" i="71" s="1"/>
  <c r="C32" i="71" s="1"/>
  <c r="F22" i="11"/>
  <c r="J26" i="70"/>
  <c r="C10" i="69"/>
  <c r="C5" i="69" s="1"/>
  <c r="C32" i="69" s="1"/>
  <c r="F26" i="44"/>
  <c r="C26" i="44" s="1"/>
  <c r="J18" i="70"/>
  <c r="C38" i="70"/>
  <c r="T13" i="46"/>
  <c r="V13" i="46" s="1"/>
  <c r="C38" i="46"/>
  <c r="E38" i="46" s="1"/>
  <c r="T12" i="46"/>
  <c r="V12" i="46" s="1"/>
  <c r="T8" i="46"/>
  <c r="V8" i="46" s="1"/>
  <c r="C35" i="46"/>
  <c r="E35" i="46" s="1"/>
  <c r="C37" i="46"/>
  <c r="E37" i="46" s="1"/>
  <c r="T9" i="46"/>
  <c r="V9" i="46" s="1"/>
  <c r="C33" i="46"/>
  <c r="G33" i="46" s="1"/>
  <c r="I33" i="46" s="1"/>
  <c r="F24" i="15"/>
  <c r="C24" i="15" s="1"/>
  <c r="F26" i="12"/>
  <c r="C27" i="12" s="1"/>
  <c r="D26" i="12" s="1"/>
  <c r="C32" i="12" s="1"/>
  <c r="D30" i="12" s="1"/>
  <c r="F21" i="43"/>
  <c r="C23" i="43" s="1"/>
  <c r="D21" i="43" s="1"/>
  <c r="J5" i="15"/>
  <c r="J26" i="15" s="1"/>
  <c r="C52" i="70"/>
  <c r="C47" i="70" s="1"/>
  <c r="C59" i="70" s="1"/>
  <c r="F24" i="71"/>
  <c r="C24" i="71" s="1"/>
  <c r="F24" i="72"/>
  <c r="C24" i="72" s="1"/>
  <c r="F68" i="71"/>
  <c r="J29" i="71"/>
  <c r="C34" i="44"/>
  <c r="J5" i="72"/>
  <c r="J26" i="72" s="1"/>
  <c r="L58" i="44"/>
  <c r="L61" i="44" s="1"/>
  <c r="Q68" i="44" s="1"/>
  <c r="Q69" i="44"/>
  <c r="J24" i="68"/>
  <c r="J28" i="44"/>
  <c r="J31" i="44" s="1"/>
  <c r="Q67" i="44" s="1"/>
  <c r="J26" i="44"/>
  <c r="C38" i="68"/>
  <c r="C33" i="68"/>
  <c r="C31" i="68" s="1"/>
  <c r="C20" i="87"/>
  <c r="C21" i="87" s="1"/>
  <c r="J24" i="69"/>
  <c r="J26" i="68"/>
  <c r="G38" i="86"/>
  <c r="I38" i="86" s="1"/>
  <c r="E38" i="86"/>
  <c r="G34" i="86"/>
  <c r="I34" i="86" s="1"/>
  <c r="E34" i="86"/>
  <c r="G33" i="86"/>
  <c r="I33" i="86" s="1"/>
  <c r="E33" i="86"/>
  <c r="E29" i="86"/>
  <c r="C30" i="86"/>
  <c r="E30" i="86" s="1"/>
  <c r="G37" i="86"/>
  <c r="I37" i="86" s="1"/>
  <c r="E37" i="86"/>
  <c r="G35" i="86"/>
  <c r="I35" i="86" s="1"/>
  <c r="E35" i="86"/>
  <c r="G36" i="86"/>
  <c r="I36" i="86" s="1"/>
  <c r="E36" i="86"/>
  <c r="J24" i="71"/>
  <c r="J18" i="71"/>
  <c r="C60" i="15"/>
  <c r="C65" i="15"/>
  <c r="J18" i="69"/>
  <c r="C65" i="72"/>
  <c r="C60" i="72"/>
  <c r="C59" i="72"/>
  <c r="H22" i="46"/>
  <c r="AF11" i="46"/>
  <c r="AF13" i="46" s="1"/>
  <c r="AA11" i="46"/>
  <c r="AA13" i="46" s="1"/>
  <c r="E22" i="46"/>
  <c r="F22" i="46"/>
  <c r="E101" i="46"/>
  <c r="D101" i="46"/>
  <c r="I101" i="46"/>
  <c r="B113" i="46"/>
  <c r="G101" i="46"/>
  <c r="AJ11" i="46"/>
  <c r="AJ13" i="46" s="1"/>
  <c r="H101" i="46"/>
  <c r="AH11" i="46"/>
  <c r="AH13" i="46" s="1"/>
  <c r="Z11" i="46"/>
  <c r="Z13" i="46" s="1"/>
  <c r="AG11" i="46"/>
  <c r="AG13" i="46" s="1"/>
  <c r="F101" i="46"/>
  <c r="K101" i="46"/>
  <c r="M101" i="46"/>
  <c r="N104" i="45"/>
  <c r="C101" i="46"/>
  <c r="AI11" i="46"/>
  <c r="AI13" i="46" s="1"/>
  <c r="G22" i="46"/>
  <c r="AD11" i="46"/>
  <c r="AD13" i="46" s="1"/>
  <c r="Y11" i="46"/>
  <c r="Y13" i="46" s="1"/>
  <c r="AC11" i="46"/>
  <c r="AC13" i="46" s="1"/>
  <c r="N101" i="46"/>
  <c r="Z7" i="46"/>
  <c r="L101" i="46"/>
  <c r="J101" i="46"/>
  <c r="J22" i="46"/>
  <c r="AB11" i="46"/>
  <c r="AB13" i="46" s="1"/>
  <c r="AE11" i="46"/>
  <c r="AE13" i="46" s="1"/>
  <c r="C31" i="70"/>
  <c r="C26" i="70"/>
  <c r="C21" i="44"/>
  <c r="C22" i="44" s="1"/>
  <c r="C28" i="44" s="1"/>
  <c r="C20" i="68"/>
  <c r="C26" i="68" s="1"/>
  <c r="C34" i="15"/>
  <c r="C31" i="15" s="1"/>
  <c r="F62" i="15"/>
  <c r="C61" i="15" s="1"/>
  <c r="J20" i="15"/>
  <c r="M72" i="39"/>
  <c r="N70" i="39"/>
  <c r="N72" i="39" s="1"/>
  <c r="C26" i="72"/>
  <c r="C19" i="11"/>
  <c r="C20" i="11" s="1"/>
  <c r="C21" i="11" s="1"/>
  <c r="R16" i="1"/>
  <c r="N65" i="40"/>
  <c r="N67" i="40" s="1"/>
  <c r="M67" i="40"/>
  <c r="F41" i="72"/>
  <c r="F41" i="70"/>
  <c r="F41" i="69"/>
  <c r="F41" i="68"/>
  <c r="F41" i="15"/>
  <c r="F68" i="72" l="1"/>
  <c r="F68" i="68"/>
  <c r="J29" i="68"/>
  <c r="J29" i="72"/>
  <c r="F68" i="70"/>
  <c r="J29" i="70"/>
  <c r="F68" i="15"/>
  <c r="J29" i="15"/>
  <c r="C32" i="72"/>
  <c r="G37" i="46"/>
  <c r="I37" i="46" s="1"/>
  <c r="C38" i="72"/>
  <c r="C65" i="71"/>
  <c r="J24" i="15"/>
  <c r="G36" i="46"/>
  <c r="I36" i="46" s="1"/>
  <c r="C38" i="71"/>
  <c r="C60" i="71"/>
  <c r="C58" i="71" s="1"/>
  <c r="C23" i="70"/>
  <c r="C29" i="70" s="1"/>
  <c r="J19" i="70" s="1"/>
  <c r="J17" i="70" s="1"/>
  <c r="J24" i="72"/>
  <c r="C23" i="15"/>
  <c r="C29" i="15" s="1"/>
  <c r="Q50" i="15" s="1"/>
  <c r="C59" i="68"/>
  <c r="E34" i="46"/>
  <c r="C33" i="69"/>
  <c r="C31" i="69" s="1"/>
  <c r="C65" i="69"/>
  <c r="C23" i="69"/>
  <c r="C29" i="69" s="1"/>
  <c r="C36" i="69" s="1"/>
  <c r="E33" i="46"/>
  <c r="G38" i="46"/>
  <c r="I38" i="46" s="1"/>
  <c r="C38" i="69"/>
  <c r="C60" i="68"/>
  <c r="J18" i="15"/>
  <c r="J18" i="72"/>
  <c r="C60" i="69"/>
  <c r="C58" i="69" s="1"/>
  <c r="G35" i="46"/>
  <c r="I35" i="46" s="1"/>
  <c r="C33" i="71"/>
  <c r="C31" i="71" s="1"/>
  <c r="C22" i="11"/>
  <c r="C23" i="11" s="1"/>
  <c r="B2" i="11" s="1"/>
  <c r="I14" i="81" s="1"/>
  <c r="I15" i="81" s="1"/>
  <c r="C23" i="71"/>
  <c r="C29" i="71" s="1"/>
  <c r="C36" i="71" s="1"/>
  <c r="Q59" i="44"/>
  <c r="C28" i="12"/>
  <c r="C26" i="12" s="1"/>
  <c r="C31" i="12" s="1"/>
  <c r="C30" i="12" s="1"/>
  <c r="C36" i="12" s="1"/>
  <c r="B2" i="12" s="1"/>
  <c r="B3" i="12" s="1"/>
  <c r="C22" i="43"/>
  <c r="C21" i="43" s="1"/>
  <c r="C28" i="43" s="1"/>
  <c r="C30" i="43" s="1"/>
  <c r="Q58" i="44"/>
  <c r="Q49" i="44"/>
  <c r="Q55" i="44" s="1"/>
  <c r="L47" i="44"/>
  <c r="C23" i="72"/>
  <c r="C29" i="72" s="1"/>
  <c r="Q77" i="44"/>
  <c r="F68" i="69"/>
  <c r="J29" i="69"/>
  <c r="C65" i="70"/>
  <c r="C60" i="70"/>
  <c r="C58" i="70" s="1"/>
  <c r="G16" i="81"/>
  <c r="C22" i="87"/>
  <c r="C23" i="87"/>
  <c r="C26" i="86"/>
  <c r="B2" i="86" s="1"/>
  <c r="B4" i="86" s="1"/>
  <c r="C58" i="68"/>
  <c r="C27" i="86"/>
  <c r="C58" i="15"/>
  <c r="C58" i="72"/>
  <c r="C31" i="72"/>
  <c r="K109" i="46"/>
  <c r="K107" i="46"/>
  <c r="K105" i="46"/>
  <c r="K103" i="46"/>
  <c r="K104" i="46"/>
  <c r="K102" i="46"/>
  <c r="K106" i="46"/>
  <c r="D118" i="46"/>
  <c r="E118" i="46" s="1"/>
  <c r="F118" i="46" s="1"/>
  <c r="B116" i="46"/>
  <c r="C116" i="46" s="1"/>
  <c r="B117" i="46"/>
  <c r="C117" i="46" s="1"/>
  <c r="I118" i="46"/>
  <c r="J118" i="46" s="1"/>
  <c r="K118" i="46" s="1"/>
  <c r="L118" i="46" s="1"/>
  <c r="M118" i="46" s="1"/>
  <c r="D117" i="46"/>
  <c r="E117" i="46" s="1"/>
  <c r="F117" i="46" s="1"/>
  <c r="G117" i="46" s="1"/>
  <c r="H117" i="46" s="1"/>
  <c r="G118" i="46"/>
  <c r="H118" i="46" s="1"/>
  <c r="I115" i="46"/>
  <c r="J115" i="46" s="1"/>
  <c r="K115" i="46" s="1"/>
  <c r="L115" i="46" s="1"/>
  <c r="M115" i="46" s="1"/>
  <c r="D116" i="46"/>
  <c r="E116" i="46" s="1"/>
  <c r="F116" i="46" s="1"/>
  <c r="G116" i="46" s="1"/>
  <c r="H116" i="46" s="1"/>
  <c r="B115" i="46"/>
  <c r="C115" i="46" s="1"/>
  <c r="I116" i="46"/>
  <c r="J116" i="46" s="1"/>
  <c r="K116" i="46" s="1"/>
  <c r="L116" i="46" s="1"/>
  <c r="M116" i="46" s="1"/>
  <c r="D115" i="46"/>
  <c r="E115" i="46" s="1"/>
  <c r="F115" i="46" s="1"/>
  <c r="G115" i="46" s="1"/>
  <c r="H115" i="46" s="1"/>
  <c r="B118" i="46"/>
  <c r="C118" i="46" s="1"/>
  <c r="I117" i="46"/>
  <c r="J117" i="46" s="1"/>
  <c r="K117" i="46" s="1"/>
  <c r="L117" i="46" s="1"/>
  <c r="M117" i="46" s="1"/>
  <c r="D106" i="46"/>
  <c r="D109" i="46"/>
  <c r="D102" i="46"/>
  <c r="D103" i="46"/>
  <c r="D107" i="46"/>
  <c r="D104" i="46"/>
  <c r="D105" i="46"/>
  <c r="J9" i="40"/>
  <c r="AC9" i="40" s="1"/>
  <c r="V44" i="40" s="1"/>
  <c r="I44" i="40" s="1"/>
  <c r="L106" i="46"/>
  <c r="L107" i="46"/>
  <c r="L109" i="46"/>
  <c r="L103" i="46"/>
  <c r="L102" i="46"/>
  <c r="L105" i="46"/>
  <c r="L104" i="46"/>
  <c r="N109" i="46"/>
  <c r="N105" i="46"/>
  <c r="N102" i="46"/>
  <c r="N107" i="46"/>
  <c r="N103" i="46"/>
  <c r="N104" i="46"/>
  <c r="N106" i="46"/>
  <c r="C104" i="46"/>
  <c r="C103" i="46"/>
  <c r="C106" i="46"/>
  <c r="C109" i="46"/>
  <c r="C105" i="46"/>
  <c r="C102" i="46"/>
  <c r="C107" i="46"/>
  <c r="M104" i="46"/>
  <c r="M103" i="46"/>
  <c r="M105" i="46"/>
  <c r="M107" i="46"/>
  <c r="M102" i="46"/>
  <c r="M109" i="46"/>
  <c r="M106" i="46"/>
  <c r="F109" i="46"/>
  <c r="F106" i="46"/>
  <c r="F103" i="46"/>
  <c r="F107" i="46"/>
  <c r="F105" i="46"/>
  <c r="F102" i="46"/>
  <c r="F104" i="46"/>
  <c r="H109" i="46"/>
  <c r="C23" i="46" s="1"/>
  <c r="H104" i="46"/>
  <c r="H105" i="46"/>
  <c r="H106" i="46"/>
  <c r="H102" i="46"/>
  <c r="H107" i="46"/>
  <c r="H103" i="46"/>
  <c r="G104" i="46"/>
  <c r="G102" i="46"/>
  <c r="G107" i="46"/>
  <c r="G106" i="46"/>
  <c r="G109" i="46"/>
  <c r="G103" i="46"/>
  <c r="G105" i="46"/>
  <c r="I105" i="46"/>
  <c r="I109" i="46"/>
  <c r="I107" i="46"/>
  <c r="I106" i="46"/>
  <c r="I104" i="46"/>
  <c r="I102" i="46"/>
  <c r="I103" i="46"/>
  <c r="E104" i="46"/>
  <c r="E102" i="46"/>
  <c r="E103" i="46"/>
  <c r="E105" i="46"/>
  <c r="E107" i="46"/>
  <c r="E109" i="46"/>
  <c r="E106" i="46"/>
  <c r="D22" i="46"/>
  <c r="C21" i="46" s="1"/>
  <c r="J106" i="46"/>
  <c r="J104" i="46"/>
  <c r="J105" i="46"/>
  <c r="J102" i="46"/>
  <c r="J107" i="46"/>
  <c r="J103" i="46"/>
  <c r="J109" i="46"/>
  <c r="C25" i="44"/>
  <c r="C31" i="44" s="1"/>
  <c r="J19" i="15"/>
  <c r="J17" i="15" s="1"/>
  <c r="C13" i="15"/>
  <c r="C55" i="15" s="1"/>
  <c r="C64" i="15" s="1"/>
  <c r="C23" i="68"/>
  <c r="C29" i="68" s="1"/>
  <c r="C56" i="68" s="1"/>
  <c r="C63" i="68" s="1"/>
  <c r="C36" i="15"/>
  <c r="F9" i="40"/>
  <c r="H9" i="40"/>
  <c r="J9" i="39"/>
  <c r="F9" i="39"/>
  <c r="H9" i="39"/>
  <c r="D19" i="9"/>
  <c r="B5" i="11" l="1"/>
  <c r="C56" i="71"/>
  <c r="C63" i="71" s="1"/>
  <c r="Q50" i="71"/>
  <c r="J19" i="69"/>
  <c r="J17" i="69" s="1"/>
  <c r="D4" i="86"/>
  <c r="Q50" i="69"/>
  <c r="B4" i="12"/>
  <c r="J14" i="15"/>
  <c r="J22" i="15" s="1"/>
  <c r="C56" i="15"/>
  <c r="C63" i="15" s="1"/>
  <c r="Q64" i="44"/>
  <c r="B4" i="11"/>
  <c r="L5" i="81" s="1"/>
  <c r="K7" i="81" s="1"/>
  <c r="B3" i="11"/>
  <c r="K5" i="81" s="1"/>
  <c r="C13" i="69"/>
  <c r="J35" i="69" s="1"/>
  <c r="B5" i="12"/>
  <c r="C56" i="69"/>
  <c r="C63" i="69" s="1"/>
  <c r="J14" i="69"/>
  <c r="J22" i="69" s="1"/>
  <c r="J14" i="71"/>
  <c r="J22" i="71" s="1"/>
  <c r="J19" i="71"/>
  <c r="J17" i="71" s="1"/>
  <c r="C13" i="71"/>
  <c r="C37" i="71" s="1"/>
  <c r="C13" i="72"/>
  <c r="C37" i="72" s="1"/>
  <c r="J14" i="72"/>
  <c r="J22" i="72" s="1"/>
  <c r="J19" i="72"/>
  <c r="J17" i="72" s="1"/>
  <c r="Q50" i="72"/>
  <c r="C56" i="72"/>
  <c r="C63" i="72" s="1"/>
  <c r="C36" i="72"/>
  <c r="C36" i="70"/>
  <c r="C56" i="70"/>
  <c r="C63" i="70" s="1"/>
  <c r="J14" i="70"/>
  <c r="J13" i="70" s="1"/>
  <c r="J23" i="70" s="1"/>
  <c r="C13" i="70"/>
  <c r="C37" i="70" s="1"/>
  <c r="Q50" i="70"/>
  <c r="B2" i="87"/>
  <c r="F6" i="89" s="1"/>
  <c r="F12" i="89" s="1"/>
  <c r="B3" i="86"/>
  <c r="I8" i="81" s="1"/>
  <c r="C30" i="71"/>
  <c r="C39" i="71" s="1"/>
  <c r="C40" i="71" s="1"/>
  <c r="W9" i="40"/>
  <c r="C29" i="46"/>
  <c r="S5" i="46"/>
  <c r="T5" i="46" s="1"/>
  <c r="V5" i="46" s="1"/>
  <c r="S2" i="46"/>
  <c r="T2" i="46" s="1"/>
  <c r="V2" i="46" s="1"/>
  <c r="S3" i="46"/>
  <c r="T3" i="46" s="1"/>
  <c r="V3" i="46" s="1"/>
  <c r="S4" i="46"/>
  <c r="T4" i="46" s="1"/>
  <c r="V4" i="46" s="1"/>
  <c r="S6" i="46"/>
  <c r="T6" i="46" s="1"/>
  <c r="V6" i="46" s="1"/>
  <c r="S7" i="46"/>
  <c r="T7" i="46" s="1"/>
  <c r="V7" i="46" s="1"/>
  <c r="D113" i="46"/>
  <c r="J35" i="15"/>
  <c r="J13" i="69"/>
  <c r="J23" i="69" s="1"/>
  <c r="J16" i="69" s="1"/>
  <c r="J25" i="69" s="1"/>
  <c r="C55" i="71"/>
  <c r="C64" i="71" s="1"/>
  <c r="C57" i="71" s="1"/>
  <c r="C66" i="71" s="1"/>
  <c r="C67" i="71" s="1"/>
  <c r="C70" i="71" s="1"/>
  <c r="J14" i="68"/>
  <c r="J13" i="15"/>
  <c r="J23" i="15" s="1"/>
  <c r="J16" i="15" s="1"/>
  <c r="J25" i="15" s="1"/>
  <c r="C37" i="69"/>
  <c r="C30" i="69" s="1"/>
  <c r="C39" i="69" s="1"/>
  <c r="C40" i="69" s="1"/>
  <c r="Q71" i="15"/>
  <c r="C57" i="15"/>
  <c r="C66" i="15" s="1"/>
  <c r="C67" i="15" s="1"/>
  <c r="C70" i="15" s="1"/>
  <c r="Q71" i="69"/>
  <c r="C37" i="15"/>
  <c r="C30" i="15" s="1"/>
  <c r="C39" i="15" s="1"/>
  <c r="C40" i="15" s="1"/>
  <c r="C13" i="68"/>
  <c r="Q50" i="68"/>
  <c r="J19" i="68"/>
  <c r="J17" i="68" s="1"/>
  <c r="C36" i="68"/>
  <c r="C55" i="69"/>
  <c r="C64" i="69" s="1"/>
  <c r="C57" i="69" s="1"/>
  <c r="C66" i="69" s="1"/>
  <c r="C67" i="69" s="1"/>
  <c r="C70" i="69" s="1"/>
  <c r="I48" i="40"/>
  <c r="J48" i="40" s="1"/>
  <c r="AA9" i="39"/>
  <c r="R49" i="39" s="1"/>
  <c r="S9" i="39"/>
  <c r="U9" i="40"/>
  <c r="AB9" i="40"/>
  <c r="T44" i="40" s="1"/>
  <c r="G44" i="40" s="1"/>
  <c r="J21" i="44"/>
  <c r="J19" i="44" s="1"/>
  <c r="C15" i="44"/>
  <c r="J16" i="44"/>
  <c r="Q51" i="44"/>
  <c r="C35" i="44"/>
  <c r="C33" i="44" s="1"/>
  <c r="C38" i="44"/>
  <c r="AB9" i="39"/>
  <c r="T49" i="39" s="1"/>
  <c r="G49" i="39" s="1"/>
  <c r="U9" i="39"/>
  <c r="W9" i="39"/>
  <c r="AC9" i="39"/>
  <c r="V49" i="39" s="1"/>
  <c r="I49" i="39" s="1"/>
  <c r="AA9" i="40"/>
  <c r="R44" i="40" s="1"/>
  <c r="S9" i="40"/>
  <c r="J13" i="72"/>
  <c r="J23" i="72" s="1"/>
  <c r="J35" i="72"/>
  <c r="L44" i="9"/>
  <c r="L51" i="69"/>
  <c r="D21" i="9"/>
  <c r="D20" i="9"/>
  <c r="L51" i="71"/>
  <c r="B5" i="87" l="1"/>
  <c r="I6" i="89"/>
  <c r="J13" i="71"/>
  <c r="J23" i="71" s="1"/>
  <c r="J16" i="71" s="1"/>
  <c r="J25" i="71" s="1"/>
  <c r="Q71" i="71"/>
  <c r="J35" i="71"/>
  <c r="J39" i="71" s="1"/>
  <c r="J40" i="71" s="1"/>
  <c r="J22" i="70"/>
  <c r="J16" i="70" s="1"/>
  <c r="J25" i="70" s="1"/>
  <c r="C30" i="70"/>
  <c r="C39" i="70" s="1"/>
  <c r="Q70" i="70" s="1"/>
  <c r="C30" i="72"/>
  <c r="C39" i="72" s="1"/>
  <c r="Q70" i="72" s="1"/>
  <c r="C55" i="72"/>
  <c r="C64" i="72" s="1"/>
  <c r="C57" i="72" s="1"/>
  <c r="C66" i="72" s="1"/>
  <c r="C67" i="72" s="1"/>
  <c r="C70" i="72" s="1"/>
  <c r="Q71" i="70"/>
  <c r="Q71" i="72"/>
  <c r="C55" i="70"/>
  <c r="C64" i="70" s="1"/>
  <c r="C57" i="70" s="1"/>
  <c r="C66" i="70" s="1"/>
  <c r="C67" i="70" s="1"/>
  <c r="C70" i="70" s="1"/>
  <c r="J35" i="70"/>
  <c r="J39" i="70" s="1"/>
  <c r="J40" i="70" s="1"/>
  <c r="I16" i="81"/>
  <c r="I17" i="81" s="1"/>
  <c r="B3" i="87"/>
  <c r="K8" i="81" s="1"/>
  <c r="B4" i="87"/>
  <c r="Q70" i="71"/>
  <c r="C30" i="46"/>
  <c r="E30" i="46" s="1"/>
  <c r="C27" i="46" s="1"/>
  <c r="E29" i="46"/>
  <c r="G14" i="81" s="1"/>
  <c r="I20" i="81" s="1"/>
  <c r="J39" i="15"/>
  <c r="J40" i="15" s="1"/>
  <c r="Q70" i="15"/>
  <c r="Q69" i="15" s="1"/>
  <c r="C46" i="71"/>
  <c r="J39" i="69"/>
  <c r="J40" i="69" s="1"/>
  <c r="Q70" i="69"/>
  <c r="Q69" i="69" s="1"/>
  <c r="J22" i="68"/>
  <c r="J13" i="68"/>
  <c r="J23" i="68" s="1"/>
  <c r="C46" i="69"/>
  <c r="J16" i="72"/>
  <c r="J25" i="72" s="1"/>
  <c r="C55" i="68"/>
  <c r="C64" i="68" s="1"/>
  <c r="C57" i="68" s="1"/>
  <c r="C66" i="68" s="1"/>
  <c r="C67" i="68" s="1"/>
  <c r="C70" i="68" s="1"/>
  <c r="J35" i="68"/>
  <c r="C37" i="68"/>
  <c r="C30" i="68" s="1"/>
  <c r="C39" i="68" s="1"/>
  <c r="Q71" i="68"/>
  <c r="Q68" i="71"/>
  <c r="Q68" i="69"/>
  <c r="G53" i="39"/>
  <c r="H53" i="39" s="1"/>
  <c r="G54" i="39"/>
  <c r="H54" i="39" s="1"/>
  <c r="R50" i="39"/>
  <c r="E49" i="39"/>
  <c r="I54" i="39" s="1"/>
  <c r="J54" i="39" s="1"/>
  <c r="R45" i="40"/>
  <c r="E44" i="40"/>
  <c r="I53" i="39"/>
  <c r="J53" i="39" s="1"/>
  <c r="C43" i="44"/>
  <c r="C39" i="44"/>
  <c r="C32" i="44" s="1"/>
  <c r="C42" i="44" s="1"/>
  <c r="Q72" i="44"/>
  <c r="G49" i="40"/>
  <c r="H49" i="40" s="1"/>
  <c r="G48" i="40"/>
  <c r="H48" i="40" s="1"/>
  <c r="E10" i="43"/>
  <c r="Q66" i="69"/>
  <c r="Q76" i="69" s="1"/>
  <c r="C43" i="69"/>
  <c r="J42" i="69"/>
  <c r="J43" i="69" s="1"/>
  <c r="Q57" i="69"/>
  <c r="Q63" i="69" s="1"/>
  <c r="Q48" i="69"/>
  <c r="Q54" i="69" s="1"/>
  <c r="B2" i="69"/>
  <c r="B3" i="69" s="1"/>
  <c r="Q48" i="71"/>
  <c r="Q54" i="71" s="1"/>
  <c r="G10" i="43"/>
  <c r="B2" i="71"/>
  <c r="B3" i="71" s="1"/>
  <c r="Q66" i="71"/>
  <c r="Q76" i="71" s="1"/>
  <c r="C43" i="71"/>
  <c r="Q57" i="71"/>
  <c r="Q63" i="71" s="1"/>
  <c r="J42" i="71"/>
  <c r="J43" i="71" s="1"/>
  <c r="J15" i="44"/>
  <c r="J25" i="44" s="1"/>
  <c r="J24" i="44"/>
  <c r="C46" i="15"/>
  <c r="B2" i="15"/>
  <c r="B3" i="15" s="1"/>
  <c r="C10" i="43"/>
  <c r="Q66" i="15"/>
  <c r="Q76" i="15" s="1"/>
  <c r="Q48" i="15"/>
  <c r="Q54" i="15" s="1"/>
  <c r="C43" i="15"/>
  <c r="Q57" i="15"/>
  <c r="Q63" i="15" s="1"/>
  <c r="J42" i="15"/>
  <c r="J43" i="15" s="1"/>
  <c r="L51" i="70"/>
  <c r="L51" i="15"/>
  <c r="F7" i="67"/>
  <c r="L51" i="68"/>
  <c r="C40" i="70" l="1"/>
  <c r="F10" i="43" s="1"/>
  <c r="C40" i="72"/>
  <c r="Q66" i="72" s="1"/>
  <c r="Q76" i="72" s="1"/>
  <c r="Q69" i="71"/>
  <c r="G17" i="81"/>
  <c r="Q69" i="72"/>
  <c r="J39" i="72"/>
  <c r="J40" i="72" s="1"/>
  <c r="Q69" i="70"/>
  <c r="G15" i="81"/>
  <c r="C46" i="70"/>
  <c r="E4" i="67"/>
  <c r="C26" i="46"/>
  <c r="Q68" i="15"/>
  <c r="Q68" i="70"/>
  <c r="J42" i="70"/>
  <c r="J43" i="70" s="1"/>
  <c r="B2" i="70"/>
  <c r="B3" i="70" s="1"/>
  <c r="C43" i="70"/>
  <c r="Q48" i="70"/>
  <c r="Q54" i="70" s="1"/>
  <c r="Q57" i="70"/>
  <c r="Q63" i="70" s="1"/>
  <c r="Q66" i="70"/>
  <c r="Q76" i="70" s="1"/>
  <c r="J16" i="68"/>
  <c r="J25" i="68" s="1"/>
  <c r="J39" i="68"/>
  <c r="J40" i="68" s="1"/>
  <c r="Q68" i="68"/>
  <c r="J18" i="44"/>
  <c r="J27" i="44" s="1"/>
  <c r="C40" i="68"/>
  <c r="Q70" i="68"/>
  <c r="Q69" i="68" s="1"/>
  <c r="Q71" i="44"/>
  <c r="Q70" i="44" s="1"/>
  <c r="C44" i="44"/>
  <c r="C45" i="44" s="1"/>
  <c r="B2" i="44" s="1"/>
  <c r="E48" i="40"/>
  <c r="F48" i="40" s="1"/>
  <c r="E49" i="40"/>
  <c r="F49" i="40" s="1"/>
  <c r="I49" i="40"/>
  <c r="J49" i="40" s="1"/>
  <c r="C49" i="39"/>
  <c r="C50" i="39"/>
  <c r="C44" i="40"/>
  <c r="C45" i="40"/>
  <c r="E54" i="39"/>
  <c r="F54" i="39" s="1"/>
  <c r="E53" i="39"/>
  <c r="F53" i="39" s="1"/>
  <c r="C46" i="72"/>
  <c r="C43" i="72"/>
  <c r="E7" i="67"/>
  <c r="L51" i="72"/>
  <c r="Q68" i="72" l="1"/>
  <c r="Q48" i="72"/>
  <c r="Q54" i="72" s="1"/>
  <c r="Q57" i="72"/>
  <c r="Q63" i="72" s="1"/>
  <c r="J42" i="72"/>
  <c r="J43" i="72" s="1"/>
  <c r="H10" i="43"/>
  <c r="B2" i="72"/>
  <c r="B3" i="72" s="1"/>
  <c r="K16" i="81"/>
  <c r="K14" i="81"/>
  <c r="I26" i="81"/>
  <c r="E3" i="67"/>
  <c r="B2" i="46"/>
  <c r="C46" i="68"/>
  <c r="Q66" i="68"/>
  <c r="Q76" i="68" s="1"/>
  <c r="B2" i="68"/>
  <c r="B3" i="68" s="1"/>
  <c r="J42" i="68"/>
  <c r="J43" i="68" s="1"/>
  <c r="D10" i="43"/>
  <c r="Q48" i="68"/>
  <c r="Q54" i="68" s="1"/>
  <c r="C43" i="68"/>
  <c r="Q57" i="68"/>
  <c r="Q63" i="68" s="1"/>
  <c r="C6" i="43"/>
  <c r="C31" i="43" s="1"/>
  <c r="C32" i="43" s="1"/>
  <c r="B2" i="43" s="1"/>
  <c r="B3" i="43" s="1"/>
  <c r="B55" i="40"/>
  <c r="F55" i="40" s="1"/>
  <c r="B57" i="40"/>
  <c r="F57" i="40" s="1"/>
  <c r="B60" i="40"/>
  <c r="F60" i="40" s="1"/>
  <c r="B59" i="40"/>
  <c r="F59" i="40" s="1"/>
  <c r="B62" i="40"/>
  <c r="F62" i="40" s="1"/>
  <c r="B61" i="40"/>
  <c r="F61" i="40" s="1"/>
  <c r="B54" i="40"/>
  <c r="F54" i="40" s="1"/>
  <c r="B56" i="40"/>
  <c r="F56" i="40" s="1"/>
  <c r="F63" i="40"/>
  <c r="B2" i="40" s="1"/>
  <c r="B53" i="40"/>
  <c r="F53" i="40" s="1"/>
  <c r="B58" i="40"/>
  <c r="F58" i="40" s="1"/>
  <c r="B66" i="39"/>
  <c r="F66" i="39" s="1"/>
  <c r="B61" i="39"/>
  <c r="F61" i="39" s="1"/>
  <c r="B59" i="39"/>
  <c r="F59" i="39" s="1"/>
  <c r="B63" i="39"/>
  <c r="F63" i="39" s="1"/>
  <c r="B60" i="39"/>
  <c r="F60" i="39" s="1"/>
  <c r="F68" i="39"/>
  <c r="B2" i="39" s="1"/>
  <c r="B64" i="39"/>
  <c r="F64" i="39" s="1"/>
  <c r="B65" i="39"/>
  <c r="F65" i="39" s="1"/>
  <c r="B62" i="39"/>
  <c r="F62" i="39" s="1"/>
  <c r="B58" i="39"/>
  <c r="F58" i="39" s="1"/>
  <c r="B67" i="39"/>
  <c r="F67" i="39" s="1"/>
  <c r="B3" i="44"/>
  <c r="B4" i="44"/>
  <c r="B5" i="44"/>
  <c r="B7" i="67"/>
  <c r="C19" i="9"/>
  <c r="E5" i="89" l="1"/>
  <c r="E12" i="89" s="1"/>
  <c r="K17" i="81"/>
  <c r="I22" i="81" s="1"/>
  <c r="K15" i="81"/>
  <c r="I28" i="81" s="1"/>
  <c r="L43" i="9"/>
  <c r="D22" i="9"/>
  <c r="G19" i="9"/>
  <c r="B2" i="67"/>
  <c r="B3" i="46"/>
  <c r="I5" i="81" s="1"/>
  <c r="B4" i="46"/>
  <c r="J5" i="81" s="1"/>
  <c r="I7" i="81" s="1"/>
  <c r="D4" i="46"/>
  <c r="B5" i="43"/>
  <c r="B4" i="43"/>
  <c r="B3" i="39"/>
  <c r="B5" i="39"/>
  <c r="B4" i="39"/>
  <c r="B4" i="40"/>
  <c r="N5" i="81" s="1"/>
  <c r="B3" i="40"/>
  <c r="M5" i="81" s="1"/>
  <c r="B5" i="40"/>
  <c r="C20" i="9"/>
  <c r="C21" i="9"/>
  <c r="I5" i="89" l="1"/>
  <c r="E14" i="89"/>
  <c r="G20" i="9"/>
  <c r="D5" i="81"/>
  <c r="G21" i="9"/>
  <c r="D4" i="81" s="1"/>
  <c r="N43" i="9"/>
  <c r="G22" i="9"/>
  <c r="D4" i="78"/>
  <c r="C32" i="9"/>
  <c r="B4" i="67"/>
  <c r="B3" i="67"/>
  <c r="D5" i="78" l="1"/>
  <c r="D13" i="81"/>
  <c r="D10" i="78"/>
  <c r="O38" i="9"/>
  <c r="O43" i="9"/>
  <c r="C34" i="9"/>
  <c r="C42" i="9"/>
  <c r="C35" i="9"/>
  <c r="F42" i="9" s="1"/>
  <c r="C33" i="9"/>
  <c r="N38" i="9" l="1"/>
  <c r="K28" i="9" s="1"/>
  <c r="D42" i="9"/>
  <c r="Q5" i="54" s="1"/>
  <c r="B47" i="63" s="1"/>
  <c r="D14" i="66"/>
  <c r="R5" i="54"/>
  <c r="B48" i="63" s="1"/>
  <c r="N68" i="9"/>
  <c r="D63" i="9"/>
  <c r="E42" i="9"/>
  <c r="P5" i="54" s="1"/>
  <c r="B46" i="63" s="1"/>
  <c r="M38" i="9"/>
  <c r="K27" i="9" s="1"/>
  <c r="K26" i="9"/>
  <c r="K25" i="9"/>
  <c r="D70" i="9" l="1"/>
  <c r="C103" i="9"/>
  <c r="C111" i="9"/>
  <c r="C104" i="9" s="1"/>
  <c r="D77" i="9"/>
  <c r="N75" i="9" s="1"/>
  <c r="C82" i="9"/>
  <c r="C81" i="9" s="1"/>
  <c r="C85" i="9" s="1"/>
  <c r="C86" i="9" s="1"/>
  <c r="D72" i="9" s="1"/>
  <c r="C96" i="9"/>
  <c r="C91" i="9" s="1"/>
  <c r="C90" i="9"/>
  <c r="D71" i="9"/>
  <c r="D66" i="9" s="1"/>
  <c r="N72" i="9" s="1"/>
  <c r="F14" i="66"/>
  <c r="E14" i="66"/>
  <c r="B5" i="66"/>
  <c r="C97" i="9" l="1"/>
  <c r="C98" i="9" s="1"/>
  <c r="E98" i="9" s="1"/>
  <c r="E99" i="9" s="1"/>
  <c r="C113" i="9"/>
  <c r="C5" i="66"/>
  <c r="D5" i="66"/>
  <c r="C99" i="9" l="1"/>
  <c r="C114" i="9"/>
  <c r="E114" i="9" s="1"/>
  <c r="E115" i="9" s="1"/>
  <c r="C115" i="9" l="1"/>
  <c r="D76" i="9" s="1"/>
  <c r="D74" i="9" s="1"/>
  <c r="N74" i="9" s="1"/>
  <c r="O77" i="9" s="1"/>
  <c r="O79" i="9" l="1"/>
  <c r="O78"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<sst xmlns="http://schemas.openxmlformats.org/spreadsheetml/2006/main" count="10190" uniqueCount="3617">
  <si>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</si>
  <si>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</si>
  <si>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</si>
  <si>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</si>
  <si>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</si>
  <si>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</si>
  <si>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t>
    <phoneticPr fontId="18" type="noConversion"/>
  </si>
  <si>
    <t>3</t>
    <phoneticPr fontId="7" type="noConversion"/>
  </si>
  <si>
    <t>100/</t>
    <phoneticPr fontId="7" type="noConversion"/>
  </si>
  <si>
    <t>——</t>
    <phoneticPr fontId="7" type="noConversion"/>
  </si>
  <si>
    <t>100/</t>
    <phoneticPr fontId="7" type="noConversion"/>
  </si>
  <si>
    <t>100/</t>
    <phoneticPr fontId="7" type="noConversion"/>
  </si>
  <si>
    <t>——</t>
    <phoneticPr fontId="18" type="noConversion"/>
  </si>
  <si>
    <t>100/</t>
    <phoneticPr fontId="7" type="noConversion"/>
  </si>
  <si>
    <t>-</t>
    <phoneticPr fontId="30" type="noConversion"/>
  </si>
  <si>
    <t>-</t>
    <phoneticPr fontId="30" type="noConversion"/>
  </si>
  <si>
    <t>-</t>
    <phoneticPr fontId="30" type="noConversion"/>
  </si>
  <si>
    <t>-</t>
    <phoneticPr fontId="30" type="noConversion"/>
  </si>
  <si>
    <t>-</t>
    <phoneticPr fontId="30" type="noConversion"/>
  </si>
  <si>
    <t>——</t>
    <phoneticPr fontId="37" type="noConversion"/>
  </si>
  <si>
    <t>——</t>
    <phoneticPr fontId="25"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</si>
  <si>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</si>
  <si>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</si>
  <si>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</si>
  <si>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</si>
  <si>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</si>
  <si>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</si>
  <si>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</si>
  <si>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</si>
  <si>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</si>
  <si>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</si>
  <si>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</si>
  <si>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</si>
  <si>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</si>
  <si>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</si>
  <si>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</si>
  <si>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</si>
  <si>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</si>
  <si>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</si>
  <si>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</si>
  <si>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</si>
  <si>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</si>
  <si>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</si>
  <si>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t>
    <phoneticPr fontId="13" type="noConversion"/>
  </si>
  <si>
    <t>——</t>
    <phoneticPr fontId="13" type="noConversion"/>
  </si>
  <si>
    <r>
      <rPr>
        <b/>
        <sz val="12"/>
        <color indexed="8"/>
        <rFont val="仿宋_GB2312"/>
        <family val="3"/>
        <charset val="134"/>
      </rPr>
      <t>下拉菜单</t>
    </r>
  </si>
  <si>
    <r>
      <rPr>
        <sz val="11"/>
        <color indexed="8"/>
        <rFont val="仿宋_GB2312"/>
        <family val="3"/>
        <charset val="134"/>
      </rPr>
      <t>黄色底纹单元格</t>
    </r>
    <phoneticPr fontId="33" type="noConversion"/>
  </si>
  <si>
    <r>
      <rPr>
        <b/>
        <sz val="12"/>
        <color indexed="8"/>
        <rFont val="仿宋_GB2312"/>
        <family val="3"/>
        <charset val="134"/>
      </rPr>
      <t>不可更改项</t>
    </r>
    <phoneticPr fontId="7" type="noConversion"/>
  </si>
  <si>
    <r>
      <rPr>
        <sz val="11"/>
        <color indexed="8"/>
        <rFont val="仿宋_GB2312"/>
        <family val="3"/>
        <charset val="134"/>
      </rPr>
      <t>灰色底纹单元格</t>
    </r>
    <phoneticPr fontId="33" type="noConversion"/>
  </si>
  <si>
    <r>
      <rPr>
        <b/>
        <sz val="12"/>
        <color indexed="13"/>
        <rFont val="仿宋_GB2312"/>
        <family val="3"/>
        <charset val="134"/>
      </rPr>
      <t>错误提示</t>
    </r>
    <phoneticPr fontId="33" type="noConversion"/>
  </si>
  <si>
    <r>
      <rPr>
        <sz val="11"/>
        <color indexed="8"/>
        <rFont val="仿宋_GB2312"/>
        <family val="3"/>
        <charset val="134"/>
      </rPr>
      <t>红色底纹黄色字体</t>
    </r>
    <phoneticPr fontId="33" type="noConversion"/>
  </si>
  <si>
    <r>
      <rPr>
        <b/>
        <sz val="12"/>
        <color indexed="10"/>
        <rFont val="仿宋_GB2312"/>
        <family val="3"/>
        <charset val="134"/>
      </rPr>
      <t>特别提示</t>
    </r>
    <phoneticPr fontId="33" type="noConversion"/>
  </si>
  <si>
    <r>
      <rPr>
        <b/>
        <sz val="12"/>
        <color indexed="8"/>
        <rFont val="仿宋_GB2312"/>
        <family val="3"/>
        <charset val="134"/>
      </rPr>
      <t>关注批注角标</t>
    </r>
    <phoneticPr fontId="33" type="noConversion"/>
  </si>
  <si>
    <r>
      <rPr>
        <sz val="11"/>
        <color indexed="8"/>
        <rFont val="仿宋_GB2312"/>
        <family val="3"/>
        <charset val="134"/>
      </rPr>
      <t>基础表</t>
    </r>
    <phoneticPr fontId="7" type="noConversion"/>
  </si>
  <si>
    <r>
      <rPr>
        <sz val="11"/>
        <color indexed="8"/>
        <rFont val="仿宋_GB2312"/>
        <family val="3"/>
        <charset val="134"/>
      </rPr>
      <t>数据表</t>
    </r>
    <phoneticPr fontId="7" type="noConversion"/>
  </si>
  <si>
    <r>
      <rPr>
        <sz val="11"/>
        <color indexed="8"/>
        <rFont val="仿宋_GB2312"/>
        <family val="3"/>
        <charset val="134"/>
      </rPr>
      <t>汇总表</t>
    </r>
    <phoneticPr fontId="7" type="noConversion"/>
  </si>
  <si>
    <r>
      <rPr>
        <sz val="11"/>
        <color indexed="8"/>
        <rFont val="仿宋_GB2312"/>
        <family val="3"/>
        <charset val="134"/>
      </rPr>
      <t>取费表</t>
    </r>
    <phoneticPr fontId="7" type="noConversion"/>
  </si>
  <si>
    <r>
      <rPr>
        <sz val="11"/>
        <color indexed="8"/>
        <rFont val="仿宋_GB2312"/>
        <family val="3"/>
        <charset val="134"/>
      </rPr>
      <t>房地状况</t>
    </r>
    <phoneticPr fontId="7" type="noConversion"/>
  </si>
  <si>
    <r>
      <rPr>
        <sz val="11"/>
        <color indexed="8"/>
        <rFont val="仿宋_GB2312"/>
        <family val="3"/>
        <charset val="134"/>
      </rPr>
      <t>结果表</t>
    </r>
    <phoneticPr fontId="7" type="noConversion"/>
  </si>
  <si>
    <r>
      <rPr>
        <sz val="11"/>
        <color indexed="8"/>
        <rFont val="仿宋_GB2312"/>
        <family val="3"/>
        <charset val="134"/>
      </rPr>
      <t>方法</t>
    </r>
    <phoneticPr fontId="7" type="noConversion"/>
  </si>
  <si>
    <r>
      <rPr>
        <sz val="11"/>
        <color indexed="8"/>
        <rFont val="仿宋_GB2312"/>
        <family val="3"/>
        <charset val="134"/>
      </rPr>
      <t>成本</t>
    </r>
    <phoneticPr fontId="7" type="noConversion"/>
  </si>
  <si>
    <r>
      <rPr>
        <sz val="11"/>
        <color indexed="8"/>
        <rFont val="仿宋_GB2312"/>
        <family val="3"/>
        <charset val="134"/>
      </rPr>
      <t>假开</t>
    </r>
    <phoneticPr fontId="7" type="noConversion"/>
  </si>
  <si>
    <r>
      <rPr>
        <sz val="11"/>
        <color indexed="8"/>
        <rFont val="仿宋_GB2312"/>
        <family val="3"/>
        <charset val="134"/>
      </rPr>
      <t>收益</t>
    </r>
    <phoneticPr fontId="7" type="noConversion"/>
  </si>
  <si>
    <r>
      <rPr>
        <sz val="11"/>
        <color indexed="8"/>
        <rFont val="仿宋_GB2312"/>
        <family val="3"/>
        <charset val="134"/>
      </rPr>
      <t>比较</t>
    </r>
    <phoneticPr fontId="7" type="noConversion"/>
  </si>
  <si>
    <r>
      <t>5.</t>
    </r>
    <r>
      <rPr>
        <sz val="11"/>
        <color indexed="8"/>
        <rFont val="仿宋_GB2312"/>
        <family val="3"/>
        <charset val="134"/>
      </rPr>
      <t>面积依据不同时，以每部分取得的最新数据文件为依据。</t>
    </r>
    <phoneticPr fontId="7"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</si>
  <si>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3" type="noConversion"/>
  </si>
  <si>
    <r>
      <rPr>
        <b/>
        <sz val="12"/>
        <color indexed="8"/>
        <rFont val="仿宋_GB2312"/>
        <family val="3"/>
        <charset val="134"/>
      </rPr>
      <t>录入项</t>
    </r>
    <phoneticPr fontId="7" type="noConversion"/>
  </si>
  <si>
    <r>
      <rPr>
        <sz val="11"/>
        <color indexed="8"/>
        <rFont val="仿宋_GB2312"/>
        <family val="3"/>
        <charset val="134"/>
      </rPr>
      <t>无底纹单元格</t>
    </r>
    <phoneticPr fontId="33"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</si>
  <si>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3"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</si>
  <si>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7" type="noConversion"/>
  </si>
  <si>
    <r>
      <rPr>
        <sz val="11"/>
        <color indexed="8"/>
        <rFont val="仿宋_GB2312"/>
        <family val="3"/>
        <charset val="134"/>
      </rPr>
      <t>车库</t>
    </r>
    <phoneticPr fontId="18" type="noConversion"/>
  </si>
  <si>
    <r>
      <rPr>
        <sz val="11"/>
        <color indexed="8"/>
        <rFont val="仿宋_GB2312"/>
        <family val="3"/>
        <charset val="134"/>
      </rPr>
      <t>车库</t>
    </r>
    <phoneticPr fontId="18" type="noConversion"/>
  </si>
  <si>
    <r>
      <rPr>
        <sz val="11"/>
        <color indexed="8"/>
        <rFont val="仿宋_GB2312"/>
        <family val="3"/>
        <charset val="134"/>
      </rPr>
      <t>仓储</t>
    </r>
    <phoneticPr fontId="18" type="noConversion"/>
  </si>
  <si>
    <r>
      <rPr>
        <sz val="11"/>
        <color indexed="8"/>
        <rFont val="仿宋_GB2312"/>
        <family val="3"/>
        <charset val="134"/>
      </rPr>
      <t>平层住宅</t>
    </r>
    <phoneticPr fontId="18" type="noConversion"/>
  </si>
  <si>
    <r>
      <rPr>
        <sz val="11"/>
        <color indexed="8"/>
        <rFont val="仿宋_GB2312"/>
        <family val="3"/>
        <charset val="134"/>
      </rPr>
      <t>是</t>
    </r>
    <phoneticPr fontId="18" type="noConversion"/>
  </si>
  <si>
    <r>
      <rPr>
        <sz val="11"/>
        <color indexed="8"/>
        <rFont val="仿宋_GB2312"/>
        <family val="3"/>
        <charset val="134"/>
      </rPr>
      <t>好</t>
    </r>
  </si>
  <si>
    <r>
      <rPr>
        <sz val="11"/>
        <color indexed="8"/>
        <rFont val="仿宋_GB2312"/>
        <family val="3"/>
        <charset val="134"/>
      </rPr>
      <t>多面临街</t>
    </r>
    <phoneticPr fontId="43" type="noConversion"/>
  </si>
  <si>
    <r>
      <rPr>
        <sz val="11"/>
        <color indexed="8"/>
        <rFont val="仿宋_GB2312"/>
        <family val="3"/>
        <charset val="134"/>
      </rPr>
      <t>单位面积地价</t>
    </r>
    <phoneticPr fontId="18" type="noConversion"/>
  </si>
  <si>
    <r>
      <t>LOFT</t>
    </r>
    <r>
      <rPr>
        <sz val="11"/>
        <color indexed="8"/>
        <rFont val="仿宋_GB2312"/>
        <family val="3"/>
        <charset val="134"/>
      </rPr>
      <t>住宅</t>
    </r>
    <phoneticPr fontId="18" type="noConversion"/>
  </si>
  <si>
    <r>
      <rPr>
        <sz val="11"/>
        <color indexed="8"/>
        <rFont val="仿宋_GB2312"/>
        <family val="3"/>
        <charset val="134"/>
      </rPr>
      <t>否</t>
    </r>
    <phoneticPr fontId="18" type="noConversion"/>
  </si>
  <si>
    <r>
      <rPr>
        <sz val="11"/>
        <color indexed="8"/>
        <rFont val="仿宋_GB2312"/>
        <family val="3"/>
        <charset val="134"/>
      </rPr>
      <t>商业</t>
    </r>
    <phoneticPr fontId="18" type="noConversion"/>
  </si>
  <si>
    <r>
      <rPr>
        <sz val="11"/>
        <color indexed="8"/>
        <rFont val="仿宋_GB2312"/>
        <family val="3"/>
        <charset val="134"/>
      </rPr>
      <t>商业</t>
    </r>
    <phoneticPr fontId="18" type="noConversion"/>
  </si>
  <si>
    <r>
      <t>50-60</t>
    </r>
    <r>
      <rPr>
        <sz val="11"/>
        <color indexed="8"/>
        <rFont val="仿宋_GB2312"/>
        <family val="3"/>
        <charset val="134"/>
      </rPr>
      <t>（含）</t>
    </r>
    <phoneticPr fontId="18" type="noConversion"/>
  </si>
  <si>
    <r>
      <rPr>
        <sz val="11"/>
        <color indexed="8"/>
        <rFont val="仿宋_GB2312"/>
        <family val="3"/>
        <charset val="134"/>
      </rPr>
      <t>非经营性</t>
    </r>
    <phoneticPr fontId="18" type="noConversion"/>
  </si>
  <si>
    <r>
      <rPr>
        <sz val="11"/>
        <color indexed="8"/>
        <rFont val="仿宋_GB2312"/>
        <family val="3"/>
        <charset val="134"/>
      </rPr>
      <t>较好</t>
    </r>
  </si>
  <si>
    <r>
      <rPr>
        <sz val="11"/>
        <color indexed="8"/>
        <rFont val="仿宋_GB2312"/>
        <family val="3"/>
        <charset val="134"/>
      </rPr>
      <t>双面临街</t>
    </r>
    <phoneticPr fontId="43" type="noConversion"/>
  </si>
  <si>
    <r>
      <rPr>
        <sz val="11"/>
        <color indexed="8"/>
        <rFont val="仿宋_GB2312"/>
        <family val="3"/>
        <charset val="134"/>
      </rPr>
      <t>楼面地价</t>
    </r>
    <phoneticPr fontId="18" type="noConversion"/>
  </si>
  <si>
    <r>
      <rPr>
        <sz val="11"/>
        <color indexed="8"/>
        <rFont val="仿宋_GB2312"/>
        <family val="3"/>
        <charset val="134"/>
      </rPr>
      <t>普通住宅</t>
    </r>
    <phoneticPr fontId="18" type="noConversion"/>
  </si>
  <si>
    <r>
      <rPr>
        <sz val="11"/>
        <color indexed="8"/>
        <rFont val="仿宋_GB2312"/>
        <family val="3"/>
        <charset val="134"/>
      </rPr>
      <t>地下</t>
    </r>
    <phoneticPr fontId="18" type="noConversion"/>
  </si>
  <si>
    <r>
      <rPr>
        <sz val="11"/>
        <color indexed="8"/>
        <rFont val="仿宋_GB2312"/>
        <family val="3"/>
        <charset val="134"/>
      </rPr>
      <t>办公</t>
    </r>
    <phoneticPr fontId="18" type="noConversion"/>
  </si>
  <si>
    <r>
      <rPr>
        <sz val="11"/>
        <color indexed="8"/>
        <rFont val="仿宋_GB2312"/>
        <family val="3"/>
        <charset val="134"/>
      </rPr>
      <t>办公</t>
    </r>
    <phoneticPr fontId="18" type="noConversion"/>
  </si>
  <si>
    <r>
      <t>40-50</t>
    </r>
    <r>
      <rPr>
        <sz val="11"/>
        <color indexed="8"/>
        <rFont val="仿宋_GB2312"/>
        <family val="3"/>
        <charset val="134"/>
      </rPr>
      <t>（含）</t>
    </r>
    <phoneticPr fontId="18" type="noConversion"/>
  </si>
  <si>
    <r>
      <rPr>
        <sz val="11"/>
        <color indexed="8"/>
        <rFont val="仿宋_GB2312"/>
        <family val="3"/>
        <charset val="134"/>
      </rPr>
      <t>一般</t>
    </r>
  </si>
  <si>
    <r>
      <rPr>
        <sz val="11"/>
        <color indexed="8"/>
        <rFont val="仿宋_GB2312"/>
        <family val="3"/>
        <charset val="134"/>
      </rPr>
      <t>单面临街</t>
    </r>
    <phoneticPr fontId="43" type="noConversion"/>
  </si>
  <si>
    <r>
      <rPr>
        <sz val="11"/>
        <color indexed="8"/>
        <rFont val="仿宋_GB2312"/>
        <family val="3"/>
        <charset val="134"/>
      </rPr>
      <t>公寓</t>
    </r>
    <phoneticPr fontId="18" type="noConversion"/>
  </si>
  <si>
    <r>
      <rPr>
        <sz val="11"/>
        <color indexed="8"/>
        <rFont val="仿宋_GB2312"/>
        <family val="3"/>
        <charset val="134"/>
      </rPr>
      <t>工业</t>
    </r>
    <phoneticPr fontId="18" type="noConversion"/>
  </si>
  <si>
    <r>
      <t>30-40</t>
    </r>
    <r>
      <rPr>
        <sz val="11"/>
        <color indexed="8"/>
        <rFont val="仿宋_GB2312"/>
        <family val="3"/>
        <charset val="134"/>
      </rPr>
      <t>（含）</t>
    </r>
    <phoneticPr fontId="18" type="noConversion"/>
  </si>
  <si>
    <r>
      <rPr>
        <sz val="11"/>
        <color indexed="8"/>
        <rFont val="仿宋_GB2312"/>
        <family val="3"/>
        <charset val="134"/>
      </rPr>
      <t>较差</t>
    </r>
  </si>
  <si>
    <r>
      <rPr>
        <sz val="11"/>
        <color indexed="8"/>
        <rFont val="仿宋_GB2312"/>
        <family val="3"/>
        <charset val="134"/>
      </rPr>
      <t>不临街</t>
    </r>
    <phoneticPr fontId="43" type="noConversion"/>
  </si>
  <si>
    <r>
      <rPr>
        <sz val="11"/>
        <color indexed="8"/>
        <rFont val="仿宋_GB2312"/>
        <family val="3"/>
        <charset val="134"/>
      </rPr>
      <t>洋房</t>
    </r>
    <phoneticPr fontId="18" type="noConversion"/>
  </si>
  <si>
    <r>
      <t>20-30</t>
    </r>
    <r>
      <rPr>
        <sz val="11"/>
        <color indexed="8"/>
        <rFont val="仿宋_GB2312"/>
        <family val="3"/>
        <charset val="134"/>
      </rPr>
      <t>（含）</t>
    </r>
    <phoneticPr fontId="18" type="noConversion"/>
  </si>
  <si>
    <r>
      <rPr>
        <sz val="11"/>
        <color indexed="8"/>
        <rFont val="仿宋_GB2312"/>
        <family val="3"/>
        <charset val="134"/>
      </rPr>
      <t>差</t>
    </r>
  </si>
  <si>
    <r>
      <rPr>
        <sz val="11"/>
        <color indexed="8"/>
        <rFont val="仿宋_GB2312"/>
        <family val="3"/>
        <charset val="134"/>
      </rPr>
      <t>叠拼</t>
    </r>
    <phoneticPr fontId="18" type="noConversion"/>
  </si>
  <si>
    <r>
      <rPr>
        <sz val="11"/>
        <color indexed="8"/>
        <rFont val="仿宋_GB2312"/>
        <family val="3"/>
        <charset val="134"/>
      </rPr>
      <t>成本逼近法</t>
    </r>
    <phoneticPr fontId="18" type="noConversion"/>
  </si>
  <si>
    <r>
      <rPr>
        <sz val="11"/>
        <color indexed="8"/>
        <rFont val="仿宋_GB2312"/>
        <family val="3"/>
        <charset val="134"/>
      </rPr>
      <t>工业</t>
    </r>
    <phoneticPr fontId="18" type="noConversion"/>
  </si>
  <si>
    <r>
      <t>10-20</t>
    </r>
    <r>
      <rPr>
        <sz val="11"/>
        <color indexed="8"/>
        <rFont val="仿宋_GB2312"/>
        <family val="3"/>
        <charset val="134"/>
      </rPr>
      <t>（含）</t>
    </r>
    <phoneticPr fontId="18" type="noConversion"/>
  </si>
  <si>
    <r>
      <rPr>
        <sz val="11"/>
        <color indexed="8"/>
        <rFont val="仿宋_GB2312"/>
        <family val="3"/>
        <charset val="134"/>
      </rPr>
      <t>联排</t>
    </r>
    <phoneticPr fontId="18" type="noConversion"/>
  </si>
  <si>
    <r>
      <t>0-10</t>
    </r>
    <r>
      <rPr>
        <sz val="11"/>
        <color indexed="8"/>
        <rFont val="仿宋_GB2312"/>
        <family val="3"/>
        <charset val="134"/>
      </rPr>
      <t>（含）</t>
    </r>
    <phoneticPr fontId="18" type="noConversion"/>
  </si>
  <si>
    <r>
      <rPr>
        <sz val="11"/>
        <color indexed="8"/>
        <rFont val="仿宋_GB2312"/>
        <family val="3"/>
        <charset val="134"/>
      </rPr>
      <t>双拼</t>
    </r>
    <phoneticPr fontId="18" type="noConversion"/>
  </si>
  <si>
    <r>
      <rPr>
        <sz val="11"/>
        <color indexed="8"/>
        <rFont val="仿宋_GB2312"/>
        <family val="3"/>
        <charset val="134"/>
      </rPr>
      <t>仓储</t>
    </r>
    <phoneticPr fontId="18" type="noConversion"/>
  </si>
  <si>
    <r>
      <rPr>
        <sz val="11"/>
        <color indexed="8"/>
        <rFont val="仿宋_GB2312"/>
        <family val="3"/>
        <charset val="134"/>
      </rPr>
      <t>独栋</t>
    </r>
    <phoneticPr fontId="18" type="noConversion"/>
  </si>
  <si>
    <r>
      <rPr>
        <sz val="11"/>
        <color indexed="8"/>
        <rFont val="仿宋_GB2312"/>
        <family val="3"/>
        <charset val="134"/>
      </rPr>
      <t>底商</t>
    </r>
    <phoneticPr fontId="18" type="noConversion"/>
  </si>
  <si>
    <r>
      <rPr>
        <sz val="11"/>
        <color indexed="8"/>
        <rFont val="仿宋_GB2312"/>
        <family val="3"/>
        <charset val="134"/>
      </rPr>
      <t>独立商业</t>
    </r>
    <phoneticPr fontId="18" type="noConversion"/>
  </si>
  <si>
    <r>
      <rPr>
        <sz val="11"/>
        <color indexed="8"/>
        <rFont val="仿宋_GB2312"/>
        <family val="3"/>
        <charset val="134"/>
      </rPr>
      <t>商业街</t>
    </r>
    <phoneticPr fontId="18" type="noConversion"/>
  </si>
  <si>
    <r>
      <rPr>
        <sz val="11"/>
        <color indexed="8"/>
        <rFont val="仿宋_GB2312"/>
        <family val="3"/>
        <charset val="134"/>
      </rPr>
      <t>酒店</t>
    </r>
    <phoneticPr fontId="18" type="noConversion"/>
  </si>
  <si>
    <r>
      <rPr>
        <sz val="11"/>
        <color indexed="8"/>
        <rFont val="仿宋_GB2312"/>
        <family val="3"/>
        <charset val="134"/>
      </rPr>
      <t>标准厂房</t>
    </r>
    <phoneticPr fontId="18" type="noConversion"/>
  </si>
  <si>
    <r>
      <rPr>
        <sz val="11"/>
        <color indexed="8"/>
        <rFont val="仿宋_GB2312"/>
        <family val="3"/>
        <charset val="134"/>
      </rPr>
      <t>特殊厂房</t>
    </r>
    <phoneticPr fontId="18" type="noConversion"/>
  </si>
  <si>
    <r>
      <rPr>
        <sz val="11"/>
        <color indexed="8"/>
        <rFont val="仿宋_GB2312"/>
        <family val="3"/>
        <charset val="134"/>
      </rPr>
      <t>办公楼</t>
    </r>
    <phoneticPr fontId="18" type="noConversion"/>
  </si>
  <si>
    <r>
      <rPr>
        <sz val="11"/>
        <color indexed="8"/>
        <rFont val="仿宋_GB2312"/>
        <family val="3"/>
        <charset val="134"/>
      </rPr>
      <t>宿舍</t>
    </r>
    <phoneticPr fontId="18" type="noConversion"/>
  </si>
  <si>
    <r>
      <rPr>
        <sz val="11"/>
        <color indexed="8"/>
        <rFont val="仿宋_GB2312"/>
        <family val="3"/>
        <charset val="134"/>
      </rPr>
      <t>食堂</t>
    </r>
    <phoneticPr fontId="18" type="noConversion"/>
  </si>
  <si>
    <r>
      <rPr>
        <sz val="11"/>
        <color indexed="8"/>
        <rFont val="仿宋_GB2312"/>
        <family val="3"/>
        <charset val="134"/>
      </rPr>
      <t>车库</t>
    </r>
    <phoneticPr fontId="18" type="noConversion"/>
  </si>
  <si>
    <r>
      <rPr>
        <sz val="11"/>
        <color indexed="8"/>
        <rFont val="仿宋_GB2312"/>
        <family val="3"/>
        <charset val="134"/>
      </rPr>
      <t>戊类库房</t>
    </r>
    <phoneticPr fontId="18" type="noConversion"/>
  </si>
  <si>
    <r>
      <rPr>
        <sz val="11"/>
        <color indexed="8"/>
        <rFont val="仿宋_GB2312"/>
        <family val="3"/>
        <charset val="134"/>
      </rPr>
      <t>燃品库房</t>
    </r>
    <phoneticPr fontId="18" type="noConversion"/>
  </si>
  <si>
    <r>
      <rPr>
        <sz val="11"/>
        <color indexed="8"/>
        <rFont val="仿宋_GB2312"/>
        <family val="3"/>
        <charset val="134"/>
      </rPr>
      <t>非燃品库房</t>
    </r>
    <phoneticPr fontId="18" type="noConversion"/>
  </si>
  <si>
    <r>
      <rPr>
        <sz val="11"/>
        <color indexed="8"/>
        <rFont val="仿宋_GB2312"/>
        <family val="3"/>
        <charset val="134"/>
      </rPr>
      <t>限价商品房</t>
    </r>
    <phoneticPr fontId="40" type="noConversion"/>
  </si>
  <si>
    <r>
      <rPr>
        <sz val="11"/>
        <color indexed="8"/>
        <rFont val="仿宋_GB2312"/>
        <family val="3"/>
        <charset val="134"/>
      </rPr>
      <t>自住商品房</t>
    </r>
    <phoneticPr fontId="40" type="noConversion"/>
  </si>
  <si>
    <r>
      <rPr>
        <sz val="11"/>
        <color indexed="8"/>
        <rFont val="仿宋_GB2312"/>
        <family val="3"/>
        <charset val="134"/>
      </rPr>
      <t>地上</t>
    </r>
    <phoneticPr fontId="18" type="noConversion"/>
  </si>
  <si>
    <r>
      <rPr>
        <sz val="11"/>
        <color indexed="8"/>
        <rFont val="仿宋_GB2312"/>
        <family val="3"/>
        <charset val="134"/>
      </rPr>
      <t>住宅</t>
    </r>
    <phoneticPr fontId="18" type="noConversion"/>
  </si>
  <si>
    <r>
      <rPr>
        <sz val="11"/>
        <color indexed="8"/>
        <rFont val="仿宋_GB2312"/>
        <family val="3"/>
        <charset val="134"/>
      </rPr>
      <t>住宅</t>
    </r>
    <phoneticPr fontId="18" type="noConversion"/>
  </si>
  <si>
    <r>
      <t>60-70</t>
    </r>
    <r>
      <rPr>
        <sz val="11"/>
        <color indexed="8"/>
        <rFont val="仿宋_GB2312"/>
        <family val="3"/>
        <charset val="134"/>
      </rPr>
      <t>（含）</t>
    </r>
    <phoneticPr fontId="18" type="noConversion"/>
  </si>
  <si>
    <r>
      <rPr>
        <sz val="11"/>
        <color indexed="8"/>
        <rFont val="仿宋_GB2312"/>
        <family val="3"/>
        <charset val="134"/>
      </rPr>
      <t>经营性</t>
    </r>
    <phoneticPr fontId="18" type="noConversion"/>
  </si>
  <si>
    <r>
      <rPr>
        <sz val="11"/>
        <color indexed="8"/>
        <rFont val="仿宋_GB2312"/>
        <family val="3"/>
        <charset val="134"/>
      </rPr>
      <t>估价方法</t>
    </r>
    <phoneticPr fontId="18" type="noConversion"/>
  </si>
  <si>
    <r>
      <rPr>
        <sz val="11"/>
        <color indexed="8"/>
        <rFont val="仿宋_GB2312"/>
        <family val="3"/>
        <charset val="134"/>
      </rPr>
      <t>判定</t>
    </r>
    <phoneticPr fontId="18" type="noConversion"/>
  </si>
  <si>
    <r>
      <rPr>
        <sz val="11"/>
        <color indexed="8"/>
        <rFont val="仿宋_GB2312"/>
        <family val="3"/>
        <charset val="134"/>
      </rPr>
      <t>位置</t>
    </r>
    <phoneticPr fontId="18" type="noConversion"/>
  </si>
  <si>
    <r>
      <rPr>
        <sz val="11"/>
        <color indexed="8"/>
        <rFont val="仿宋_GB2312"/>
        <family val="3"/>
        <charset val="134"/>
      </rPr>
      <t>主用途</t>
    </r>
    <phoneticPr fontId="18" type="noConversion"/>
  </si>
  <si>
    <r>
      <rPr>
        <sz val="11"/>
        <color indexed="8"/>
        <rFont val="仿宋_GB2312"/>
        <family val="3"/>
        <charset val="134"/>
      </rPr>
      <t>法定最高年限</t>
    </r>
    <phoneticPr fontId="18" type="noConversion"/>
  </si>
  <si>
    <r>
      <rPr>
        <sz val="11"/>
        <color indexed="8"/>
        <rFont val="仿宋_GB2312"/>
        <family val="3"/>
        <charset val="134"/>
      </rPr>
      <t>地类判定</t>
    </r>
    <phoneticPr fontId="18" type="noConversion"/>
  </si>
  <si>
    <r>
      <rPr>
        <sz val="11"/>
        <color indexed="8"/>
        <rFont val="仿宋_GB2312"/>
        <family val="3"/>
        <charset val="134"/>
      </rPr>
      <t>土地年限区间</t>
    </r>
    <phoneticPr fontId="18" type="noConversion"/>
  </si>
  <si>
    <r>
      <rPr>
        <sz val="11"/>
        <color indexed="8"/>
        <rFont val="仿宋_GB2312"/>
        <family val="3"/>
        <charset val="134"/>
      </rPr>
      <t>类别</t>
    </r>
    <phoneticPr fontId="18" type="noConversion"/>
  </si>
  <si>
    <r>
      <rPr>
        <sz val="11"/>
        <color indexed="8"/>
        <rFont val="仿宋_GB2312"/>
        <family val="3"/>
        <charset val="134"/>
      </rPr>
      <t>居住社区成熟度</t>
    </r>
    <phoneticPr fontId="18" type="noConversion"/>
  </si>
  <si>
    <r>
      <rPr>
        <sz val="11"/>
        <color indexed="8"/>
        <rFont val="仿宋_GB2312"/>
        <family val="3"/>
        <charset val="134"/>
      </rPr>
      <t>商业繁华度</t>
    </r>
    <phoneticPr fontId="18" type="noConversion"/>
  </si>
  <si>
    <r>
      <rPr>
        <sz val="11"/>
        <color indexed="8"/>
        <rFont val="仿宋_GB2312"/>
        <family val="3"/>
        <charset val="134"/>
      </rPr>
      <t>办公集聚程度</t>
    </r>
    <phoneticPr fontId="18" type="noConversion"/>
  </si>
  <si>
    <r>
      <rPr>
        <sz val="11"/>
        <color indexed="8"/>
        <rFont val="仿宋_GB2312"/>
        <family val="3"/>
        <charset val="134"/>
      </rPr>
      <t>产业集聚程度</t>
    </r>
    <phoneticPr fontId="18" type="noConversion"/>
  </si>
  <si>
    <r>
      <rPr>
        <sz val="11"/>
        <color indexed="8"/>
        <rFont val="仿宋_GB2312"/>
        <family val="3"/>
        <charset val="134"/>
      </rPr>
      <t>交通便捷度</t>
    </r>
    <phoneticPr fontId="18" type="noConversion"/>
  </si>
  <si>
    <r>
      <rPr>
        <sz val="11"/>
        <color indexed="8"/>
        <rFont val="仿宋_GB2312"/>
        <family val="3"/>
        <charset val="134"/>
      </rPr>
      <t>区域土地利用方向</t>
    </r>
    <phoneticPr fontId="43" type="noConversion"/>
  </si>
  <si>
    <r>
      <rPr>
        <sz val="11"/>
        <color indexed="8"/>
        <rFont val="仿宋_GB2312"/>
        <family val="3"/>
        <charset val="134"/>
      </rPr>
      <t>环境质量</t>
    </r>
    <phoneticPr fontId="18" type="noConversion"/>
  </si>
  <si>
    <r>
      <rPr>
        <sz val="11"/>
        <color indexed="8"/>
        <rFont val="仿宋_GB2312"/>
        <family val="3"/>
        <charset val="134"/>
      </rPr>
      <t>临街状况</t>
    </r>
    <phoneticPr fontId="43" type="noConversion"/>
  </si>
  <si>
    <r>
      <rPr>
        <sz val="11"/>
        <color indexed="8"/>
        <rFont val="仿宋_GB2312"/>
        <family val="3"/>
        <charset val="134"/>
      </rPr>
      <t>内部装修维护情况</t>
    </r>
    <phoneticPr fontId="18" type="noConversion"/>
  </si>
  <si>
    <r>
      <rPr>
        <sz val="11"/>
        <color indexed="8"/>
        <rFont val="仿宋_GB2312"/>
        <family val="3"/>
        <charset val="134"/>
      </rPr>
      <t>单价内涵</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</si>
  <si>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</si>
  <si>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</si>
  <si>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</si>
  <si>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</si>
  <si>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</si>
  <si>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</si>
  <si>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</si>
  <si>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</si>
  <si>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</si>
  <si>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</si>
  <si>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</si>
  <si>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8" type="noConversion"/>
  </si>
  <si>
    <r>
      <rPr>
        <b/>
        <sz val="14"/>
        <color indexed="10"/>
        <rFont val="仿宋_GB2312"/>
        <family val="3"/>
        <charset val="134"/>
      </rPr>
      <t>数据基础表</t>
    </r>
    <phoneticPr fontId="7" type="noConversion"/>
  </si>
  <si>
    <r>
      <rPr>
        <sz val="10"/>
        <color indexed="8"/>
        <rFont val="仿宋_GB2312"/>
        <family val="3"/>
        <charset val="134"/>
      </rPr>
      <t>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</si>
  <si>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</si>
  <si>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人防是否参与分摊</t>
    </r>
    <phoneticPr fontId="7" type="noConversion"/>
  </si>
  <si>
    <r>
      <rPr>
        <b/>
        <sz val="16"/>
        <color indexed="10"/>
        <rFont val="仿宋_GB2312"/>
        <family val="3"/>
        <charset val="134"/>
      </rPr>
      <t>抵押物清单</t>
    </r>
    <phoneticPr fontId="7" type="noConversion"/>
  </si>
  <si>
    <r>
      <rPr>
        <sz val="10"/>
        <color indexed="8"/>
        <rFont val="仿宋_GB2312"/>
        <family val="3"/>
        <charset val="134"/>
      </rPr>
      <t>测绘分摊土地面积</t>
    </r>
    <phoneticPr fontId="7" type="noConversion"/>
  </si>
  <si>
    <r>
      <rPr>
        <sz val="10"/>
        <color indexed="8"/>
        <rFont val="仿宋_GB2312"/>
        <family val="3"/>
        <charset val="134"/>
      </rPr>
      <t>建筑面积合计</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</si>
  <si>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</si>
  <si>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</si>
  <si>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</si>
  <si>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</si>
  <si>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是否为抵押范围</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</si>
  <si>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</si>
  <si>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楼基面积</t>
    </r>
    <phoneticPr fontId="9" type="noConversion"/>
  </si>
  <si>
    <r>
      <rPr>
        <sz val="10"/>
        <color indexed="8"/>
        <rFont val="仿宋_GB2312"/>
        <family val="3"/>
        <charset val="134"/>
      </rPr>
      <t>建筑面积（含人防）</t>
    </r>
    <phoneticPr fontId="9" type="noConversion"/>
  </si>
  <si>
    <r>
      <rPr>
        <sz val="10"/>
        <color indexed="8"/>
        <rFont val="仿宋_GB2312"/>
        <family val="3"/>
        <charset val="134"/>
      </rPr>
      <t>不在估价范围内的项目</t>
    </r>
    <phoneticPr fontId="7"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</si>
  <si>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</si>
  <si>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</si>
  <si>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</si>
  <si>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抵押物</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</si>
  <si>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</si>
  <si>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9"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</si>
  <si>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9" type="noConversion"/>
  </si>
  <si>
    <r>
      <rPr>
        <sz val="10"/>
        <color indexed="8"/>
        <rFont val="仿宋_GB2312"/>
        <family val="3"/>
        <charset val="134"/>
      </rPr>
      <t>文字说明</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</si>
  <si>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</si>
  <si>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</si>
  <si>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小计</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</si>
  <si>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</si>
  <si>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</si>
  <si>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</si>
  <si>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</si>
  <si>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小计</t>
    </r>
    <phoneticPr fontId="7"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</si>
  <si>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</si>
  <si>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</si>
  <si>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t>
    </r>
    <phoneticPr fontId="9" type="noConversion"/>
  </si>
  <si>
    <r>
      <rPr>
        <sz val="10"/>
        <color indexed="8"/>
        <rFont val="仿宋_GB2312"/>
        <family val="3"/>
        <charset val="134"/>
      </rPr>
      <t>非经营性用途</t>
    </r>
    <phoneticPr fontId="9" type="noConversion"/>
  </si>
  <si>
    <r>
      <rPr>
        <sz val="10"/>
        <color indexed="8"/>
        <rFont val="仿宋_GB2312"/>
        <family val="3"/>
        <charset val="134"/>
      </rPr>
      <t>设备及其他</t>
    </r>
    <phoneticPr fontId="7" type="noConversion"/>
  </si>
  <si>
    <r>
      <rPr>
        <sz val="10"/>
        <color indexed="8"/>
        <rFont val="仿宋_GB2312"/>
        <family val="3"/>
        <charset val="134"/>
      </rPr>
      <t>未注明</t>
    </r>
    <phoneticPr fontId="7" type="noConversion"/>
  </si>
  <si>
    <r>
      <rPr>
        <sz val="10"/>
        <color indexed="8"/>
        <rFont val="仿宋_GB2312"/>
        <family val="3"/>
        <charset val="134"/>
      </rPr>
      <t>总值</t>
    </r>
    <phoneticPr fontId="7" type="noConversion"/>
  </si>
  <si>
    <r>
      <rPr>
        <sz val="10"/>
        <color indexed="8"/>
        <rFont val="仿宋_GB2312"/>
        <family val="3"/>
        <charset val="134"/>
      </rPr>
      <t>扣减值</t>
    </r>
    <phoneticPr fontId="7" type="noConversion"/>
  </si>
  <si>
    <r>
      <rPr>
        <b/>
        <sz val="14"/>
        <color indexed="10"/>
        <rFont val="仿宋_GB2312"/>
        <family val="3"/>
        <charset val="134"/>
      </rPr>
      <t>数据汇总表</t>
    </r>
    <phoneticPr fontId="11" type="noConversion"/>
  </si>
  <si>
    <r>
      <rPr>
        <b/>
        <sz val="11"/>
        <color indexed="8"/>
        <rFont val="仿宋_GB2312"/>
        <family val="3"/>
        <charset val="134"/>
      </rPr>
      <t>估价对象</t>
    </r>
    <phoneticPr fontId="11" type="noConversion"/>
  </si>
  <si>
    <r>
      <rPr>
        <b/>
        <sz val="11"/>
        <color indexed="8"/>
        <rFont val="仿宋_GB2312"/>
        <family val="3"/>
        <charset val="134"/>
      </rPr>
      <t>土地面积</t>
    </r>
    <phoneticPr fontId="14" type="noConversion"/>
  </si>
  <si>
    <r>
      <rPr>
        <b/>
        <sz val="11"/>
        <rFont val="仿宋_GB2312"/>
        <family val="3"/>
        <charset val="134"/>
      </rPr>
      <t>建筑面积</t>
    </r>
    <phoneticPr fontId="14" type="noConversion"/>
  </si>
  <si>
    <r>
      <rPr>
        <b/>
        <sz val="11"/>
        <color indexed="8"/>
        <rFont val="仿宋_GB2312"/>
        <family val="3"/>
        <charset val="134"/>
      </rPr>
      <t>面积总计</t>
    </r>
    <phoneticPr fontId="11" type="noConversion"/>
  </si>
  <si>
    <r>
      <t>1.</t>
    </r>
    <r>
      <rPr>
        <sz val="11"/>
        <color indexed="8"/>
        <rFont val="仿宋_GB2312"/>
        <family val="3"/>
        <charset val="134"/>
      </rPr>
      <t>其中：</t>
    </r>
    <phoneticPr fontId="11" type="noConversion"/>
  </si>
  <si>
    <r>
      <rPr>
        <sz val="11"/>
        <color indexed="8"/>
        <rFont val="仿宋_GB2312"/>
        <family val="3"/>
        <charset val="134"/>
      </rPr>
      <t>非住宅</t>
    </r>
    <phoneticPr fontId="11" type="noConversion"/>
  </si>
  <si>
    <r>
      <t>2.</t>
    </r>
    <r>
      <rPr>
        <sz val="11"/>
        <color indexed="8"/>
        <rFont val="仿宋_GB2312"/>
        <family val="3"/>
        <charset val="134"/>
      </rPr>
      <t>其中：</t>
    </r>
    <phoneticPr fontId="11" type="noConversion"/>
  </si>
  <si>
    <r>
      <rPr>
        <sz val="11"/>
        <color indexed="8"/>
        <rFont val="仿宋_GB2312"/>
        <family val="3"/>
        <charset val="134"/>
      </rPr>
      <t>计出让部分</t>
    </r>
    <phoneticPr fontId="14" type="noConversion"/>
  </si>
  <si>
    <r>
      <rPr>
        <sz val="11"/>
        <color indexed="8"/>
        <rFont val="仿宋_GB2312"/>
        <family val="3"/>
        <charset val="134"/>
      </rPr>
      <t>地上经营性用途</t>
    </r>
    <phoneticPr fontId="11" type="noConversion"/>
  </si>
  <si>
    <r>
      <rPr>
        <sz val="11"/>
        <color indexed="8"/>
        <rFont val="仿宋_GB2312"/>
        <family val="3"/>
        <charset val="134"/>
      </rPr>
      <t>地上其他</t>
    </r>
    <phoneticPr fontId="11" type="noConversion"/>
  </si>
  <si>
    <r>
      <rPr>
        <sz val="11"/>
        <color indexed="8"/>
        <rFont val="仿宋_GB2312"/>
        <family val="3"/>
        <charset val="134"/>
      </rPr>
      <t>地下商业</t>
    </r>
    <phoneticPr fontId="11" type="noConversion"/>
  </si>
  <si>
    <r>
      <rPr>
        <sz val="11"/>
        <color indexed="8"/>
        <rFont val="仿宋_GB2312"/>
        <family val="3"/>
        <charset val="134"/>
      </rPr>
      <t>地下仓储</t>
    </r>
    <phoneticPr fontId="11" type="noConversion"/>
  </si>
  <si>
    <r>
      <rPr>
        <sz val="11"/>
        <color indexed="8"/>
        <rFont val="仿宋_GB2312"/>
        <family val="3"/>
        <charset val="134"/>
      </rPr>
      <t>小计</t>
    </r>
    <phoneticPr fontId="11" type="noConversion"/>
  </si>
  <si>
    <r>
      <t>3.</t>
    </r>
    <r>
      <rPr>
        <sz val="11"/>
        <color indexed="8"/>
        <rFont val="仿宋_GB2312"/>
        <family val="3"/>
        <charset val="134"/>
      </rPr>
      <t>其中：</t>
    </r>
    <phoneticPr fontId="14" type="noConversion"/>
  </si>
  <si>
    <r>
      <rPr>
        <sz val="11"/>
        <color indexed="8"/>
        <rFont val="仿宋_GB2312"/>
        <family val="3"/>
        <charset val="134"/>
      </rPr>
      <t>类别</t>
    </r>
    <phoneticPr fontId="11" type="noConversion"/>
  </si>
  <si>
    <r>
      <rPr>
        <b/>
        <sz val="11"/>
        <color indexed="8"/>
        <rFont val="仿宋_GB2312"/>
        <family val="3"/>
        <charset val="134"/>
      </rPr>
      <t>分摊原则：</t>
    </r>
    <phoneticPr fontId="11" type="noConversion"/>
  </si>
  <si>
    <r>
      <rPr>
        <b/>
        <sz val="11"/>
        <color indexed="8"/>
        <rFont val="仿宋_GB2312"/>
        <family val="3"/>
        <charset val="134"/>
      </rPr>
      <t>分摊非经营性用途用房</t>
    </r>
    <phoneticPr fontId="11" type="noConversion"/>
  </si>
  <si>
    <r>
      <rPr>
        <sz val="11"/>
        <rFont val="仿宋_GB2312"/>
        <family val="3"/>
        <charset val="134"/>
      </rPr>
      <t>合计</t>
    </r>
    <phoneticPr fontId="11" type="noConversion"/>
  </si>
  <si>
    <r>
      <rPr>
        <sz val="11"/>
        <color indexed="8"/>
        <rFont val="仿宋_GB2312"/>
        <family val="3"/>
        <charset val="134"/>
      </rPr>
      <t>地上</t>
    </r>
    <phoneticPr fontId="11" type="noConversion"/>
  </si>
  <si>
    <r>
      <rPr>
        <sz val="11"/>
        <color indexed="8"/>
        <rFont val="仿宋_GB2312"/>
        <family val="3"/>
        <charset val="134"/>
      </rPr>
      <t>地下</t>
    </r>
    <phoneticPr fontId="11" type="noConversion"/>
  </si>
  <si>
    <r>
      <rPr>
        <sz val="11"/>
        <color indexed="8"/>
        <rFont val="仿宋_GB2312"/>
        <family val="3"/>
        <charset val="134"/>
      </rPr>
      <t>土地面积</t>
    </r>
    <phoneticPr fontId="11" type="noConversion"/>
  </si>
  <si>
    <r>
      <rPr>
        <sz val="11"/>
        <color indexed="8"/>
        <rFont val="仿宋_GB2312"/>
        <family val="3"/>
        <charset val="134"/>
      </rPr>
      <t>建筑面积</t>
    </r>
    <phoneticPr fontId="11" type="noConversion"/>
  </si>
  <si>
    <r>
      <rPr>
        <sz val="11"/>
        <color indexed="8"/>
        <rFont val="仿宋_GB2312"/>
        <family val="3"/>
        <charset val="134"/>
      </rPr>
      <t>经营性</t>
    </r>
  </si>
  <si>
    <r>
      <rPr>
        <sz val="11"/>
        <color indexed="8"/>
        <rFont val="仿宋_GB2312"/>
        <family val="3"/>
        <charset val="134"/>
      </rPr>
      <t>经营性</t>
    </r>
    <phoneticPr fontId="11" type="noConversion"/>
  </si>
  <si>
    <r>
      <rPr>
        <sz val="11"/>
        <color indexed="8"/>
        <rFont val="仿宋_GB2312"/>
        <family val="3"/>
        <charset val="134"/>
      </rPr>
      <t>非经营性</t>
    </r>
    <phoneticPr fontId="14" type="noConversion"/>
  </si>
  <si>
    <r>
      <rPr>
        <sz val="11"/>
        <color indexed="8"/>
        <rFont val="仿宋_GB2312"/>
        <family val="3"/>
        <charset val="134"/>
      </rPr>
      <t>设备及其他</t>
    </r>
    <phoneticPr fontId="11" type="noConversion"/>
  </si>
  <si>
    <r>
      <rPr>
        <b/>
        <sz val="11"/>
        <color indexed="8"/>
        <rFont val="仿宋_GB2312"/>
        <family val="3"/>
        <charset val="134"/>
      </rPr>
      <t>合计</t>
    </r>
    <phoneticPr fontId="11" type="noConversion"/>
  </si>
  <si>
    <r>
      <rPr>
        <sz val="11"/>
        <color indexed="8"/>
        <rFont val="仿宋_GB2312"/>
        <family val="3"/>
        <charset val="134"/>
      </rPr>
      <t>住宅</t>
    </r>
    <phoneticPr fontId="11" type="noConversion"/>
  </si>
  <si>
    <r>
      <rPr>
        <b/>
        <sz val="11"/>
        <color indexed="8"/>
        <rFont val="仿宋_GB2312"/>
        <family val="3"/>
        <charset val="134"/>
      </rPr>
      <t>建筑面积</t>
    </r>
    <phoneticPr fontId="14"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</si>
  <si>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</si>
  <si>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1" type="noConversion"/>
  </si>
  <si>
    <r>
      <rPr>
        <b/>
        <sz val="14"/>
        <color indexed="10"/>
        <rFont val="楷体_GB2312"/>
        <family val="3"/>
        <charset val="134"/>
      </rPr>
      <t>数据取费表</t>
    </r>
    <phoneticPr fontId="7"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</si>
  <si>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7" type="noConversion"/>
  </si>
  <si>
    <r>
      <rPr>
        <sz val="11"/>
        <color indexed="8"/>
        <rFont val="楷体_GB2312"/>
        <family val="3"/>
        <charset val="134"/>
      </rPr>
      <t>类别</t>
    </r>
    <phoneticPr fontId="7" type="noConversion"/>
  </si>
  <si>
    <r>
      <rPr>
        <sz val="11"/>
        <color indexed="8"/>
        <rFont val="楷体_GB2312"/>
        <family val="3"/>
        <charset val="134"/>
      </rPr>
      <t>地类判定</t>
    </r>
    <phoneticPr fontId="7" type="noConversion"/>
  </si>
  <si>
    <r>
      <rPr>
        <sz val="11"/>
        <rFont val="楷体_GB2312"/>
        <family val="3"/>
        <charset val="134"/>
      </rPr>
      <t>法定最高</t>
    </r>
    <r>
      <rPr>
        <sz val="11"/>
        <rFont val="Arial"/>
        <family val="2"/>
      </rPr>
      <t>/</t>
    </r>
    <r>
      <rPr>
        <sz val="11"/>
        <rFont val="楷体_GB2312"/>
        <family val="3"/>
        <charset val="134"/>
      </rPr>
      <t>出让年限</t>
    </r>
    <phoneticPr fontId="7" type="noConversion"/>
  </si>
  <si>
    <r>
      <rPr>
        <sz val="11"/>
        <color indexed="8"/>
        <rFont val="楷体_GB2312"/>
        <family val="3"/>
        <charset val="134"/>
      </rPr>
      <t>终止日期</t>
    </r>
    <phoneticPr fontId="7" type="noConversion"/>
  </si>
  <si>
    <r>
      <rPr>
        <sz val="11"/>
        <color indexed="8"/>
        <rFont val="楷体_GB2312"/>
        <family val="3"/>
        <charset val="134"/>
      </rPr>
      <t>剩余土地使用年限</t>
    </r>
    <phoneticPr fontId="7" type="noConversion"/>
  </si>
  <si>
    <r>
      <rPr>
        <sz val="11"/>
        <color indexed="8"/>
        <rFont val="楷体_GB2312"/>
        <family val="3"/>
        <charset val="134"/>
      </rPr>
      <t>年期修正系数</t>
    </r>
    <phoneticPr fontId="7"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</si>
  <si>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7" type="noConversion"/>
  </si>
  <si>
    <r>
      <rPr>
        <sz val="11"/>
        <color indexed="8"/>
        <rFont val="楷体_GB2312"/>
        <family val="3"/>
        <charset val="134"/>
      </rPr>
      <t>建筑面积</t>
    </r>
    <phoneticPr fontId="8" type="noConversion"/>
  </si>
  <si>
    <r>
      <rPr>
        <sz val="11"/>
        <color indexed="8"/>
        <rFont val="楷体_GB2312"/>
        <family val="3"/>
        <charset val="134"/>
      </rPr>
      <t>单方造价</t>
    </r>
    <phoneticPr fontId="8" type="noConversion"/>
  </si>
  <si>
    <r>
      <rPr>
        <sz val="11"/>
        <color indexed="8"/>
        <rFont val="楷体_GB2312"/>
        <family val="3"/>
        <charset val="134"/>
      </rPr>
      <t>建安总额</t>
    </r>
    <phoneticPr fontId="8" type="noConversion"/>
  </si>
  <si>
    <r>
      <rPr>
        <sz val="11"/>
        <color indexed="8"/>
        <rFont val="楷体_GB2312"/>
        <family val="3"/>
        <charset val="134"/>
      </rPr>
      <t>在建建安</t>
    </r>
    <phoneticPr fontId="8" type="noConversion"/>
  </si>
  <si>
    <r>
      <rPr>
        <sz val="11"/>
        <color indexed="8"/>
        <rFont val="楷体_GB2312"/>
        <family val="3"/>
        <charset val="134"/>
      </rPr>
      <t>续建建安</t>
    </r>
    <phoneticPr fontId="8" type="noConversion"/>
  </si>
  <si>
    <r>
      <rPr>
        <sz val="11"/>
        <color indexed="8"/>
        <rFont val="楷体_GB2312"/>
        <family val="3"/>
        <charset val="134"/>
      </rPr>
      <t>利润</t>
    </r>
    <phoneticPr fontId="7" type="noConversion"/>
  </si>
  <si>
    <r>
      <rPr>
        <sz val="11"/>
        <color indexed="8"/>
        <rFont val="楷体_GB2312"/>
        <family val="3"/>
        <charset val="134"/>
      </rPr>
      <t>分摊土地面积（经营性）</t>
    </r>
    <phoneticPr fontId="7" type="noConversion"/>
  </si>
  <si>
    <r>
      <rPr>
        <sz val="11"/>
        <color indexed="8"/>
        <rFont val="楷体_GB2312"/>
        <family val="3"/>
        <charset val="134"/>
      </rPr>
      <t>总建安（分摊非经营）</t>
    </r>
    <phoneticPr fontId="7" type="noConversion"/>
  </si>
  <si>
    <r>
      <rPr>
        <sz val="11"/>
        <color indexed="8"/>
        <rFont val="楷体_GB2312"/>
        <family val="3"/>
        <charset val="134"/>
      </rPr>
      <t>租金</t>
    </r>
    <phoneticPr fontId="7" type="noConversion"/>
  </si>
  <si>
    <r>
      <rPr>
        <sz val="11"/>
        <color indexed="8"/>
        <rFont val="楷体_GB2312"/>
        <family val="3"/>
        <charset val="134"/>
      </rPr>
      <t>年租金增长率</t>
    </r>
    <phoneticPr fontId="7" type="noConversion"/>
  </si>
  <si>
    <r>
      <rPr>
        <sz val="11"/>
        <color indexed="8"/>
        <rFont val="楷体_GB2312"/>
        <family val="3"/>
        <charset val="134"/>
      </rPr>
      <t>空置率</t>
    </r>
    <phoneticPr fontId="7" type="noConversion"/>
  </si>
  <si>
    <r>
      <rPr>
        <sz val="11"/>
        <color indexed="8"/>
        <rFont val="楷体_GB2312"/>
        <family val="3"/>
        <charset val="134"/>
      </rPr>
      <t>成新度</t>
    </r>
    <phoneticPr fontId="7" type="noConversion"/>
  </si>
  <si>
    <r>
      <rPr>
        <sz val="11"/>
        <color indexed="8"/>
        <rFont val="楷体_GB2312"/>
        <family val="3"/>
        <charset val="134"/>
      </rPr>
      <t>租金</t>
    </r>
    <phoneticPr fontId="7" type="noConversion"/>
  </si>
  <si>
    <r>
      <rPr>
        <sz val="11"/>
        <color indexed="8"/>
        <rFont val="楷体_GB2312"/>
        <family val="3"/>
        <charset val="134"/>
      </rPr>
      <t>剩余租赁期</t>
    </r>
    <phoneticPr fontId="7" type="noConversion"/>
  </si>
  <si>
    <r>
      <rPr>
        <sz val="11"/>
        <color indexed="8"/>
        <rFont val="楷体_GB2312"/>
        <family val="3"/>
        <charset val="134"/>
      </rPr>
      <t>租赁期外收益期</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</si>
  <si>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7" type="noConversion"/>
  </si>
  <si>
    <r>
      <rPr>
        <sz val="11"/>
        <color indexed="8"/>
        <rFont val="楷体_GB2312"/>
        <family val="3"/>
        <charset val="134"/>
      </rPr>
      <t>维修费率</t>
    </r>
    <phoneticPr fontId="7" type="noConversion"/>
  </si>
  <si>
    <r>
      <rPr>
        <sz val="11"/>
        <color indexed="8"/>
        <rFont val="楷体_GB2312"/>
        <family val="3"/>
        <charset val="134"/>
      </rPr>
      <t>保险费率</t>
    </r>
    <phoneticPr fontId="7" type="noConversion"/>
  </si>
  <si>
    <r>
      <rPr>
        <sz val="11"/>
        <color indexed="8"/>
        <rFont val="楷体_GB2312"/>
        <family val="3"/>
        <charset val="134"/>
      </rPr>
      <t>管理费率</t>
    </r>
    <phoneticPr fontId="7" type="noConversion"/>
  </si>
  <si>
    <r>
      <rPr>
        <b/>
        <sz val="11"/>
        <color indexed="8"/>
        <rFont val="楷体_GB2312"/>
        <family val="3"/>
        <charset val="134"/>
      </rPr>
      <t>合计</t>
    </r>
    <phoneticPr fontId="8" type="noConversion"/>
  </si>
  <si>
    <r>
      <rPr>
        <b/>
        <sz val="11"/>
        <color indexed="8"/>
        <rFont val="楷体_GB2312"/>
        <family val="3"/>
        <charset val="134"/>
      </rPr>
      <t>开发期</t>
    </r>
    <phoneticPr fontId="7" type="noConversion"/>
  </si>
  <si>
    <r>
      <rPr>
        <sz val="11"/>
        <rFont val="楷体_GB2312"/>
        <family val="3"/>
        <charset val="134"/>
      </rPr>
      <t>土地开发期</t>
    </r>
  </si>
  <si>
    <r>
      <rPr>
        <sz val="11"/>
        <rFont val="楷体_GB2312"/>
        <family val="3"/>
        <charset val="134"/>
      </rPr>
      <t>建设期</t>
    </r>
    <phoneticPr fontId="8" type="noConversion"/>
  </si>
  <si>
    <r>
      <rPr>
        <sz val="11"/>
        <color indexed="8"/>
        <rFont val="楷体_GB2312"/>
        <family val="3"/>
        <charset val="134"/>
      </rPr>
      <t>已建工期</t>
    </r>
    <phoneticPr fontId="8" type="noConversion"/>
  </si>
  <si>
    <r>
      <rPr>
        <sz val="11"/>
        <rFont val="楷体_GB2312"/>
        <family val="3"/>
        <charset val="134"/>
      </rPr>
      <t>项目开发期</t>
    </r>
    <phoneticPr fontId="8" type="noConversion"/>
  </si>
  <si>
    <r>
      <rPr>
        <sz val="11"/>
        <color indexed="8"/>
        <rFont val="楷体_GB2312"/>
        <family val="3"/>
        <charset val="134"/>
      </rPr>
      <t>项目已运行</t>
    </r>
    <phoneticPr fontId="8" type="noConversion"/>
  </si>
  <si>
    <r>
      <rPr>
        <sz val="11"/>
        <rFont val="楷体_GB2312"/>
        <family val="3"/>
        <charset val="134"/>
      </rPr>
      <t>续建工期</t>
    </r>
    <phoneticPr fontId="8" type="noConversion"/>
  </si>
  <si>
    <r>
      <rPr>
        <b/>
        <sz val="11"/>
        <color indexed="8"/>
        <rFont val="楷体_GB2312"/>
        <family val="3"/>
        <charset val="134"/>
      </rPr>
      <t>其他取费</t>
    </r>
    <phoneticPr fontId="7" type="noConversion"/>
  </si>
  <si>
    <r>
      <rPr>
        <sz val="11"/>
        <color indexed="8"/>
        <rFont val="楷体_GB2312"/>
        <family val="3"/>
        <charset val="134"/>
      </rPr>
      <t>取值</t>
    </r>
    <phoneticPr fontId="7" type="noConversion"/>
  </si>
  <si>
    <r>
      <rPr>
        <sz val="11"/>
        <color indexed="8"/>
        <rFont val="楷体_GB2312"/>
        <family val="3"/>
        <charset val="134"/>
      </rPr>
      <t>备注</t>
    </r>
    <phoneticPr fontId="7" type="noConversion"/>
  </si>
  <si>
    <r>
      <rPr>
        <sz val="11"/>
        <color indexed="8"/>
        <rFont val="楷体_GB2312"/>
        <family val="3"/>
        <charset val="134"/>
      </rPr>
      <t>红线外市政基础设施（总）</t>
    </r>
    <phoneticPr fontId="7" type="noConversion"/>
  </si>
  <si>
    <r>
      <rPr>
        <sz val="11"/>
        <color indexed="8"/>
        <rFont val="楷体_GB2312"/>
        <family val="3"/>
        <charset val="134"/>
      </rPr>
      <t>红线外市政基础设施（现状）</t>
    </r>
    <phoneticPr fontId="7" type="noConversion"/>
  </si>
  <si>
    <r>
      <rPr>
        <sz val="11"/>
        <color indexed="8"/>
        <rFont val="楷体_GB2312"/>
        <family val="3"/>
        <charset val="134"/>
      </rPr>
      <t>红线外市政基础设施（待完成）</t>
    </r>
    <phoneticPr fontId="7" type="noConversion"/>
  </si>
  <si>
    <r>
      <rPr>
        <sz val="11"/>
        <color indexed="8"/>
        <rFont val="楷体_GB2312"/>
        <family val="3"/>
        <charset val="134"/>
      </rPr>
      <t>红线内市政基础设施</t>
    </r>
    <phoneticPr fontId="7" type="noConversion"/>
  </si>
  <si>
    <r>
      <rPr>
        <sz val="11"/>
        <color indexed="8"/>
        <rFont val="楷体_GB2312"/>
        <family val="3"/>
        <charset val="134"/>
      </rPr>
      <t>建造成本中相关税费</t>
    </r>
    <phoneticPr fontId="7" type="noConversion"/>
  </si>
  <si>
    <r>
      <rPr>
        <sz val="11"/>
        <color indexed="8"/>
        <rFont val="楷体_GB2312"/>
        <family val="3"/>
        <charset val="134"/>
      </rPr>
      <t>勘察设计和前期工程费</t>
    </r>
    <phoneticPr fontId="7" type="noConversion"/>
  </si>
  <si>
    <r>
      <rPr>
        <sz val="11"/>
        <color indexed="8"/>
        <rFont val="楷体_GB2312"/>
        <family val="3"/>
        <charset val="134"/>
      </rPr>
      <t>公共配套设施费用</t>
    </r>
    <phoneticPr fontId="7" type="noConversion"/>
  </si>
  <si>
    <r>
      <rPr>
        <sz val="11"/>
        <color indexed="8"/>
        <rFont val="楷体_GB2312"/>
        <family val="3"/>
        <charset val="134"/>
      </rPr>
      <t>管理费用</t>
    </r>
    <phoneticPr fontId="7" type="noConversion"/>
  </si>
  <si>
    <r>
      <rPr>
        <sz val="11"/>
        <color indexed="8"/>
        <rFont val="楷体_GB2312"/>
        <family val="3"/>
        <charset val="134"/>
      </rPr>
      <t>销售费用</t>
    </r>
    <phoneticPr fontId="7"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</si>
  <si>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7" type="noConversion"/>
  </si>
  <si>
    <r>
      <rPr>
        <sz val="11"/>
        <color indexed="8"/>
        <rFont val="楷体_GB2312"/>
        <family val="3"/>
        <charset val="134"/>
      </rPr>
      <t>增值税</t>
    </r>
    <phoneticPr fontId="7" type="noConversion"/>
  </si>
  <si>
    <r>
      <rPr>
        <sz val="11"/>
        <color indexed="8"/>
        <rFont val="楷体_GB2312"/>
        <family val="3"/>
        <charset val="134"/>
      </rPr>
      <t>附加税合计</t>
    </r>
    <phoneticPr fontId="7" type="noConversion"/>
  </si>
  <si>
    <r>
      <rPr>
        <sz val="11"/>
        <color indexed="8"/>
        <rFont val="楷体_GB2312"/>
        <family val="3"/>
        <charset val="134"/>
      </rPr>
      <t>城市维护建设税</t>
    </r>
    <phoneticPr fontId="7" type="noConversion"/>
  </si>
  <si>
    <r>
      <rPr>
        <sz val="11"/>
        <color indexed="8"/>
        <rFont val="楷体_GB2312"/>
        <family val="3"/>
        <charset val="134"/>
      </rPr>
      <t>教育费附加</t>
    </r>
    <phoneticPr fontId="7" type="noConversion"/>
  </si>
  <si>
    <r>
      <rPr>
        <sz val="11"/>
        <color indexed="8"/>
        <rFont val="楷体_GB2312"/>
        <family val="3"/>
        <charset val="134"/>
      </rPr>
      <t>地方教育费附加</t>
    </r>
    <phoneticPr fontId="7" type="noConversion"/>
  </si>
  <si>
    <r>
      <rPr>
        <sz val="11"/>
        <color indexed="8"/>
        <rFont val="楷体_GB2312"/>
        <family val="3"/>
        <charset val="134"/>
      </rPr>
      <t>其他税种</t>
    </r>
    <phoneticPr fontId="7" type="noConversion"/>
  </si>
  <si>
    <r>
      <rPr>
        <sz val="11"/>
        <color indexed="8"/>
        <rFont val="楷体_GB2312"/>
        <family val="3"/>
        <charset val="134"/>
      </rPr>
      <t>契税</t>
    </r>
    <phoneticPr fontId="7" type="noConversion"/>
  </si>
  <si>
    <r>
      <rPr>
        <sz val="11"/>
        <color indexed="8"/>
        <rFont val="楷体_GB2312"/>
        <family val="3"/>
        <charset val="134"/>
      </rPr>
      <t>印花税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</si>
  <si>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</si>
  <si>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7" type="noConversion"/>
  </si>
  <si>
    <r>
      <rPr>
        <sz val="11"/>
        <color indexed="8"/>
        <rFont val="楷体_GB2312"/>
        <family val="3"/>
        <charset val="134"/>
      </rPr>
      <t>土地使用税</t>
    </r>
    <phoneticPr fontId="7" type="noConversion"/>
  </si>
  <si>
    <r>
      <rPr>
        <sz val="11"/>
        <color indexed="8"/>
        <rFont val="楷体_GB2312"/>
        <family val="3"/>
        <charset val="134"/>
      </rPr>
      <t>城镇土地纳税等级分级范围</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</si>
  <si>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</si>
  <si>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</si>
  <si>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</si>
  <si>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</si>
  <si>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</si>
  <si>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</si>
  <si>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2"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</si>
  <si>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</si>
  <si>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2"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</si>
  <si>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</si>
  <si>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</si>
  <si>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</si>
  <si>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</si>
  <si>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</si>
  <si>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</si>
  <si>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</si>
  <si>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</si>
  <si>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</si>
  <si>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</si>
  <si>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</si>
  <si>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</si>
  <si>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2"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</si>
  <si>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</si>
  <si>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</si>
  <si>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</si>
  <si>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</si>
  <si>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3" type="noConversion"/>
  </si>
  <si>
    <r>
      <rPr>
        <sz val="11"/>
        <color indexed="8"/>
        <rFont val="仿宋_GB2312"/>
        <family val="3"/>
        <charset val="134"/>
      </rPr>
      <t>总价</t>
    </r>
    <phoneticPr fontId="13" type="noConversion"/>
  </si>
  <si>
    <r>
      <rPr>
        <b/>
        <sz val="11"/>
        <color indexed="8"/>
        <rFont val="仿宋_GB2312"/>
        <family val="3"/>
        <charset val="134"/>
      </rPr>
      <t>权重结果</t>
    </r>
    <phoneticPr fontId="13" type="noConversion"/>
  </si>
  <si>
    <r>
      <rPr>
        <sz val="10"/>
        <color indexed="8"/>
        <rFont val="仿宋_GB2312"/>
        <family val="3"/>
        <charset val="134"/>
      </rPr>
      <t>万元</t>
    </r>
    <phoneticPr fontId="12" type="noConversion"/>
  </si>
  <si>
    <r>
      <rPr>
        <sz val="11"/>
        <color indexed="8"/>
        <rFont val="仿宋_GB2312"/>
        <family val="3"/>
        <charset val="134"/>
      </rPr>
      <t>楼面地价</t>
    </r>
    <phoneticPr fontId="13"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</si>
  <si>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3" type="noConversion"/>
  </si>
  <si>
    <r>
      <rPr>
        <sz val="11"/>
        <color indexed="8"/>
        <rFont val="仿宋_GB2312"/>
        <family val="3"/>
        <charset val="134"/>
      </rPr>
      <t>单位面积地价</t>
    </r>
    <phoneticPr fontId="13" type="noConversion"/>
  </si>
  <si>
    <r>
      <rPr>
        <b/>
        <sz val="11"/>
        <color indexed="8"/>
        <rFont val="仿宋_GB2312"/>
        <family val="3"/>
        <charset val="134"/>
      </rPr>
      <t>各方法结果差值</t>
    </r>
    <phoneticPr fontId="12"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</si>
  <si>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2"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</si>
  <si>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2" type="noConversion"/>
  </si>
  <si>
    <r>
      <rPr>
        <sz val="11"/>
        <color indexed="8"/>
        <rFont val="仿宋_GB2312"/>
        <family val="3"/>
        <charset val="134"/>
      </rPr>
      <t>楼面地价</t>
    </r>
  </si>
  <si>
    <r>
      <rPr>
        <sz val="11"/>
        <color indexed="10"/>
        <rFont val="仿宋_GB2312"/>
        <family val="3"/>
        <charset val="134"/>
      </rPr>
      <t>扣减项</t>
    </r>
    <phoneticPr fontId="12" type="noConversion"/>
  </si>
  <si>
    <r>
      <rPr>
        <sz val="11"/>
        <color indexed="10"/>
        <rFont val="仿宋_GB2312"/>
        <family val="3"/>
        <charset val="134"/>
      </rPr>
      <t>面积</t>
    </r>
    <phoneticPr fontId="12" type="noConversion"/>
  </si>
  <si>
    <r>
      <rPr>
        <sz val="11"/>
        <color indexed="10"/>
        <rFont val="仿宋_GB2312"/>
        <family val="3"/>
        <charset val="134"/>
      </rPr>
      <t>单价</t>
    </r>
    <phoneticPr fontId="12" type="noConversion"/>
  </si>
  <si>
    <r>
      <rPr>
        <sz val="11"/>
        <color indexed="10"/>
        <rFont val="仿宋_GB2312"/>
        <family val="3"/>
        <charset val="134"/>
      </rPr>
      <t>总值</t>
    </r>
    <phoneticPr fontId="12" type="noConversion"/>
  </si>
  <si>
    <r>
      <rPr>
        <sz val="11"/>
        <color indexed="10"/>
        <rFont val="仿宋_GB2312"/>
        <family val="3"/>
        <charset val="134"/>
      </rPr>
      <t>合计</t>
    </r>
    <phoneticPr fontId="12" type="noConversion"/>
  </si>
  <si>
    <r>
      <rPr>
        <b/>
        <sz val="11"/>
        <color indexed="8"/>
        <rFont val="仿宋_GB2312"/>
        <family val="3"/>
        <charset val="134"/>
      </rPr>
      <t>土地价格</t>
    </r>
    <phoneticPr fontId="13" type="noConversion"/>
  </si>
  <si>
    <r>
      <rPr>
        <b/>
        <sz val="11"/>
        <color indexed="8"/>
        <rFont val="仿宋_GB2312"/>
        <family val="3"/>
        <charset val="134"/>
      </rPr>
      <t>优先受偿情况</t>
    </r>
    <phoneticPr fontId="12" type="noConversion"/>
  </si>
  <si>
    <r>
      <rPr>
        <sz val="11"/>
        <color indexed="8"/>
        <rFont val="仿宋_GB2312"/>
        <family val="3"/>
        <charset val="134"/>
      </rPr>
      <t>已抵押担保数额</t>
    </r>
    <phoneticPr fontId="12"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</si>
  <si>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3" type="noConversion"/>
  </si>
  <si>
    <r>
      <rPr>
        <sz val="11"/>
        <color indexed="8"/>
        <rFont val="仿宋_GB2312"/>
        <family val="3"/>
        <charset val="134"/>
      </rPr>
      <t>拖欠工程款</t>
    </r>
    <phoneticPr fontId="12" type="noConversion"/>
  </si>
  <si>
    <r>
      <rPr>
        <sz val="11"/>
        <color indexed="8"/>
        <rFont val="仿宋_GB2312"/>
        <family val="3"/>
        <charset val="134"/>
      </rPr>
      <t>其他</t>
    </r>
    <phoneticPr fontId="12" type="noConversion"/>
  </si>
  <si>
    <r>
      <rPr>
        <sz val="11"/>
        <color indexed="8"/>
        <rFont val="仿宋_GB2312"/>
        <family val="3"/>
        <charset val="134"/>
      </rPr>
      <t>补交地价款</t>
    </r>
    <phoneticPr fontId="13" type="noConversion"/>
  </si>
  <si>
    <r>
      <rPr>
        <b/>
        <sz val="11"/>
        <color indexed="8"/>
        <rFont val="仿宋_GB2312"/>
        <family val="3"/>
        <charset val="134"/>
      </rPr>
      <t>补交地价款</t>
    </r>
    <phoneticPr fontId="12" type="noConversion"/>
  </si>
  <si>
    <r>
      <rPr>
        <sz val="11"/>
        <color indexed="10"/>
        <rFont val="仿宋_GB2312"/>
        <family val="3"/>
        <charset val="134"/>
      </rPr>
      <t>单价</t>
    </r>
    <phoneticPr fontId="12" type="noConversion"/>
  </si>
  <si>
    <r>
      <rPr>
        <sz val="11"/>
        <color indexed="10"/>
        <rFont val="仿宋_GB2312"/>
        <family val="3"/>
        <charset val="134"/>
      </rPr>
      <t>税费</t>
    </r>
    <phoneticPr fontId="12" type="noConversion"/>
  </si>
  <si>
    <r>
      <rPr>
        <sz val="11"/>
        <color indexed="10"/>
        <rFont val="仿宋_GB2312"/>
        <family val="3"/>
        <charset val="134"/>
      </rPr>
      <t>总值</t>
    </r>
    <phoneticPr fontId="12" type="noConversion"/>
  </si>
  <si>
    <r>
      <t>(</t>
    </r>
    <r>
      <rPr>
        <sz val="10"/>
        <color indexed="8"/>
        <rFont val="仿宋_GB2312"/>
        <family val="3"/>
        <charset val="134"/>
      </rPr>
      <t>列示计算过程</t>
    </r>
    <r>
      <rPr>
        <sz val="10"/>
        <color indexed="8"/>
        <rFont val="Arial"/>
        <family val="2"/>
      </rPr>
      <t>,</t>
    </r>
    <phoneticPr fontId="13" type="noConversion"/>
  </si>
  <si>
    <r>
      <rPr>
        <sz val="10"/>
        <color indexed="8"/>
        <rFont val="仿宋_GB2312"/>
        <family val="3"/>
        <charset val="134"/>
      </rPr>
      <t>不固定格式</t>
    </r>
    <r>
      <rPr>
        <sz val="10"/>
        <color indexed="8"/>
        <rFont val="Arial"/>
        <family val="2"/>
      </rPr>
      <t>)</t>
    </r>
    <phoneticPr fontId="13"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</si>
  <si>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</si>
  <si>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</si>
  <si>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</si>
  <si>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</si>
  <si>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</si>
  <si>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</si>
  <si>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3" type="noConversion"/>
  </si>
  <si>
    <r>
      <rPr>
        <b/>
        <sz val="12"/>
        <color indexed="8"/>
        <rFont val="仿宋_GB2312"/>
        <family val="3"/>
        <charset val="134"/>
      </rPr>
      <t>总额</t>
    </r>
    <phoneticPr fontId="13" type="noConversion"/>
  </si>
  <si>
    <r>
      <rPr>
        <b/>
        <sz val="12"/>
        <color indexed="8"/>
        <rFont val="仿宋_GB2312"/>
        <family val="3"/>
        <charset val="134"/>
      </rPr>
      <t>楼面地价</t>
    </r>
    <phoneticPr fontId="13" type="noConversion"/>
  </si>
  <si>
    <r>
      <rPr>
        <b/>
        <sz val="12"/>
        <color indexed="8"/>
        <rFont val="仿宋_GB2312"/>
        <family val="3"/>
        <charset val="134"/>
      </rPr>
      <t>单位面积地价</t>
    </r>
    <phoneticPr fontId="13" type="noConversion"/>
  </si>
  <si>
    <r>
      <rPr>
        <b/>
        <sz val="12"/>
        <color indexed="8"/>
        <rFont val="仿宋_GB2312"/>
        <family val="3"/>
        <charset val="134"/>
      </rPr>
      <t>每亩价格</t>
    </r>
    <phoneticPr fontId="13"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</si>
  <si>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</si>
  <si>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</si>
  <si>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</si>
  <si>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</si>
  <si>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</si>
  <si>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2"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</si>
  <si>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</si>
  <si>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7"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</si>
  <si>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</si>
  <si>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初审意见：</t>
    </r>
    <r>
      <rPr>
        <b/>
        <sz val="10"/>
        <color indexed="8"/>
        <rFont val="Arial"/>
        <family val="2"/>
      </rPr>
      <t xml:space="preserve">      </t>
    </r>
    <phoneticPr fontId="7"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</si>
  <si>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</si>
  <si>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终审意见：</t>
    </r>
    <r>
      <rPr>
        <b/>
        <sz val="10"/>
        <color indexed="8"/>
        <rFont val="Arial"/>
        <family val="2"/>
      </rPr>
      <t xml:space="preserve">      </t>
    </r>
    <phoneticPr fontId="7" type="noConversion"/>
  </si>
  <si>
    <r>
      <rPr>
        <b/>
        <sz val="14"/>
        <color indexed="10"/>
        <rFont val="仿宋_GB2312"/>
        <family val="3"/>
        <charset val="134"/>
      </rPr>
      <t>抵押净值计算</t>
    </r>
    <phoneticPr fontId="12"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</si>
  <si>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2" type="noConversion"/>
  </si>
  <si>
    <r>
      <rPr>
        <sz val="10"/>
        <color indexed="8"/>
        <rFont val="仿宋_GB2312"/>
        <family val="3"/>
        <charset val="134"/>
      </rPr>
      <t>按评估值的</t>
    </r>
    <phoneticPr fontId="12" type="noConversion"/>
  </si>
  <si>
    <r>
      <rPr>
        <sz val="10"/>
        <color indexed="8"/>
        <rFont val="仿宋_GB2312"/>
        <family val="3"/>
        <charset val="134"/>
      </rPr>
      <t>计算</t>
    </r>
    <phoneticPr fontId="12"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</si>
  <si>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</si>
  <si>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2" type="noConversion"/>
  </si>
  <si>
    <r>
      <rPr>
        <b/>
        <sz val="10"/>
        <color indexed="8"/>
        <rFont val="仿宋_GB2312"/>
        <family val="3"/>
        <charset val="134"/>
      </rPr>
      <t>估价对象基本情况</t>
    </r>
    <phoneticPr fontId="13" type="noConversion"/>
  </si>
  <si>
    <r>
      <rPr>
        <b/>
        <sz val="10"/>
        <color indexed="8"/>
        <rFont val="仿宋_GB2312"/>
        <family val="3"/>
        <charset val="134"/>
      </rPr>
      <t>税（费）种</t>
    </r>
    <phoneticPr fontId="12" type="noConversion"/>
  </si>
  <si>
    <r>
      <rPr>
        <sz val="10"/>
        <color indexed="8"/>
        <rFont val="仿宋_GB2312"/>
        <family val="3"/>
        <charset val="134"/>
      </rPr>
      <t>金额</t>
    </r>
    <phoneticPr fontId="12" type="noConversion"/>
  </si>
  <si>
    <r>
      <rPr>
        <sz val="10"/>
        <color indexed="8"/>
        <rFont val="仿宋_GB2312"/>
        <family val="3"/>
        <charset val="134"/>
      </rPr>
      <t>计算方法</t>
    </r>
    <phoneticPr fontId="12" type="noConversion"/>
  </si>
  <si>
    <r>
      <rPr>
        <b/>
        <sz val="10"/>
        <color indexed="8"/>
        <rFont val="仿宋_GB2312"/>
        <family val="3"/>
        <charset val="134"/>
      </rPr>
      <t>税（费）率</t>
    </r>
    <phoneticPr fontId="12" type="noConversion"/>
  </si>
  <si>
    <r>
      <rPr>
        <sz val="10"/>
        <color indexed="8"/>
        <rFont val="仿宋_GB2312"/>
        <family val="3"/>
        <charset val="134"/>
      </rPr>
      <t>备注</t>
    </r>
    <phoneticPr fontId="12" type="noConversion"/>
  </si>
  <si>
    <r>
      <rPr>
        <b/>
        <sz val="10"/>
        <color indexed="8"/>
        <rFont val="仿宋_GB2312"/>
        <family val="3"/>
        <charset val="134"/>
      </rPr>
      <t>估价对象</t>
    </r>
  </si>
  <si>
    <r>
      <t>1.</t>
    </r>
    <r>
      <rPr>
        <sz val="10"/>
        <color indexed="8"/>
        <rFont val="仿宋_GB2312"/>
        <family val="3"/>
        <charset val="134"/>
      </rPr>
      <t>增值税及附加</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</si>
  <si>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</si>
  <si>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</si>
  <si>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</si>
  <si>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</si>
  <si>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2" type="noConversion"/>
  </si>
  <si>
    <r>
      <rPr>
        <sz val="10"/>
        <color indexed="8"/>
        <rFont val="仿宋_GB2312"/>
        <family val="3"/>
        <charset val="134"/>
      </rPr>
      <t>免征</t>
    </r>
    <phoneticPr fontId="12" type="noConversion"/>
  </si>
  <si>
    <r>
      <rPr>
        <b/>
        <sz val="10"/>
        <color indexed="8"/>
        <rFont val="仿宋_GB2312"/>
        <family val="3"/>
        <charset val="134"/>
      </rPr>
      <t>评估总值</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</si>
  <si>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2" type="noConversion"/>
  </si>
  <si>
    <r>
      <rPr>
        <sz val="10"/>
        <color indexed="8"/>
        <rFont val="仿宋_GB2312"/>
        <family val="3"/>
        <charset val="134"/>
      </rPr>
      <t>个体工商户购买的住宅</t>
    </r>
    <phoneticPr fontId="12"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</si>
  <si>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2"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</si>
  <si>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2" type="noConversion"/>
  </si>
  <si>
    <r>
      <rPr>
        <sz val="10"/>
        <color indexed="8"/>
        <rFont val="仿宋_GB2312"/>
        <family val="3"/>
        <charset val="134"/>
      </rPr>
      <t>全额计税</t>
    </r>
    <phoneticPr fontId="12"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</si>
  <si>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</si>
  <si>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</si>
  <si>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</si>
  <si>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</si>
  <si>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</si>
  <si>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</si>
  <si>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2" type="noConversion"/>
  </si>
  <si>
    <r>
      <rPr>
        <sz val="10"/>
        <color indexed="8"/>
        <rFont val="仿宋_GB2312"/>
        <family val="3"/>
        <charset val="134"/>
      </rPr>
      <t>增值税及附加</t>
    </r>
    <phoneticPr fontId="12"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</si>
  <si>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</si>
  <si>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2" type="noConversion"/>
  </si>
  <si>
    <r>
      <rPr>
        <sz val="10"/>
        <color indexed="8"/>
        <rFont val="仿宋_GB2312"/>
        <family val="3"/>
        <charset val="134"/>
      </rPr>
      <t>差额计税</t>
    </r>
    <phoneticPr fontId="12" type="noConversion"/>
  </si>
  <si>
    <r>
      <rPr>
        <sz val="10"/>
        <color indexed="8"/>
        <rFont val="仿宋_GB2312"/>
        <family val="3"/>
        <charset val="134"/>
      </rPr>
      <t>印花税</t>
    </r>
    <phoneticPr fontId="12" type="noConversion"/>
  </si>
  <si>
    <r>
      <t>2.</t>
    </r>
    <r>
      <rPr>
        <sz val="10"/>
        <color indexed="8"/>
        <rFont val="仿宋_GB2312"/>
        <family val="3"/>
        <charset val="134"/>
      </rPr>
      <t>印花税</t>
    </r>
    <phoneticPr fontId="12"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</si>
  <si>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</si>
  <si>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正常</t>
    </r>
  </si>
  <si>
    <r>
      <rPr>
        <sz val="10"/>
        <color indexed="8"/>
        <rFont val="仿宋_GB2312"/>
        <family val="3"/>
        <charset val="134"/>
      </rPr>
      <t>土地增值税</t>
    </r>
    <phoneticPr fontId="12" type="noConversion"/>
  </si>
  <si>
    <r>
      <t>3.</t>
    </r>
    <r>
      <rPr>
        <sz val="10"/>
        <color indexed="8"/>
        <rFont val="仿宋_GB2312"/>
        <family val="3"/>
        <charset val="134"/>
      </rPr>
      <t>土地增值税</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</si>
  <si>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</si>
  <si>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</si>
  <si>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</si>
  <si>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个人住宅</t>
    </r>
    <phoneticPr fontId="12" type="noConversion"/>
  </si>
  <si>
    <r>
      <rPr>
        <sz val="10"/>
        <color indexed="8"/>
        <rFont val="仿宋_GB2312"/>
        <family val="3"/>
        <charset val="134"/>
      </rPr>
      <t>免征</t>
    </r>
    <phoneticPr fontId="12"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</si>
  <si>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</si>
  <si>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</si>
  <si>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</si>
  <si>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</si>
  <si>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</si>
  <si>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2" type="noConversion"/>
  </si>
  <si>
    <r>
      <rPr>
        <b/>
        <sz val="10"/>
        <color indexed="8"/>
        <rFont val="仿宋_GB2312"/>
        <family val="3"/>
        <charset val="134"/>
      </rPr>
      <t>销售不动产增值税及附加计算</t>
    </r>
    <phoneticPr fontId="33" type="noConversion"/>
  </si>
  <si>
    <r>
      <rPr>
        <b/>
        <sz val="10"/>
        <rFont val="仿宋_GB2312"/>
        <family val="3"/>
        <charset val="134"/>
      </rPr>
      <t>项目</t>
    </r>
    <phoneticPr fontId="37" type="noConversion"/>
  </si>
  <si>
    <r>
      <rPr>
        <b/>
        <sz val="10"/>
        <rFont val="仿宋_GB2312"/>
        <family val="3"/>
        <charset val="134"/>
      </rPr>
      <t>系数</t>
    </r>
    <phoneticPr fontId="37" type="noConversion"/>
  </si>
  <si>
    <r>
      <rPr>
        <sz val="10"/>
        <color indexed="8"/>
        <rFont val="仿宋_GB2312"/>
        <family val="3"/>
        <charset val="134"/>
      </rPr>
      <t>备注</t>
    </r>
    <phoneticPr fontId="37" type="noConversion"/>
  </si>
  <si>
    <r>
      <rPr>
        <b/>
        <sz val="10"/>
        <rFont val="仿宋_GB2312"/>
        <family val="3"/>
        <charset val="134"/>
      </rPr>
      <t>销售额</t>
    </r>
    <phoneticPr fontId="33" type="noConversion"/>
  </si>
  <si>
    <r>
      <rPr>
        <sz val="10"/>
        <rFont val="仿宋_GB2312"/>
        <family val="3"/>
        <charset val="134"/>
      </rPr>
      <t>全部价款</t>
    </r>
    <phoneticPr fontId="37" type="noConversion"/>
  </si>
  <si>
    <r>
      <rPr>
        <sz val="10"/>
        <rFont val="仿宋_GB2312"/>
        <family val="3"/>
        <charset val="134"/>
      </rPr>
      <t>价外费用</t>
    </r>
    <phoneticPr fontId="33" type="noConversion"/>
  </si>
  <si>
    <r>
      <rPr>
        <b/>
        <sz val="10"/>
        <rFont val="仿宋_GB2312"/>
        <family val="3"/>
        <charset val="134"/>
      </rPr>
      <t>原购房价</t>
    </r>
    <r>
      <rPr>
        <b/>
        <sz val="10"/>
        <rFont val="Arial"/>
        <family val="2"/>
      </rPr>
      <t>/</t>
    </r>
    <r>
      <rPr>
        <b/>
        <sz val="10"/>
        <rFont val="仿宋_GB2312"/>
        <family val="3"/>
        <charset val="134"/>
      </rPr>
      <t>作价</t>
    </r>
    <phoneticPr fontId="37" type="noConversion"/>
  </si>
  <si>
    <r>
      <rPr>
        <b/>
        <sz val="10"/>
        <rFont val="仿宋_GB2312"/>
        <family val="3"/>
        <charset val="134"/>
      </rPr>
      <t>纳税基数</t>
    </r>
    <phoneticPr fontId="37" type="noConversion"/>
  </si>
  <si>
    <r>
      <rPr>
        <b/>
        <sz val="10"/>
        <rFont val="仿宋_GB2312"/>
        <family val="3"/>
        <charset val="134"/>
      </rPr>
      <t>纳税额</t>
    </r>
    <phoneticPr fontId="33" type="noConversion"/>
  </si>
  <si>
    <r>
      <rPr>
        <b/>
        <sz val="10"/>
        <rFont val="仿宋_GB2312"/>
        <family val="3"/>
        <charset val="134"/>
      </rPr>
      <t>土地增值税（转让取得）</t>
    </r>
    <phoneticPr fontId="37" type="noConversion"/>
  </si>
  <si>
    <r>
      <rPr>
        <sz val="10"/>
        <color indexed="8"/>
        <rFont val="仿宋_GB2312"/>
        <family val="3"/>
        <charset val="134"/>
      </rPr>
      <t>备注</t>
    </r>
    <phoneticPr fontId="37" type="noConversion"/>
  </si>
  <si>
    <r>
      <rPr>
        <b/>
        <sz val="10"/>
        <rFont val="仿宋_GB2312"/>
        <family val="3"/>
        <charset val="134"/>
      </rPr>
      <t>转让收入</t>
    </r>
    <phoneticPr fontId="37" type="noConversion"/>
  </si>
  <si>
    <r>
      <rPr>
        <b/>
        <sz val="10"/>
        <color indexed="8"/>
        <rFont val="仿宋_GB2312"/>
        <family val="3"/>
        <charset val="134"/>
      </rPr>
      <t>扣除项合计</t>
    </r>
    <phoneticPr fontId="37" type="noConversion"/>
  </si>
  <si>
    <r>
      <rPr>
        <sz val="10"/>
        <rFont val="仿宋_GB2312"/>
        <family val="3"/>
        <charset val="134"/>
      </rPr>
      <t>原购房价及相关税费</t>
    </r>
    <phoneticPr fontId="37" type="noConversion"/>
  </si>
  <si>
    <r>
      <rPr>
        <sz val="10"/>
        <rFont val="仿宋_GB2312"/>
        <family val="3"/>
        <charset val="134"/>
      </rPr>
      <t>原购房价</t>
    </r>
    <phoneticPr fontId="37" type="noConversion"/>
  </si>
  <si>
    <r>
      <rPr>
        <sz val="11"/>
        <color indexed="8"/>
        <rFont val="仿宋_GB2312"/>
        <family val="3"/>
        <charset val="134"/>
      </rPr>
      <t>原购房价依据</t>
    </r>
    <phoneticPr fontId="33" type="noConversion"/>
  </si>
  <si>
    <r>
      <rPr>
        <sz val="11"/>
        <color indexed="8"/>
        <rFont val="仿宋_GB2312"/>
        <family val="3"/>
        <charset val="134"/>
      </rPr>
      <t>购房发票</t>
    </r>
  </si>
  <si>
    <r>
      <rPr>
        <sz val="11"/>
        <color indexed="8"/>
        <rFont val="仿宋_GB2312"/>
        <family val="3"/>
        <charset val="134"/>
      </rPr>
      <t>已购年限</t>
    </r>
    <phoneticPr fontId="33" type="noConversion"/>
  </si>
  <si>
    <r>
      <rPr>
        <sz val="10"/>
        <rFont val="仿宋_GB2312"/>
        <family val="3"/>
        <charset val="134"/>
      </rPr>
      <t>加计扣减项</t>
    </r>
    <phoneticPr fontId="33"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</si>
  <si>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7" type="noConversion"/>
  </si>
  <si>
    <r>
      <rPr>
        <sz val="10"/>
        <rFont val="仿宋_GB2312"/>
        <family val="3"/>
        <charset val="134"/>
      </rPr>
      <t>相关税费</t>
    </r>
    <phoneticPr fontId="37" type="noConversion"/>
  </si>
  <si>
    <r>
      <rPr>
        <sz val="10"/>
        <color indexed="8"/>
        <rFont val="仿宋_GB2312"/>
        <family val="3"/>
        <charset val="134"/>
      </rPr>
      <t>含契税及印花税</t>
    </r>
    <phoneticPr fontId="37" type="noConversion"/>
  </si>
  <si>
    <r>
      <rPr>
        <sz val="10"/>
        <rFont val="仿宋_GB2312"/>
        <family val="3"/>
        <charset val="134"/>
      </rPr>
      <t>转让税金支出</t>
    </r>
    <phoneticPr fontId="37" type="noConversion"/>
  </si>
  <si>
    <r>
      <rPr>
        <b/>
        <sz val="10"/>
        <rFont val="仿宋_GB2312"/>
        <family val="3"/>
        <charset val="134"/>
      </rPr>
      <t>增值额</t>
    </r>
    <phoneticPr fontId="37" type="noConversion"/>
  </si>
  <si>
    <r>
      <rPr>
        <b/>
        <sz val="10"/>
        <rFont val="仿宋_GB2312"/>
        <family val="3"/>
        <charset val="134"/>
      </rPr>
      <t>增值额与扣除项比率</t>
    </r>
    <phoneticPr fontId="37" type="noConversion"/>
  </si>
  <si>
    <r>
      <rPr>
        <b/>
        <sz val="10"/>
        <rFont val="仿宋_GB2312"/>
        <family val="3"/>
        <charset val="134"/>
      </rPr>
      <t>应纳增值税税额</t>
    </r>
    <phoneticPr fontId="37" type="noConversion"/>
  </si>
  <si>
    <r>
      <rPr>
        <b/>
        <sz val="10"/>
        <rFont val="仿宋_GB2312"/>
        <family val="3"/>
        <charset val="134"/>
      </rPr>
      <t>土地增值税（自行开发建设）</t>
    </r>
    <phoneticPr fontId="37" type="noConversion"/>
  </si>
  <si>
    <r>
      <rPr>
        <sz val="10"/>
        <rFont val="仿宋_GB2312"/>
        <family val="3"/>
        <charset val="134"/>
      </rPr>
      <t>土地取得成本</t>
    </r>
    <phoneticPr fontId="37" type="noConversion"/>
  </si>
  <si>
    <r>
      <rPr>
        <sz val="10"/>
        <rFont val="仿宋_GB2312"/>
        <family val="3"/>
        <charset val="134"/>
      </rPr>
      <t>土地取得费用</t>
    </r>
    <phoneticPr fontId="37" type="noConversion"/>
  </si>
  <si>
    <r>
      <rPr>
        <sz val="10"/>
        <color indexed="8"/>
        <rFont val="仿宋_GB2312"/>
        <family val="3"/>
        <charset val="134"/>
      </rPr>
      <t>依据出让合同</t>
    </r>
    <phoneticPr fontId="33" type="noConversion"/>
  </si>
  <si>
    <r>
      <rPr>
        <sz val="9"/>
        <color indexed="8"/>
        <rFont val="仿宋_GB2312"/>
        <family val="3"/>
        <charset val="134"/>
      </rPr>
      <t>出让价款内涵：</t>
    </r>
    <phoneticPr fontId="33" type="noConversion"/>
  </si>
  <si>
    <r>
      <rPr>
        <sz val="10"/>
        <color indexed="8"/>
        <rFont val="仿宋_GB2312"/>
        <family val="3"/>
        <charset val="134"/>
      </rPr>
      <t>契税及印花税</t>
    </r>
    <phoneticPr fontId="33" type="noConversion"/>
  </si>
  <si>
    <r>
      <rPr>
        <sz val="10"/>
        <rFont val="仿宋_GB2312"/>
        <family val="3"/>
        <charset val="134"/>
      </rPr>
      <t>土地开发费</t>
    </r>
    <phoneticPr fontId="37" type="noConversion"/>
  </si>
  <si>
    <r>
      <rPr>
        <sz val="10"/>
        <rFont val="仿宋_GB2312"/>
        <family val="3"/>
        <charset val="134"/>
      </rPr>
      <t>建造成本</t>
    </r>
    <phoneticPr fontId="37" type="noConversion"/>
  </si>
  <si>
    <r>
      <rPr>
        <sz val="10"/>
        <color indexed="8"/>
        <rFont val="仿宋_GB2312"/>
        <family val="3"/>
        <charset val="134"/>
      </rPr>
      <t>包括前期工程费、建筑安装工程费、基础设施费和公共配套费等</t>
    </r>
    <phoneticPr fontId="33" type="noConversion"/>
  </si>
  <si>
    <r>
      <rPr>
        <sz val="10"/>
        <rFont val="仿宋_GB2312"/>
        <family val="3"/>
        <charset val="134"/>
      </rPr>
      <t>开发费用扣除</t>
    </r>
    <phoneticPr fontId="37"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</si>
  <si>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3" type="noConversion"/>
  </si>
  <si>
    <r>
      <rPr>
        <sz val="10"/>
        <rFont val="仿宋_GB2312"/>
        <family val="3"/>
        <charset val="134"/>
      </rPr>
      <t>加计扣除金额</t>
    </r>
    <phoneticPr fontId="37" type="noConversion"/>
  </si>
  <si>
    <r>
      <rPr>
        <b/>
        <sz val="16"/>
        <color indexed="10"/>
        <rFont val="仿宋_GB2312"/>
        <family val="3"/>
        <charset val="134"/>
      </rPr>
      <t>剩余法</t>
    </r>
    <phoneticPr fontId="18" type="noConversion"/>
  </si>
  <si>
    <r>
      <rPr>
        <b/>
        <sz val="12"/>
        <rFont val="仿宋_GB2312"/>
        <family val="3"/>
        <charset val="134"/>
      </rPr>
      <t>总价</t>
    </r>
    <phoneticPr fontId="19"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</si>
  <si>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</si>
  <si>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</si>
  <si>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b/>
        <sz val="11"/>
        <color indexed="8"/>
        <rFont val="仿宋_GB2312"/>
        <family val="3"/>
        <charset val="134"/>
      </rPr>
      <t>序号</t>
    </r>
    <phoneticPr fontId="18" type="noConversion"/>
  </si>
  <si>
    <r>
      <rPr>
        <b/>
        <sz val="11"/>
        <color indexed="8"/>
        <rFont val="仿宋_GB2312"/>
        <family val="3"/>
        <charset val="134"/>
      </rPr>
      <t>项目名称</t>
    </r>
    <phoneticPr fontId="18" type="noConversion"/>
  </si>
  <si>
    <r>
      <rPr>
        <sz val="10"/>
        <color indexed="8"/>
        <rFont val="仿宋_GB2312"/>
        <family val="3"/>
        <charset val="134"/>
      </rPr>
      <t>楼面单价</t>
    </r>
    <phoneticPr fontId="18" type="noConversion"/>
  </si>
  <si>
    <r>
      <rPr>
        <sz val="10"/>
        <color indexed="8"/>
        <rFont val="仿宋_GB2312"/>
        <family val="3"/>
        <charset val="134"/>
      </rPr>
      <t>建筑面积</t>
    </r>
    <phoneticPr fontId="18" type="noConversion"/>
  </si>
  <si>
    <r>
      <rPr>
        <sz val="10"/>
        <color indexed="8"/>
        <rFont val="仿宋_GB2312"/>
        <family val="3"/>
        <charset val="134"/>
      </rPr>
      <t>总额</t>
    </r>
    <phoneticPr fontId="18" type="noConversion"/>
  </si>
  <si>
    <r>
      <rPr>
        <b/>
        <sz val="11"/>
        <color indexed="8"/>
        <rFont val="仿宋_GB2312"/>
        <family val="3"/>
        <charset val="134"/>
      </rPr>
      <t>总额</t>
    </r>
    <phoneticPr fontId="18" type="noConversion"/>
  </si>
  <si>
    <r>
      <rPr>
        <b/>
        <sz val="11"/>
        <color indexed="8"/>
        <rFont val="仿宋_GB2312"/>
        <family val="3"/>
        <charset val="134"/>
      </rPr>
      <t>面积</t>
    </r>
    <phoneticPr fontId="18" type="noConversion"/>
  </si>
  <si>
    <r>
      <rPr>
        <b/>
        <sz val="11"/>
        <color indexed="8"/>
        <rFont val="仿宋_GB2312"/>
        <family val="3"/>
        <charset val="134"/>
      </rPr>
      <t>单价</t>
    </r>
    <phoneticPr fontId="18" type="noConversion"/>
  </si>
  <si>
    <r>
      <rPr>
        <b/>
        <sz val="11"/>
        <color indexed="8"/>
        <rFont val="仿宋_GB2312"/>
        <family val="3"/>
        <charset val="134"/>
      </rPr>
      <t>相关系数</t>
    </r>
    <phoneticPr fontId="18" type="noConversion"/>
  </si>
  <si>
    <r>
      <rPr>
        <sz val="10"/>
        <color indexed="8"/>
        <rFont val="仿宋_GB2312"/>
        <family val="3"/>
        <charset val="134"/>
      </rPr>
      <t>建安费用</t>
    </r>
    <phoneticPr fontId="18" type="noConversion"/>
  </si>
  <si>
    <r>
      <rPr>
        <sz val="10"/>
        <color indexed="8"/>
        <rFont val="仿宋_GB2312"/>
        <family val="3"/>
        <charset val="134"/>
      </rPr>
      <t>勘察设计和前期工程费</t>
    </r>
    <phoneticPr fontId="18" type="noConversion"/>
  </si>
  <si>
    <r>
      <rPr>
        <b/>
        <sz val="11"/>
        <color indexed="8"/>
        <rFont val="仿宋_GB2312"/>
        <family val="3"/>
        <charset val="134"/>
      </rPr>
      <t>以建安费用为基数计取</t>
    </r>
    <phoneticPr fontId="18" type="noConversion"/>
  </si>
  <si>
    <r>
      <rPr>
        <sz val="10"/>
        <color indexed="8"/>
        <rFont val="仿宋_GB2312"/>
        <family val="3"/>
        <charset val="134"/>
      </rPr>
      <t>公共配套设施费用</t>
    </r>
    <phoneticPr fontId="18" type="noConversion"/>
  </si>
  <si>
    <r>
      <rPr>
        <b/>
        <sz val="11"/>
        <color indexed="8"/>
        <rFont val="仿宋_GB2312"/>
        <family val="3"/>
        <charset val="134"/>
      </rPr>
      <t>以住宅用房建安费用为基数计取</t>
    </r>
    <phoneticPr fontId="18" type="noConversion"/>
  </si>
  <si>
    <r>
      <rPr>
        <sz val="10"/>
        <color indexed="8"/>
        <rFont val="仿宋_GB2312"/>
        <family val="3"/>
        <charset val="134"/>
      </rPr>
      <t>红线内市政费用</t>
    </r>
    <phoneticPr fontId="18" type="noConversion"/>
  </si>
  <si>
    <r>
      <rPr>
        <sz val="10"/>
        <color indexed="8"/>
        <rFont val="仿宋_GB2312"/>
        <family val="3"/>
        <charset val="134"/>
      </rPr>
      <t>相关税费</t>
    </r>
    <phoneticPr fontId="18" type="noConversion"/>
  </si>
  <si>
    <r>
      <rPr>
        <sz val="10"/>
        <color indexed="8"/>
        <rFont val="仿宋_GB2312"/>
        <family val="3"/>
        <charset val="134"/>
      </rPr>
      <t>以建安费用为基数计取</t>
    </r>
    <phoneticPr fontId="18" type="noConversion"/>
  </si>
  <si>
    <r>
      <rPr>
        <b/>
        <sz val="11"/>
        <color indexed="8"/>
        <rFont val="仿宋_GB2312"/>
        <family val="3"/>
        <charset val="134"/>
      </rPr>
      <t>房屋建造成本</t>
    </r>
    <phoneticPr fontId="18" type="noConversion"/>
  </si>
  <si>
    <r>
      <rPr>
        <b/>
        <sz val="11"/>
        <color indexed="8"/>
        <rFont val="仿宋_GB2312"/>
        <family val="3"/>
        <charset val="134"/>
      </rPr>
      <t>红线外市政费用（土地开发费用）</t>
    </r>
    <phoneticPr fontId="18" type="noConversion"/>
  </si>
  <si>
    <r>
      <rPr>
        <b/>
        <sz val="11"/>
        <color indexed="8"/>
        <rFont val="仿宋_GB2312"/>
        <family val="3"/>
        <charset val="134"/>
      </rPr>
      <t>按实际情况计取</t>
    </r>
    <phoneticPr fontId="18" type="noConversion"/>
  </si>
  <si>
    <r>
      <rPr>
        <b/>
        <sz val="11"/>
        <color indexed="8"/>
        <rFont val="仿宋_GB2312"/>
        <family val="3"/>
        <charset val="134"/>
      </rPr>
      <t>城市基础设施建设费（行政收费）</t>
    </r>
    <phoneticPr fontId="18" type="noConversion"/>
  </si>
  <si>
    <r>
      <rPr>
        <sz val="10"/>
        <color indexed="8"/>
        <rFont val="仿宋_GB2312"/>
        <family val="3"/>
        <charset val="134"/>
      </rPr>
      <t>住宅</t>
    </r>
    <phoneticPr fontId="18" type="noConversion"/>
  </si>
  <si>
    <r>
      <rPr>
        <sz val="10"/>
        <color indexed="8"/>
        <rFont val="仿宋_GB2312"/>
        <family val="3"/>
        <charset val="134"/>
      </rPr>
      <t>非住宅</t>
    </r>
    <phoneticPr fontId="18" type="noConversion"/>
  </si>
  <si>
    <r>
      <rPr>
        <b/>
        <sz val="11"/>
        <color indexed="8"/>
        <rFont val="仿宋_GB2312"/>
        <family val="3"/>
        <charset val="134"/>
      </rPr>
      <t>管理费用</t>
    </r>
    <phoneticPr fontId="18" type="noConversion"/>
  </si>
  <si>
    <r>
      <rPr>
        <b/>
        <sz val="11"/>
        <color indexed="8"/>
        <rFont val="仿宋_GB2312"/>
        <family val="3"/>
        <charset val="134"/>
      </rPr>
      <t>投资利息</t>
    </r>
    <phoneticPr fontId="18" type="noConversion"/>
  </si>
  <si>
    <r>
      <t>P</t>
    </r>
    <r>
      <rPr>
        <b/>
        <vertAlign val="subscript"/>
        <sz val="11"/>
        <color indexed="8"/>
        <rFont val="仿宋_GB2312"/>
        <family val="3"/>
        <charset val="134"/>
      </rPr>
      <t>土</t>
    </r>
    <phoneticPr fontId="18" type="noConversion"/>
  </si>
  <si>
    <r>
      <rPr>
        <sz val="10"/>
        <color indexed="8"/>
        <rFont val="仿宋_GB2312"/>
        <family val="3"/>
        <charset val="134"/>
      </rPr>
      <t>土地购买价格及购地税费产生的利息</t>
    </r>
    <phoneticPr fontId="18" type="noConversion"/>
  </si>
  <si>
    <r>
      <rPr>
        <b/>
        <sz val="11"/>
        <color indexed="8"/>
        <rFont val="仿宋_GB2312"/>
        <family val="3"/>
        <charset val="134"/>
      </rPr>
      <t>销售税费</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</si>
  <si>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</si>
  <si>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8" type="noConversion"/>
  </si>
  <si>
    <r>
      <rPr>
        <b/>
        <sz val="11"/>
        <color indexed="8"/>
        <rFont val="仿宋_GB2312"/>
        <family val="3"/>
        <charset val="134"/>
      </rPr>
      <t>开发成本</t>
    </r>
    <phoneticPr fontId="19" type="noConversion"/>
  </si>
  <si>
    <r>
      <rPr>
        <sz val="10"/>
        <color indexed="8"/>
        <rFont val="仿宋_GB2312"/>
        <family val="3"/>
        <charset val="134"/>
      </rPr>
      <t>土地购买价格及购地税费应计的利润</t>
    </r>
    <phoneticPr fontId="18" type="noConversion"/>
  </si>
  <si>
    <r>
      <rPr>
        <b/>
        <sz val="11"/>
        <color indexed="8"/>
        <rFont val="仿宋_GB2312"/>
        <family val="3"/>
        <charset val="134"/>
      </rPr>
      <t>以建安费用为基数计取</t>
    </r>
    <phoneticPr fontId="45" type="noConversion"/>
  </si>
  <si>
    <r>
      <rPr>
        <b/>
        <sz val="11"/>
        <color indexed="8"/>
        <rFont val="仿宋_GB2312"/>
        <family val="3"/>
        <charset val="134"/>
      </rPr>
      <t>以建造成本为基数计取</t>
    </r>
    <phoneticPr fontId="45" type="noConversion"/>
  </si>
  <si>
    <r>
      <rPr>
        <b/>
        <sz val="11"/>
        <color indexed="8"/>
        <rFont val="仿宋_GB2312"/>
        <family val="3"/>
        <charset val="134"/>
      </rPr>
      <t>销售费用</t>
    </r>
    <phoneticPr fontId="18" type="noConversion"/>
  </si>
  <si>
    <r>
      <t>P</t>
    </r>
    <r>
      <rPr>
        <b/>
        <vertAlign val="subscript"/>
        <sz val="10"/>
        <color indexed="8"/>
        <rFont val="仿宋_GB2312"/>
        <family val="3"/>
        <charset val="134"/>
      </rPr>
      <t>建</t>
    </r>
    <phoneticPr fontId="18"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</si>
  <si>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5" type="noConversion"/>
  </si>
  <si>
    <r>
      <t>P</t>
    </r>
    <r>
      <rPr>
        <b/>
        <vertAlign val="subscript"/>
        <sz val="11"/>
        <color indexed="8"/>
        <rFont val="仿宋_GB2312"/>
        <family val="3"/>
        <charset val="134"/>
      </rPr>
      <t>建</t>
    </r>
    <phoneticPr fontId="18"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</si>
  <si>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</si>
  <si>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</si>
  <si>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</si>
  <si>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8" type="noConversion"/>
  </si>
  <si>
    <r>
      <rPr>
        <b/>
        <sz val="11"/>
        <color indexed="8"/>
        <rFont val="仿宋_GB2312"/>
        <family val="3"/>
        <charset val="134"/>
      </rPr>
      <t>建筑物重置价格</t>
    </r>
    <phoneticPr fontId="19" type="noConversion"/>
  </si>
  <si>
    <r>
      <rPr>
        <b/>
        <sz val="11"/>
        <color indexed="8"/>
        <rFont val="仿宋_GB2312"/>
        <family val="3"/>
        <charset val="134"/>
      </rPr>
      <t>成新率</t>
    </r>
    <phoneticPr fontId="19"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</si>
  <si>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9"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</si>
  <si>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7" type="noConversion"/>
  </si>
  <si>
    <r>
      <rPr>
        <b/>
        <sz val="16"/>
        <color indexed="10"/>
        <rFont val="仿宋_GB2312"/>
        <family val="3"/>
        <charset val="134"/>
      </rPr>
      <t>套用比较法</t>
    </r>
    <phoneticPr fontId="7" type="noConversion"/>
  </si>
  <si>
    <r>
      <rPr>
        <b/>
        <sz val="16"/>
        <rFont val="仿宋_GB2312"/>
        <family val="3"/>
        <charset val="134"/>
      </rPr>
      <t>住宅、综合</t>
    </r>
    <phoneticPr fontId="30"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</si>
  <si>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5" type="noConversion"/>
  </si>
  <si>
    <r>
      <rPr>
        <b/>
        <sz val="12"/>
        <rFont val="仿宋_GB2312"/>
        <family val="3"/>
        <charset val="134"/>
      </rPr>
      <t>楼面单价</t>
    </r>
    <phoneticPr fontId="19" type="noConversion"/>
  </si>
  <si>
    <r>
      <rPr>
        <b/>
        <sz val="12"/>
        <rFont val="仿宋_GB2312"/>
        <family val="3"/>
        <charset val="134"/>
      </rPr>
      <t>单位面积地价</t>
    </r>
    <phoneticPr fontId="30"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</si>
  <si>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</si>
  <si>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</si>
  <si>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</si>
  <si>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</si>
  <si>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</si>
  <si>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</si>
  <si>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</si>
  <si>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系数</t>
    </r>
    <r>
      <rPr>
        <sz val="11"/>
        <color indexed="8"/>
        <rFont val="Arial"/>
        <family val="2"/>
      </rPr>
      <t>%</t>
    </r>
    <phoneticPr fontId="7" type="noConversion"/>
  </si>
  <si>
    <r>
      <rPr>
        <b/>
        <sz val="11"/>
        <color indexed="8"/>
        <rFont val="仿宋_GB2312"/>
        <family val="3"/>
        <charset val="134"/>
      </rPr>
      <t>交易时间</t>
    </r>
    <phoneticPr fontId="7" type="noConversion"/>
  </si>
  <si>
    <r>
      <rPr>
        <sz val="11"/>
        <color indexed="8"/>
        <rFont val="仿宋_GB2312"/>
        <family val="3"/>
        <charset val="134"/>
      </rPr>
      <t>交易时间</t>
    </r>
    <phoneticPr fontId="7" type="noConversion"/>
  </si>
  <si>
    <r>
      <rPr>
        <b/>
        <sz val="11"/>
        <color indexed="8"/>
        <rFont val="仿宋_GB2312"/>
        <family val="3"/>
        <charset val="134"/>
      </rPr>
      <t>交易情况</t>
    </r>
    <phoneticPr fontId="7" type="noConversion"/>
  </si>
  <si>
    <r>
      <rPr>
        <sz val="11"/>
        <color indexed="8"/>
        <rFont val="仿宋_GB2312"/>
        <family val="3"/>
        <charset val="134"/>
      </rPr>
      <t>正常</t>
    </r>
  </si>
  <si>
    <r>
      <rPr>
        <sz val="11"/>
        <color indexed="8"/>
        <rFont val="仿宋_GB2312"/>
        <family val="3"/>
        <charset val="134"/>
      </rPr>
      <t>交易情况</t>
    </r>
    <phoneticPr fontId="7" type="noConversion"/>
  </si>
  <si>
    <r>
      <rPr>
        <sz val="11"/>
        <color indexed="8"/>
        <rFont val="仿宋_GB2312"/>
        <family val="3"/>
        <charset val="134"/>
      </rPr>
      <t>用途</t>
    </r>
    <phoneticPr fontId="7" type="noConversion"/>
  </si>
  <si>
    <r>
      <rPr>
        <sz val="11"/>
        <rFont val="仿宋_GB2312"/>
        <family val="3"/>
        <charset val="134"/>
      </rPr>
      <t>权益状况</t>
    </r>
    <phoneticPr fontId="7" type="noConversion"/>
  </si>
  <si>
    <r>
      <rPr>
        <sz val="11"/>
        <color indexed="8"/>
        <rFont val="仿宋_GB2312"/>
        <family val="3"/>
        <charset val="134"/>
      </rPr>
      <t>权益状况</t>
    </r>
    <phoneticPr fontId="7" type="noConversion"/>
  </si>
  <si>
    <r>
      <rPr>
        <sz val="11"/>
        <color indexed="8"/>
        <rFont val="仿宋_GB2312"/>
        <family val="3"/>
        <charset val="134"/>
      </rPr>
      <t>土地使用年限（年）</t>
    </r>
    <phoneticPr fontId="7" type="noConversion"/>
  </si>
  <si>
    <r>
      <rPr>
        <sz val="11"/>
        <color indexed="8"/>
        <rFont val="仿宋_GB2312"/>
        <family val="3"/>
        <charset val="134"/>
      </rPr>
      <t>容积率</t>
    </r>
    <phoneticPr fontId="7" type="noConversion"/>
  </si>
  <si>
    <r>
      <rPr>
        <b/>
        <sz val="11"/>
        <rFont val="仿宋_GB2312"/>
        <family val="3"/>
        <charset val="134"/>
      </rPr>
      <t>区位状况</t>
    </r>
    <phoneticPr fontId="7" type="noConversion"/>
  </si>
  <si>
    <r>
      <rPr>
        <sz val="11"/>
        <rFont val="仿宋_GB2312"/>
        <family val="3"/>
        <charset val="134"/>
      </rPr>
      <t>区位状况</t>
    </r>
    <phoneticPr fontId="7" type="noConversion"/>
  </si>
  <si>
    <r>
      <rPr>
        <sz val="11"/>
        <color indexed="8"/>
        <rFont val="仿宋_GB2312"/>
        <family val="3"/>
        <charset val="134"/>
      </rPr>
      <t>商业繁华度</t>
    </r>
    <phoneticPr fontId="30" type="noConversion"/>
  </si>
  <si>
    <r>
      <rPr>
        <sz val="11"/>
        <color indexed="8"/>
        <rFont val="仿宋_GB2312"/>
        <family val="3"/>
        <charset val="134"/>
      </rPr>
      <t>办公集聚程度</t>
    </r>
    <phoneticPr fontId="30" type="noConversion"/>
  </si>
  <si>
    <r>
      <rPr>
        <sz val="11"/>
        <color indexed="8"/>
        <rFont val="仿宋_GB2312"/>
        <family val="3"/>
        <charset val="134"/>
      </rPr>
      <t>交通便捷度</t>
    </r>
    <phoneticPr fontId="30" type="noConversion"/>
  </si>
  <si>
    <r>
      <rPr>
        <sz val="11"/>
        <color indexed="8"/>
        <rFont val="仿宋_GB2312"/>
        <family val="3"/>
        <charset val="134"/>
      </rPr>
      <t>区域土地利用方向</t>
    </r>
    <phoneticPr fontId="30" type="noConversion"/>
  </si>
  <si>
    <r>
      <rPr>
        <sz val="11"/>
        <color indexed="8"/>
        <rFont val="仿宋_GB2312"/>
        <family val="3"/>
        <charset val="134"/>
      </rPr>
      <t>自然及人文环境状况</t>
    </r>
    <phoneticPr fontId="30" type="noConversion"/>
  </si>
  <si>
    <r>
      <rPr>
        <sz val="11"/>
        <color indexed="8"/>
        <rFont val="仿宋_GB2312"/>
        <family val="3"/>
        <charset val="134"/>
      </rPr>
      <t>较差</t>
    </r>
  </si>
  <si>
    <r>
      <rPr>
        <sz val="11"/>
        <color indexed="8"/>
        <rFont val="仿宋_GB2312"/>
        <family val="3"/>
        <charset val="134"/>
      </rPr>
      <t>临街状况</t>
    </r>
    <phoneticPr fontId="30" type="noConversion"/>
  </si>
  <si>
    <r>
      <rPr>
        <sz val="11"/>
        <color indexed="8"/>
        <rFont val="仿宋_GB2312"/>
        <family val="3"/>
        <charset val="134"/>
      </rPr>
      <t>毗邻道路的类型与等级</t>
    </r>
    <phoneticPr fontId="30" type="noConversion"/>
  </si>
  <si>
    <r>
      <rPr>
        <sz val="11"/>
        <color indexed="8"/>
        <rFont val="仿宋_GB2312"/>
        <family val="3"/>
        <charset val="134"/>
      </rPr>
      <t>土地级别</t>
    </r>
    <phoneticPr fontId="30" type="noConversion"/>
  </si>
  <si>
    <r>
      <rPr>
        <sz val="11"/>
        <rFont val="仿宋_GB2312"/>
        <family val="3"/>
        <charset val="134"/>
      </rPr>
      <t>实物状况</t>
    </r>
    <phoneticPr fontId="7" type="noConversion"/>
  </si>
  <si>
    <r>
      <rPr>
        <b/>
        <sz val="11"/>
        <rFont val="仿宋_GB2312"/>
        <family val="3"/>
        <charset val="134"/>
      </rPr>
      <t>实物状况</t>
    </r>
    <phoneticPr fontId="7" type="noConversion"/>
  </si>
  <si>
    <r>
      <rPr>
        <sz val="11"/>
        <color indexed="8"/>
        <rFont val="仿宋_GB2312"/>
        <family val="3"/>
        <charset val="134"/>
      </rPr>
      <t>宗地面积</t>
    </r>
    <phoneticPr fontId="30" type="noConversion"/>
  </si>
  <si>
    <r>
      <rPr>
        <sz val="11"/>
        <color indexed="8"/>
        <rFont val="仿宋_GB2312"/>
        <family val="3"/>
        <charset val="134"/>
      </rPr>
      <t>宗地形状</t>
    </r>
    <phoneticPr fontId="30" type="noConversion"/>
  </si>
  <si>
    <r>
      <rPr>
        <sz val="11"/>
        <color indexed="8"/>
        <rFont val="仿宋_GB2312"/>
        <family val="3"/>
        <charset val="134"/>
      </rPr>
      <t>临街宽度及深度</t>
    </r>
    <phoneticPr fontId="30" type="noConversion"/>
  </si>
  <si>
    <r>
      <rPr>
        <sz val="11"/>
        <color indexed="8"/>
        <rFont val="仿宋_GB2312"/>
        <family val="3"/>
        <charset val="134"/>
      </rPr>
      <t>工程地质条件</t>
    </r>
    <phoneticPr fontId="30" type="noConversion"/>
  </si>
  <si>
    <r>
      <rPr>
        <b/>
        <sz val="11"/>
        <rFont val="仿宋_GB2312"/>
        <family val="3"/>
        <charset val="134"/>
      </rPr>
      <t>成交单价</t>
    </r>
    <phoneticPr fontId="7" type="noConversion"/>
  </si>
  <si>
    <r>
      <rPr>
        <b/>
        <sz val="11"/>
        <rFont val="仿宋_GB2312"/>
        <family val="3"/>
        <charset val="134"/>
      </rPr>
      <t>总修正幅度不超过</t>
    </r>
    <r>
      <rPr>
        <b/>
        <sz val="11"/>
        <color indexed="10"/>
        <rFont val="Arial"/>
        <family val="2"/>
      </rPr>
      <t>30%</t>
    </r>
    <phoneticPr fontId="7" type="noConversion"/>
  </si>
  <si>
    <r>
      <rPr>
        <b/>
        <sz val="11"/>
        <rFont val="仿宋_GB2312"/>
        <family val="3"/>
        <charset val="134"/>
      </rPr>
      <t>各修正结果之间不超过</t>
    </r>
    <r>
      <rPr>
        <b/>
        <sz val="11"/>
        <color indexed="10"/>
        <rFont val="Arial"/>
        <family val="2"/>
      </rPr>
      <t>20%</t>
    </r>
    <phoneticPr fontId="7" type="noConversion"/>
  </si>
  <si>
    <r>
      <rPr>
        <b/>
        <sz val="11"/>
        <rFont val="仿宋_GB2312"/>
        <family val="3"/>
        <charset val="134"/>
      </rPr>
      <t>各案例间不超过</t>
    </r>
    <r>
      <rPr>
        <b/>
        <sz val="11"/>
        <color indexed="10"/>
        <rFont val="Arial"/>
        <family val="2"/>
      </rPr>
      <t>30%</t>
    </r>
    <phoneticPr fontId="7" type="noConversion"/>
  </si>
  <si>
    <r>
      <rPr>
        <sz val="11"/>
        <rFont val="仿宋_GB2312"/>
        <family val="3"/>
        <charset val="134"/>
      </rPr>
      <t>用途</t>
    </r>
    <r>
      <rPr>
        <sz val="11"/>
        <rFont val="Arial"/>
        <family val="2"/>
      </rPr>
      <t>/</t>
    </r>
    <r>
      <rPr>
        <sz val="11"/>
        <rFont val="仿宋_GB2312"/>
        <family val="3"/>
        <charset val="134"/>
      </rPr>
      <t>位置</t>
    </r>
    <phoneticPr fontId="30" type="noConversion"/>
  </si>
  <si>
    <r>
      <rPr>
        <sz val="11"/>
        <rFont val="仿宋_GB2312"/>
        <family val="3"/>
        <charset val="134"/>
      </rPr>
      <t>修正单价</t>
    </r>
    <phoneticPr fontId="30" type="noConversion"/>
  </si>
  <si>
    <r>
      <rPr>
        <sz val="11"/>
        <rFont val="仿宋_GB2312"/>
        <family val="3"/>
        <charset val="134"/>
      </rPr>
      <t>建筑面积</t>
    </r>
    <phoneticPr fontId="30" type="noConversion"/>
  </si>
  <si>
    <r>
      <rPr>
        <sz val="11"/>
        <rFont val="仿宋_GB2312"/>
        <family val="3"/>
        <charset val="134"/>
      </rPr>
      <t>总价</t>
    </r>
    <phoneticPr fontId="30" type="noConversion"/>
  </si>
  <si>
    <r>
      <rPr>
        <sz val="10"/>
        <rFont val="仿宋_GB2312"/>
        <family val="3"/>
        <charset val="134"/>
      </rPr>
      <t>地上</t>
    </r>
    <phoneticPr fontId="19" type="noConversion"/>
  </si>
  <si>
    <r>
      <rPr>
        <sz val="10"/>
        <rFont val="仿宋_GB2312"/>
        <family val="3"/>
        <charset val="134"/>
      </rPr>
      <t>地下商业（</t>
    </r>
    <r>
      <rPr>
        <sz val="10"/>
        <rFont val="Arial"/>
        <family val="2"/>
      </rPr>
      <t>-1</t>
    </r>
    <r>
      <rPr>
        <sz val="10"/>
        <rFont val="仿宋_GB2312"/>
        <family val="3"/>
        <charset val="134"/>
      </rPr>
      <t>）</t>
    </r>
    <phoneticPr fontId="18" type="noConversion"/>
  </si>
  <si>
    <r>
      <rPr>
        <sz val="10"/>
        <rFont val="仿宋_GB2312"/>
        <family val="3"/>
        <charset val="134"/>
      </rPr>
      <t>地下商业（</t>
    </r>
    <r>
      <rPr>
        <sz val="10"/>
        <rFont val="Arial"/>
        <family val="2"/>
      </rPr>
      <t>-2</t>
    </r>
    <r>
      <rPr>
        <sz val="10"/>
        <rFont val="仿宋_GB2312"/>
        <family val="3"/>
        <charset val="134"/>
      </rPr>
      <t>）</t>
    </r>
    <phoneticPr fontId="18" type="noConversion"/>
  </si>
  <si>
    <r>
      <rPr>
        <sz val="10"/>
        <rFont val="仿宋_GB2312"/>
        <family val="3"/>
        <charset val="134"/>
      </rPr>
      <t>地下商业（</t>
    </r>
    <r>
      <rPr>
        <sz val="10"/>
        <rFont val="Arial"/>
        <family val="2"/>
      </rPr>
      <t>-3</t>
    </r>
    <r>
      <rPr>
        <sz val="10"/>
        <rFont val="仿宋_GB2312"/>
        <family val="3"/>
        <charset val="134"/>
      </rPr>
      <t>）</t>
    </r>
    <phoneticPr fontId="18" type="noConversion"/>
  </si>
  <si>
    <r>
      <rPr>
        <sz val="10"/>
        <rFont val="仿宋_GB2312"/>
        <family val="3"/>
        <charset val="134"/>
      </rPr>
      <t>地下商业（</t>
    </r>
    <r>
      <rPr>
        <sz val="10"/>
        <rFont val="Arial"/>
        <family val="2"/>
      </rPr>
      <t>-4</t>
    </r>
    <r>
      <rPr>
        <sz val="10"/>
        <rFont val="仿宋_GB2312"/>
        <family val="3"/>
        <charset val="134"/>
      </rPr>
      <t>）</t>
    </r>
    <phoneticPr fontId="18" type="noConversion"/>
  </si>
  <si>
    <r>
      <rPr>
        <sz val="10"/>
        <rFont val="仿宋_GB2312"/>
        <family val="3"/>
        <charset val="134"/>
      </rPr>
      <t>地下仓储</t>
    </r>
    <phoneticPr fontId="18" type="noConversion"/>
  </si>
  <si>
    <r>
      <rPr>
        <sz val="10"/>
        <rFont val="仿宋_GB2312"/>
        <family val="3"/>
        <charset val="134"/>
      </rPr>
      <t>地下车库</t>
    </r>
    <phoneticPr fontId="18" type="noConversion"/>
  </si>
  <si>
    <r>
      <rPr>
        <sz val="10"/>
        <rFont val="仿宋_GB2312"/>
        <family val="3"/>
        <charset val="134"/>
      </rPr>
      <t>地下车库</t>
    </r>
    <r>
      <rPr>
        <sz val="10"/>
        <rFont val="Arial"/>
        <family val="2"/>
      </rPr>
      <t>-</t>
    </r>
    <r>
      <rPr>
        <sz val="10"/>
        <rFont val="仿宋_GB2312"/>
        <family val="3"/>
        <charset val="134"/>
      </rPr>
      <t>商业</t>
    </r>
    <phoneticPr fontId="18" type="noConversion"/>
  </si>
  <si>
    <r>
      <rPr>
        <sz val="10"/>
        <rFont val="仿宋_GB2312"/>
        <family val="3"/>
        <charset val="134"/>
      </rPr>
      <t>地下车库</t>
    </r>
    <r>
      <rPr>
        <sz val="10"/>
        <rFont val="Arial"/>
        <family val="2"/>
      </rPr>
      <t>-</t>
    </r>
    <r>
      <rPr>
        <sz val="10"/>
        <rFont val="仿宋_GB2312"/>
        <family val="3"/>
        <charset val="134"/>
      </rPr>
      <t>办公</t>
    </r>
    <phoneticPr fontId="18" type="noConversion"/>
  </si>
  <si>
    <r>
      <rPr>
        <b/>
        <sz val="10"/>
        <rFont val="仿宋_GB2312"/>
        <family val="3"/>
        <charset val="134"/>
      </rPr>
      <t>土地购买价格</t>
    </r>
    <phoneticPr fontId="18"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</si>
  <si>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7"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</si>
  <si>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5" type="noConversion"/>
  </si>
  <si>
    <r>
      <rPr>
        <sz val="11"/>
        <color indexed="8"/>
        <rFont val="仿宋_GB2312"/>
        <family val="3"/>
        <charset val="134"/>
      </rPr>
      <t>正常</t>
    </r>
    <phoneticPr fontId="25" type="noConversion"/>
  </si>
  <si>
    <r>
      <rPr>
        <b/>
        <sz val="11"/>
        <rFont val="仿宋_GB2312"/>
        <family val="3"/>
        <charset val="134"/>
      </rPr>
      <t>权益状况</t>
    </r>
    <phoneticPr fontId="7" type="noConversion"/>
  </si>
  <si>
    <r>
      <rPr>
        <sz val="11"/>
        <color indexed="8"/>
        <rFont val="仿宋_GB2312"/>
        <family val="3"/>
        <charset val="134"/>
      </rPr>
      <t>居住社区成熟度</t>
    </r>
    <phoneticPr fontId="7" type="noConversion"/>
  </si>
  <si>
    <r>
      <rPr>
        <sz val="11"/>
        <color indexed="8"/>
        <rFont val="仿宋_GB2312"/>
        <family val="3"/>
        <charset val="134"/>
      </rPr>
      <t>好</t>
    </r>
    <phoneticPr fontId="7" type="noConversion"/>
  </si>
  <si>
    <r>
      <rPr>
        <sz val="11"/>
        <color indexed="8"/>
        <rFont val="仿宋_GB2312"/>
        <family val="3"/>
        <charset val="134"/>
      </rPr>
      <t>较好</t>
    </r>
    <phoneticPr fontId="7" type="noConversion"/>
  </si>
  <si>
    <r>
      <rPr>
        <sz val="11"/>
        <color indexed="8"/>
        <rFont val="仿宋_GB2312"/>
        <family val="3"/>
        <charset val="134"/>
      </rPr>
      <t>一般</t>
    </r>
    <phoneticPr fontId="7" type="noConversion"/>
  </si>
  <si>
    <r>
      <rPr>
        <sz val="11"/>
        <color indexed="8"/>
        <rFont val="仿宋_GB2312"/>
        <family val="3"/>
        <charset val="134"/>
      </rPr>
      <t>较差</t>
    </r>
    <phoneticPr fontId="7" type="noConversion"/>
  </si>
  <si>
    <r>
      <rPr>
        <sz val="11"/>
        <color indexed="8"/>
        <rFont val="仿宋_GB2312"/>
        <family val="3"/>
        <charset val="134"/>
      </rPr>
      <t>差</t>
    </r>
    <phoneticPr fontId="7" type="noConversion"/>
  </si>
  <si>
    <r>
      <rPr>
        <sz val="11"/>
        <color indexed="8"/>
        <rFont val="仿宋_GB2312"/>
        <family val="3"/>
        <charset val="134"/>
      </rPr>
      <t>商业繁华度</t>
    </r>
    <phoneticPr fontId="7" type="noConversion"/>
  </si>
  <si>
    <r>
      <rPr>
        <sz val="11"/>
        <color indexed="8"/>
        <rFont val="仿宋_GB2312"/>
        <family val="3"/>
        <charset val="134"/>
      </rPr>
      <t>办公集聚程度</t>
    </r>
    <phoneticPr fontId="7" type="noConversion"/>
  </si>
  <si>
    <r>
      <rPr>
        <sz val="11"/>
        <color indexed="8"/>
        <rFont val="仿宋_GB2312"/>
        <family val="3"/>
        <charset val="134"/>
      </rPr>
      <t>交通便捷度</t>
    </r>
    <phoneticPr fontId="7" type="noConversion"/>
  </si>
  <si>
    <r>
      <rPr>
        <sz val="11"/>
        <color indexed="8"/>
        <rFont val="仿宋_GB2312"/>
        <family val="3"/>
        <charset val="134"/>
      </rPr>
      <t>区域土地利用方向</t>
    </r>
    <phoneticPr fontId="7" type="noConversion"/>
  </si>
  <si>
    <r>
      <rPr>
        <sz val="11"/>
        <color indexed="8"/>
        <rFont val="仿宋_GB2312"/>
        <family val="3"/>
        <charset val="134"/>
      </rPr>
      <t>自然及人文环境状况</t>
    </r>
    <phoneticPr fontId="7" type="noConversion"/>
  </si>
  <si>
    <r>
      <rPr>
        <sz val="11"/>
        <rFont val="仿宋_GB2312"/>
        <family val="3"/>
        <charset val="134"/>
      </rPr>
      <t>多面临街</t>
    </r>
    <phoneticPr fontId="30" type="noConversion"/>
  </si>
  <si>
    <r>
      <rPr>
        <sz val="11"/>
        <rFont val="仿宋_GB2312"/>
        <family val="3"/>
        <charset val="134"/>
      </rPr>
      <t>双面临街</t>
    </r>
    <phoneticPr fontId="30" type="noConversion"/>
  </si>
  <si>
    <r>
      <rPr>
        <sz val="11"/>
        <rFont val="仿宋_GB2312"/>
        <family val="3"/>
        <charset val="134"/>
      </rPr>
      <t>单面临街</t>
    </r>
    <phoneticPr fontId="30" type="noConversion"/>
  </si>
  <si>
    <r>
      <rPr>
        <sz val="11"/>
        <rFont val="仿宋_GB2312"/>
        <family val="3"/>
        <charset val="134"/>
      </rPr>
      <t>不临街</t>
    </r>
    <phoneticPr fontId="30" type="noConversion"/>
  </si>
  <si>
    <r>
      <rPr>
        <sz val="11"/>
        <color indexed="8"/>
        <rFont val="仿宋_GB2312"/>
        <family val="3"/>
        <charset val="134"/>
      </rPr>
      <t>宗地面积</t>
    </r>
    <phoneticPr fontId="7" type="noConversion"/>
  </si>
  <si>
    <r>
      <rPr>
        <sz val="11"/>
        <color indexed="8"/>
        <rFont val="仿宋_GB2312"/>
        <family val="3"/>
        <charset val="134"/>
      </rPr>
      <t>宗地形状</t>
    </r>
    <phoneticPr fontId="7" type="noConversion"/>
  </si>
  <si>
    <r>
      <rPr>
        <sz val="11"/>
        <color indexed="8"/>
        <rFont val="仿宋_GB2312"/>
        <family val="3"/>
        <charset val="134"/>
      </rPr>
      <t>临街宽度及深度</t>
    </r>
    <phoneticPr fontId="7" type="noConversion"/>
  </si>
  <si>
    <r>
      <rPr>
        <sz val="11"/>
        <color indexed="8"/>
        <rFont val="仿宋_GB2312"/>
        <family val="3"/>
        <charset val="134"/>
      </rPr>
      <t>工程地质条件</t>
    </r>
    <phoneticPr fontId="7" type="noConversion"/>
  </si>
  <si>
    <r>
      <rPr>
        <b/>
        <sz val="16"/>
        <rFont val="仿宋_GB2312"/>
        <family val="3"/>
        <charset val="134"/>
      </rPr>
      <t>工业</t>
    </r>
    <phoneticPr fontId="30" type="noConversion"/>
  </si>
  <si>
    <r>
      <rPr>
        <sz val="11"/>
        <color indexed="8"/>
        <rFont val="仿宋_GB2312"/>
        <family val="3"/>
        <charset val="134"/>
      </rPr>
      <t>产业集聚程度</t>
    </r>
    <phoneticPr fontId="32" type="noConversion"/>
  </si>
  <si>
    <r>
      <rPr>
        <sz val="11"/>
        <color indexed="8"/>
        <rFont val="仿宋_GB2312"/>
        <family val="3"/>
        <charset val="134"/>
      </rPr>
      <t>环境状况</t>
    </r>
    <phoneticPr fontId="30" type="noConversion"/>
  </si>
  <si>
    <r>
      <rPr>
        <sz val="11"/>
        <color indexed="8"/>
        <rFont val="仿宋_GB2312"/>
        <family val="3"/>
        <charset val="134"/>
      </rPr>
      <t>较好</t>
    </r>
  </si>
  <si>
    <r>
      <rPr>
        <sz val="11"/>
        <rFont val="仿宋_GB2312"/>
        <family val="3"/>
        <charset val="134"/>
      </rPr>
      <t>实物状况</t>
    </r>
    <phoneticPr fontId="7" type="noConversion"/>
  </si>
  <si>
    <r>
      <rPr>
        <sz val="11"/>
        <color indexed="8"/>
        <rFont val="仿宋_GB2312"/>
        <family val="3"/>
        <charset val="134"/>
      </rPr>
      <t>产业集聚程度</t>
    </r>
    <phoneticPr fontId="7" type="noConversion"/>
  </si>
  <si>
    <r>
      <rPr>
        <b/>
        <sz val="16"/>
        <color indexed="10"/>
        <rFont val="仿宋_GB2312"/>
        <family val="3"/>
        <charset val="134"/>
      </rPr>
      <t>成本逼近法</t>
    </r>
    <phoneticPr fontId="18" type="noConversion"/>
  </si>
  <si>
    <r>
      <rPr>
        <b/>
        <sz val="10"/>
        <rFont val="仿宋_GB2312"/>
        <family val="3"/>
        <charset val="134"/>
      </rPr>
      <t>项目</t>
    </r>
    <phoneticPr fontId="19" type="noConversion"/>
  </si>
  <si>
    <r>
      <rPr>
        <b/>
        <sz val="10"/>
        <rFont val="仿宋_GB2312"/>
        <family val="3"/>
        <charset val="134"/>
      </rPr>
      <t>总额</t>
    </r>
    <phoneticPr fontId="19" type="noConversion"/>
  </si>
  <si>
    <r>
      <rPr>
        <b/>
        <sz val="10"/>
        <rFont val="仿宋_GB2312"/>
        <family val="3"/>
        <charset val="134"/>
      </rPr>
      <t>面积</t>
    </r>
    <phoneticPr fontId="18" type="noConversion"/>
  </si>
  <si>
    <r>
      <rPr>
        <b/>
        <sz val="10"/>
        <rFont val="仿宋_GB2312"/>
        <family val="3"/>
        <charset val="134"/>
      </rPr>
      <t>单价</t>
    </r>
    <phoneticPr fontId="18" type="noConversion"/>
  </si>
  <si>
    <r>
      <rPr>
        <b/>
        <sz val="10"/>
        <rFont val="仿宋_GB2312"/>
        <family val="3"/>
        <charset val="134"/>
      </rPr>
      <t>系数</t>
    </r>
    <phoneticPr fontId="18" type="noConversion"/>
  </si>
  <si>
    <r>
      <rPr>
        <b/>
        <sz val="10"/>
        <rFont val="仿宋_GB2312"/>
        <family val="3"/>
        <charset val="134"/>
      </rPr>
      <t>土地取得费</t>
    </r>
    <phoneticPr fontId="18" type="noConversion"/>
  </si>
  <si>
    <r>
      <rPr>
        <sz val="10"/>
        <rFont val="仿宋_GB2312"/>
        <family val="3"/>
        <charset val="134"/>
      </rPr>
      <t>城市基础设施建设费（行政收费）</t>
    </r>
    <phoneticPr fontId="18" type="noConversion"/>
  </si>
  <si>
    <r>
      <rPr>
        <i/>
        <sz val="10"/>
        <rFont val="仿宋_GB2312"/>
        <family val="3"/>
        <charset val="134"/>
      </rPr>
      <t>住宅</t>
    </r>
    <phoneticPr fontId="18" type="noConversion"/>
  </si>
  <si>
    <r>
      <rPr>
        <i/>
        <sz val="10"/>
        <rFont val="仿宋_GB2312"/>
        <family val="3"/>
        <charset val="134"/>
      </rPr>
      <t>非住宅</t>
    </r>
    <phoneticPr fontId="18" type="noConversion"/>
  </si>
  <si>
    <r>
      <rPr>
        <b/>
        <sz val="10"/>
        <rFont val="仿宋_GB2312"/>
        <family val="3"/>
        <charset val="134"/>
      </rPr>
      <t>土地开发费</t>
    </r>
    <phoneticPr fontId="18" type="noConversion"/>
  </si>
  <si>
    <r>
      <rPr>
        <sz val="10"/>
        <rFont val="仿宋_GB2312"/>
        <family val="3"/>
        <charset val="134"/>
      </rPr>
      <t>即宗地红线外市政费用及宗地红线内土地平整费用，根据待估宗地区域对土地开发成本来估算。</t>
    </r>
    <phoneticPr fontId="19" type="noConversion"/>
  </si>
  <si>
    <r>
      <rPr>
        <b/>
        <sz val="10"/>
        <rFont val="仿宋_GB2312"/>
        <family val="3"/>
        <charset val="134"/>
      </rPr>
      <t>税费</t>
    </r>
    <phoneticPr fontId="19" type="noConversion"/>
  </si>
  <si>
    <r>
      <rPr>
        <b/>
        <sz val="10"/>
        <rFont val="仿宋_GB2312"/>
        <family val="3"/>
        <charset val="134"/>
      </rPr>
      <t>贷款利息</t>
    </r>
    <phoneticPr fontId="18" type="noConversion"/>
  </si>
  <si>
    <r>
      <rPr>
        <b/>
        <sz val="10"/>
        <rFont val="仿宋_GB2312"/>
        <family val="3"/>
        <charset val="134"/>
      </rPr>
      <t>利润</t>
    </r>
    <phoneticPr fontId="18" type="noConversion"/>
  </si>
  <si>
    <r>
      <rPr>
        <b/>
        <sz val="10"/>
        <rFont val="仿宋_GB2312"/>
        <family val="3"/>
        <charset val="134"/>
      </rPr>
      <t>（１＋２＋３）</t>
    </r>
    <r>
      <rPr>
        <b/>
        <sz val="10"/>
        <rFont val="Arial"/>
        <family val="2"/>
      </rPr>
      <t>×</t>
    </r>
    <r>
      <rPr>
        <b/>
        <sz val="10"/>
        <rFont val="仿宋_GB2312"/>
        <family val="3"/>
        <charset val="134"/>
      </rPr>
      <t>利润率</t>
    </r>
    <phoneticPr fontId="18" type="noConversion"/>
  </si>
  <si>
    <r>
      <rPr>
        <b/>
        <sz val="10"/>
        <rFont val="仿宋_GB2312"/>
        <family val="3"/>
        <charset val="134"/>
      </rPr>
      <t>土地成本价格</t>
    </r>
    <phoneticPr fontId="19" type="noConversion"/>
  </si>
  <si>
    <r>
      <t>1-</t>
    </r>
    <r>
      <rPr>
        <b/>
        <sz val="10"/>
        <rFont val="仿宋_GB2312"/>
        <family val="3"/>
        <charset val="134"/>
      </rPr>
      <t>５项之和</t>
    </r>
    <phoneticPr fontId="19" type="noConversion"/>
  </si>
  <si>
    <r>
      <rPr>
        <b/>
        <sz val="10"/>
        <rFont val="仿宋_GB2312"/>
        <family val="3"/>
        <charset val="134"/>
      </rPr>
      <t>土地增值</t>
    </r>
    <phoneticPr fontId="19"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</si>
  <si>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9" type="noConversion"/>
  </si>
  <si>
    <r>
      <rPr>
        <b/>
        <sz val="10"/>
        <rFont val="仿宋_GB2312"/>
        <family val="3"/>
        <charset val="134"/>
      </rPr>
      <t>无线年期土地价格</t>
    </r>
    <phoneticPr fontId="19" type="noConversion"/>
  </si>
  <si>
    <r>
      <rPr>
        <b/>
        <sz val="10"/>
        <rFont val="仿宋_GB2312"/>
        <family val="3"/>
        <charset val="134"/>
      </rPr>
      <t>６＋７</t>
    </r>
    <phoneticPr fontId="19" type="noConversion"/>
  </si>
  <si>
    <r>
      <rPr>
        <b/>
        <sz val="10"/>
        <rFont val="仿宋_GB2312"/>
        <family val="3"/>
        <charset val="134"/>
      </rPr>
      <t>有限年期土地价格</t>
    </r>
    <phoneticPr fontId="19" type="noConversion"/>
  </si>
  <si>
    <r>
      <rPr>
        <b/>
        <sz val="10"/>
        <rFont val="仿宋_GB2312"/>
        <family val="3"/>
        <charset val="134"/>
      </rPr>
      <t>８</t>
    </r>
    <r>
      <rPr>
        <b/>
        <sz val="10"/>
        <rFont val="Arial"/>
        <family val="2"/>
      </rPr>
      <t>×</t>
    </r>
    <r>
      <rPr>
        <b/>
        <sz val="10"/>
        <rFont val="仿宋_GB2312"/>
        <family val="3"/>
        <charset val="134"/>
      </rPr>
      <t>年期修正系数</t>
    </r>
    <phoneticPr fontId="19" type="noConversion"/>
  </si>
  <si>
    <r>
      <rPr>
        <b/>
        <sz val="10"/>
        <rFont val="仿宋_GB2312"/>
        <family val="3"/>
        <charset val="134"/>
      </rPr>
      <t>土地价格</t>
    </r>
    <r>
      <rPr>
        <b/>
        <sz val="10"/>
        <rFont val="Arial"/>
        <family val="2"/>
      </rPr>
      <t>-</t>
    </r>
    <r>
      <rPr>
        <b/>
        <sz val="10"/>
        <rFont val="仿宋_GB2312"/>
        <family val="3"/>
        <charset val="134"/>
      </rPr>
      <t>总价</t>
    </r>
    <phoneticPr fontId="19" type="noConversion"/>
  </si>
  <si>
    <r>
      <rPr>
        <b/>
        <sz val="16"/>
        <color indexed="10"/>
        <rFont val="仿宋_GB2312"/>
        <family val="3"/>
        <charset val="134"/>
      </rPr>
      <t>收益还原法</t>
    </r>
    <phoneticPr fontId="7" type="noConversion"/>
  </si>
  <si>
    <r>
      <rPr>
        <b/>
        <sz val="12"/>
        <rFont val="仿宋_GB2312"/>
        <family val="3"/>
        <charset val="134"/>
      </rPr>
      <t>总价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</si>
  <si>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</si>
  <si>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</si>
  <si>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</si>
  <si>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</si>
  <si>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</si>
  <si>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b/>
        <sz val="10"/>
        <color indexed="8"/>
        <rFont val="仿宋_GB2312"/>
        <family val="3"/>
        <charset val="134"/>
      </rPr>
      <t>未来第一年年总收益</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</si>
  <si>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</si>
  <si>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</si>
  <si>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</si>
  <si>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</si>
  <si>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</si>
  <si>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建筑物价格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</si>
  <si>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</si>
  <si>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</si>
  <si>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</si>
  <si>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</si>
  <si>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</si>
  <si>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</si>
  <si>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</si>
  <si>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</si>
  <si>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公共配套设施费用</t>
    </r>
  </si>
  <si>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</si>
  <si>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</si>
  <si>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</si>
  <si>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</si>
  <si>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</si>
  <si>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</si>
  <si>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</si>
  <si>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</si>
  <si>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相关税费</t>
    </r>
  </si>
  <si>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</si>
  <si>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</si>
  <si>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</si>
  <si>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</si>
  <si>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</si>
  <si>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</si>
  <si>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</si>
  <si>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</si>
  <si>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</si>
  <si>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</si>
  <si>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</si>
  <si>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</si>
  <si>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</si>
  <si>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</si>
  <si>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</si>
  <si>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</si>
  <si>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</si>
  <si>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</si>
  <si>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</si>
  <si>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</si>
  <si>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</si>
  <si>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</si>
  <si>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</si>
  <si>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</si>
  <si>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</si>
  <si>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</si>
  <si>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</si>
  <si>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</si>
  <si>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</si>
  <si>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年总费用</t>
    </r>
    <phoneticPr fontId="7" type="noConversion"/>
  </si>
  <si>
    <r>
      <rPr>
        <sz val="10"/>
        <color indexed="8"/>
        <rFont val="仿宋_GB2312"/>
        <family val="3"/>
        <charset val="134"/>
      </rPr>
      <t>综合税率</t>
    </r>
    <phoneticPr fontId="20"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</si>
  <si>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</si>
  <si>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b/>
        <sz val="10"/>
        <color indexed="8"/>
        <rFont val="仿宋_GB2312"/>
        <family val="3"/>
        <charset val="134"/>
      </rPr>
      <t>土地价格</t>
    </r>
    <phoneticPr fontId="7" type="noConversion"/>
  </si>
  <si>
    <r>
      <rPr>
        <sz val="11"/>
        <color indexed="8"/>
        <rFont val="仿宋_GB2312"/>
        <family val="3"/>
        <charset val="134"/>
      </rPr>
      <t>房地年纯收益</t>
    </r>
    <phoneticPr fontId="6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</si>
  <si>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7" type="noConversion"/>
  </si>
  <si>
    <r>
      <rPr>
        <b/>
        <sz val="16"/>
        <rFont val="仿宋_GB2312"/>
        <family val="3"/>
        <charset val="134"/>
      </rPr>
      <t>租约外</t>
    </r>
    <phoneticPr fontId="7"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</si>
  <si>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</si>
  <si>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</si>
  <si>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</si>
  <si>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</si>
  <si>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</si>
  <si>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</si>
  <si>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</si>
  <si>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租约外房地产收益价值</t>
    </r>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</si>
  <si>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</si>
  <si>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</si>
  <si>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</si>
  <si>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</si>
  <si>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</si>
  <si>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</si>
  <si>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年增长比率</t>
    </r>
    <r>
      <rPr>
        <sz val="10"/>
        <color indexed="8"/>
        <rFont val="Arial"/>
        <family val="2"/>
      </rPr>
      <t>(g)</t>
    </r>
    <phoneticPr fontId="7" type="noConversion"/>
  </si>
  <si>
    <r>
      <rPr>
        <sz val="11"/>
        <color indexed="8"/>
        <rFont val="仿宋_GB2312"/>
        <family val="3"/>
        <charset val="134"/>
      </rPr>
      <t>房屋年纯收益</t>
    </r>
    <phoneticPr fontId="65"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</si>
  <si>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5" type="noConversion"/>
  </si>
  <si>
    <r>
      <rPr>
        <sz val="11"/>
        <color indexed="8"/>
        <rFont val="仿宋_GB2312"/>
        <family val="3"/>
        <charset val="134"/>
      </rPr>
      <t>土地年纯收益</t>
    </r>
    <phoneticPr fontId="65"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</si>
  <si>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5" type="noConversion"/>
  </si>
  <si>
    <r>
      <rPr>
        <sz val="11"/>
        <color indexed="8"/>
        <rFont val="仿宋_GB2312"/>
        <family val="3"/>
        <charset val="134"/>
      </rPr>
      <t>土地价格</t>
    </r>
    <phoneticPr fontId="65"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</si>
  <si>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7"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</si>
  <si>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7" type="noConversion"/>
  </si>
  <si>
    <r>
      <rPr>
        <b/>
        <sz val="16"/>
        <color indexed="10"/>
        <rFont val="仿宋_GB2312"/>
        <family val="3"/>
        <charset val="134"/>
      </rPr>
      <t>比较法</t>
    </r>
    <phoneticPr fontId="7" type="noConversion"/>
  </si>
  <si>
    <r>
      <rPr>
        <b/>
        <sz val="16"/>
        <rFont val="仿宋_GB2312"/>
        <family val="3"/>
        <charset val="134"/>
      </rPr>
      <t>住宅</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</si>
  <si>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</si>
  <si>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</si>
  <si>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建筑面积</t>
    </r>
    <phoneticPr fontId="25" type="noConversion"/>
  </si>
  <si>
    <r>
      <rPr>
        <sz val="11"/>
        <color indexed="8"/>
        <rFont val="仿宋_GB2312"/>
        <family val="3"/>
        <charset val="134"/>
      </rPr>
      <t>朝向</t>
    </r>
  </si>
  <si>
    <r>
      <rPr>
        <sz val="11"/>
        <color indexed="8"/>
        <rFont val="仿宋_GB2312"/>
        <family val="3"/>
        <charset val="134"/>
      </rPr>
      <t>道路级别</t>
    </r>
    <phoneticPr fontId="25"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</si>
  <si>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</si>
  <si>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</si>
  <si>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</si>
  <si>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</si>
  <si>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</si>
  <si>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</si>
  <si>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</si>
  <si>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</si>
  <si>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7"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</si>
  <si>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</si>
  <si>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</si>
  <si>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7" type="noConversion"/>
  </si>
  <si>
    <r>
      <t>60-70</t>
    </r>
    <r>
      <rPr>
        <sz val="11"/>
        <rFont val="仿宋_GB2312"/>
        <family val="3"/>
        <charset val="134"/>
      </rPr>
      <t>（含）</t>
    </r>
    <phoneticPr fontId="25" type="noConversion"/>
  </si>
  <si>
    <r>
      <t>50-60</t>
    </r>
    <r>
      <rPr>
        <sz val="11"/>
        <rFont val="仿宋_GB2312"/>
        <family val="3"/>
        <charset val="134"/>
      </rPr>
      <t>（含）</t>
    </r>
    <phoneticPr fontId="25" type="noConversion"/>
  </si>
  <si>
    <r>
      <t>40-50</t>
    </r>
    <r>
      <rPr>
        <sz val="11"/>
        <rFont val="仿宋_GB2312"/>
        <family val="3"/>
        <charset val="134"/>
      </rPr>
      <t>（含）</t>
    </r>
    <phoneticPr fontId="25" type="noConversion"/>
  </si>
  <si>
    <r>
      <t>30-40</t>
    </r>
    <r>
      <rPr>
        <sz val="11"/>
        <rFont val="仿宋_GB2312"/>
        <family val="3"/>
        <charset val="134"/>
      </rPr>
      <t>（含）</t>
    </r>
    <phoneticPr fontId="25" type="noConversion"/>
  </si>
  <si>
    <r>
      <t>20-30</t>
    </r>
    <r>
      <rPr>
        <sz val="11"/>
        <rFont val="仿宋_GB2312"/>
        <family val="3"/>
        <charset val="134"/>
      </rPr>
      <t>（含）</t>
    </r>
    <phoneticPr fontId="25" type="noConversion"/>
  </si>
  <si>
    <r>
      <t>10-20</t>
    </r>
    <r>
      <rPr>
        <sz val="11"/>
        <rFont val="仿宋_GB2312"/>
        <family val="3"/>
        <charset val="134"/>
      </rPr>
      <t>（含）</t>
    </r>
    <phoneticPr fontId="25" type="noConversion"/>
  </si>
  <si>
    <r>
      <t>0-10</t>
    </r>
    <r>
      <rPr>
        <sz val="11"/>
        <rFont val="仿宋_GB2312"/>
        <family val="3"/>
        <charset val="134"/>
      </rPr>
      <t>（含）</t>
    </r>
    <phoneticPr fontId="25" type="noConversion"/>
  </si>
  <si>
    <r>
      <rPr>
        <sz val="11"/>
        <color indexed="8"/>
        <rFont val="仿宋_GB2312"/>
        <family val="3"/>
        <charset val="134"/>
      </rPr>
      <t>自然及人文环境</t>
    </r>
    <phoneticPr fontId="7" type="noConversion"/>
  </si>
  <si>
    <r>
      <rPr>
        <sz val="11"/>
        <color indexed="8"/>
        <rFont val="仿宋_GB2312"/>
        <family val="3"/>
        <charset val="134"/>
      </rPr>
      <t>楼层</t>
    </r>
    <phoneticPr fontId="7" type="noConversion"/>
  </si>
  <si>
    <r>
      <rPr>
        <sz val="11"/>
        <color indexed="8"/>
        <rFont val="仿宋_GB2312"/>
        <family val="3"/>
        <charset val="134"/>
      </rPr>
      <t>朝向</t>
    </r>
    <phoneticPr fontId="7" type="noConversion"/>
  </si>
  <si>
    <r>
      <rPr>
        <sz val="11"/>
        <color indexed="8"/>
        <rFont val="仿宋_GB2312"/>
        <family val="3"/>
        <charset val="134"/>
      </rPr>
      <t>建筑类型</t>
    </r>
    <phoneticPr fontId="7" type="noConversion"/>
  </si>
  <si>
    <r>
      <rPr>
        <sz val="11"/>
        <color indexed="8"/>
        <rFont val="仿宋_GB2312"/>
        <family val="3"/>
        <charset val="134"/>
      </rPr>
      <t>项目建筑规模</t>
    </r>
    <phoneticPr fontId="7" type="noConversion"/>
  </si>
  <si>
    <r>
      <rPr>
        <sz val="11"/>
        <color indexed="8"/>
        <rFont val="仿宋_GB2312"/>
        <family val="3"/>
        <charset val="134"/>
      </rPr>
      <t>建筑结构</t>
    </r>
    <phoneticPr fontId="7" type="noConversion"/>
  </si>
  <si>
    <r>
      <rPr>
        <sz val="11"/>
        <color indexed="8"/>
        <rFont val="仿宋_GB2312"/>
        <family val="3"/>
        <charset val="134"/>
      </rPr>
      <t>建筑品质</t>
    </r>
    <phoneticPr fontId="7" type="noConversion"/>
  </si>
  <si>
    <r>
      <rPr>
        <sz val="11"/>
        <color indexed="8"/>
        <rFont val="仿宋_GB2312"/>
        <family val="3"/>
        <charset val="134"/>
      </rPr>
      <t>公共部分装修</t>
    </r>
    <phoneticPr fontId="7" type="noConversion"/>
  </si>
  <si>
    <r>
      <rPr>
        <sz val="11"/>
        <color indexed="8"/>
        <rFont val="仿宋_GB2312"/>
        <family val="3"/>
        <charset val="134"/>
      </rPr>
      <t>成新度</t>
    </r>
    <phoneticPr fontId="7" type="noConversion"/>
  </si>
  <si>
    <r>
      <rPr>
        <sz val="11"/>
        <color indexed="8"/>
        <rFont val="仿宋_GB2312"/>
        <family val="3"/>
        <charset val="134"/>
      </rPr>
      <t>物业管理</t>
    </r>
    <phoneticPr fontId="7" type="noConversion"/>
  </si>
  <si>
    <r>
      <rPr>
        <sz val="11"/>
        <color indexed="8"/>
        <rFont val="仿宋_GB2312"/>
        <family val="3"/>
        <charset val="134"/>
      </rPr>
      <t>房型</t>
    </r>
    <phoneticPr fontId="7" type="noConversion"/>
  </si>
  <si>
    <r>
      <rPr>
        <sz val="11"/>
        <color indexed="8"/>
        <rFont val="仿宋_GB2312"/>
        <family val="3"/>
        <charset val="134"/>
      </rPr>
      <t>内部装修</t>
    </r>
    <phoneticPr fontId="7" type="noConversion"/>
  </si>
  <si>
    <r>
      <rPr>
        <sz val="11"/>
        <color indexed="8"/>
        <rFont val="仿宋_GB2312"/>
        <family val="3"/>
        <charset val="134"/>
      </rPr>
      <t>内部装修维护情况</t>
    </r>
    <phoneticPr fontId="7" type="noConversion"/>
  </si>
  <si>
    <r>
      <rPr>
        <b/>
        <sz val="16"/>
        <rFont val="仿宋_GB2312"/>
        <family val="3"/>
        <charset val="134"/>
      </rPr>
      <t>商业</t>
    </r>
    <phoneticPr fontId="7"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</si>
  <si>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0" type="noConversion"/>
  </si>
  <si>
    <r>
      <rPr>
        <sz val="11"/>
        <color indexed="8"/>
        <rFont val="仿宋_GB2312"/>
        <family val="3"/>
        <charset val="134"/>
      </rPr>
      <t>人流量</t>
    </r>
    <phoneticPr fontId="30" type="noConversion"/>
  </si>
  <si>
    <r>
      <rPr>
        <sz val="11"/>
        <color indexed="8"/>
        <rFont val="仿宋_GB2312"/>
        <family val="3"/>
        <charset val="134"/>
      </rPr>
      <t>一般</t>
    </r>
  </si>
  <si>
    <r>
      <rPr>
        <sz val="11"/>
        <color indexed="8"/>
        <rFont val="仿宋_GB2312"/>
        <family val="3"/>
        <charset val="134"/>
      </rPr>
      <t>楼层</t>
    </r>
    <phoneticPr fontId="30" type="noConversion"/>
  </si>
  <si>
    <r>
      <rPr>
        <sz val="11"/>
        <color indexed="8"/>
        <rFont val="仿宋_GB2312"/>
        <family val="3"/>
        <charset val="134"/>
      </rPr>
      <t>商业类型</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</si>
  <si>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</si>
  <si>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成新度</t>
    </r>
    <phoneticPr fontId="30" type="noConversion"/>
  </si>
  <si>
    <r>
      <rPr>
        <sz val="11"/>
        <color indexed="8"/>
        <rFont val="仿宋_GB2312"/>
        <family val="3"/>
        <charset val="134"/>
      </rPr>
      <t>业态</t>
    </r>
    <phoneticPr fontId="30" type="noConversion"/>
  </si>
  <si>
    <r>
      <rPr>
        <sz val="11"/>
        <rFont val="仿宋_GB2312"/>
        <family val="3"/>
        <charset val="134"/>
      </rPr>
      <t>实物状况</t>
    </r>
    <phoneticPr fontId="7" type="noConversion"/>
  </si>
  <si>
    <r>
      <rPr>
        <sz val="11"/>
        <color indexed="8"/>
        <rFont val="仿宋_GB2312"/>
        <family val="3"/>
        <charset val="134"/>
      </rPr>
      <t>层高</t>
    </r>
    <phoneticPr fontId="30" type="noConversion"/>
  </si>
  <si>
    <r>
      <rPr>
        <sz val="11"/>
        <color indexed="8"/>
        <rFont val="仿宋_GB2312"/>
        <family val="3"/>
        <charset val="134"/>
      </rPr>
      <t>单套建筑面积</t>
    </r>
    <phoneticPr fontId="30" type="noConversion"/>
  </si>
  <si>
    <r>
      <rPr>
        <sz val="11"/>
        <rFont val="仿宋_GB2312"/>
        <family val="3"/>
        <charset val="134"/>
      </rPr>
      <t>进深比</t>
    </r>
    <phoneticPr fontId="7" type="noConversion"/>
  </si>
  <si>
    <r>
      <rPr>
        <sz val="11"/>
        <color indexed="8"/>
        <rFont val="仿宋_GB2312"/>
        <family val="3"/>
        <charset val="134"/>
      </rPr>
      <t>内部装修</t>
    </r>
    <phoneticPr fontId="30" type="noConversion"/>
  </si>
  <si>
    <r>
      <rPr>
        <sz val="11"/>
        <color indexed="8"/>
        <rFont val="仿宋_GB2312"/>
        <family val="3"/>
        <charset val="134"/>
      </rPr>
      <t>临街状况</t>
    </r>
    <phoneticPr fontId="7" type="noConversion"/>
  </si>
  <si>
    <r>
      <rPr>
        <sz val="11"/>
        <color indexed="8"/>
        <rFont val="仿宋_GB2312"/>
        <family val="3"/>
        <charset val="134"/>
      </rPr>
      <t>商业类型</t>
    </r>
    <phoneticPr fontId="7" type="noConversion"/>
  </si>
  <si>
    <r>
      <rPr>
        <sz val="11"/>
        <color indexed="8"/>
        <rFont val="仿宋_GB2312"/>
        <family val="3"/>
        <charset val="134"/>
      </rPr>
      <t>业态</t>
    </r>
    <phoneticPr fontId="7" type="noConversion"/>
  </si>
  <si>
    <r>
      <rPr>
        <sz val="11"/>
        <color indexed="8"/>
        <rFont val="仿宋_GB2312"/>
        <family val="3"/>
        <charset val="134"/>
      </rPr>
      <t>层高</t>
    </r>
    <phoneticPr fontId="7" type="noConversion"/>
  </si>
  <si>
    <r>
      <rPr>
        <sz val="11"/>
        <color indexed="8"/>
        <rFont val="仿宋_GB2312"/>
        <family val="3"/>
        <charset val="134"/>
      </rPr>
      <t>单套建筑面积</t>
    </r>
    <phoneticPr fontId="7" type="noConversion"/>
  </si>
  <si>
    <r>
      <rPr>
        <sz val="11"/>
        <color indexed="8"/>
        <rFont val="仿宋_GB2312"/>
        <family val="3"/>
        <charset val="134"/>
      </rPr>
      <t>进深比</t>
    </r>
    <phoneticPr fontId="7" type="noConversion"/>
  </si>
  <si>
    <r>
      <rPr>
        <b/>
        <sz val="16"/>
        <rFont val="仿宋_GB2312"/>
        <family val="3"/>
        <charset val="134"/>
      </rPr>
      <t>办公</t>
    </r>
    <phoneticPr fontId="30" type="noConversion"/>
  </si>
  <si>
    <r>
      <rPr>
        <sz val="11"/>
        <color indexed="8"/>
        <rFont val="仿宋_GB2312"/>
        <family val="3"/>
        <charset val="134"/>
      </rPr>
      <t>环境质量</t>
    </r>
    <phoneticPr fontId="31" type="noConversion"/>
  </si>
  <si>
    <r>
      <rPr>
        <sz val="11"/>
        <color indexed="8"/>
        <rFont val="仿宋_GB2312"/>
        <family val="3"/>
        <charset val="134"/>
      </rPr>
      <t>朝向</t>
    </r>
    <phoneticPr fontId="30" type="noConversion"/>
  </si>
  <si>
    <r>
      <rPr>
        <sz val="11"/>
        <color indexed="8"/>
        <rFont val="仿宋_GB2312"/>
        <family val="3"/>
        <charset val="134"/>
      </rPr>
      <t>建筑类型</t>
    </r>
    <phoneticPr fontId="30" type="noConversion"/>
  </si>
  <si>
    <r>
      <rPr>
        <sz val="11"/>
        <color indexed="8"/>
        <rFont val="仿宋_GB2312"/>
        <family val="3"/>
        <charset val="134"/>
      </rPr>
      <t>写字楼等级</t>
    </r>
    <phoneticPr fontId="30" type="noConversion"/>
  </si>
  <si>
    <r>
      <rPr>
        <sz val="11"/>
        <color indexed="8"/>
        <rFont val="仿宋_GB2312"/>
        <family val="3"/>
        <charset val="134"/>
      </rPr>
      <t>物业管理</t>
    </r>
    <phoneticPr fontId="30" type="noConversion"/>
  </si>
  <si>
    <r>
      <rPr>
        <sz val="11"/>
        <rFont val="仿宋_GB2312"/>
        <family val="3"/>
        <charset val="134"/>
      </rPr>
      <t>单套建筑面积</t>
    </r>
    <phoneticPr fontId="7" type="noConversion"/>
  </si>
  <si>
    <r>
      <rPr>
        <sz val="11"/>
        <color indexed="8"/>
        <rFont val="仿宋_GB2312"/>
        <family val="3"/>
        <charset val="134"/>
      </rPr>
      <t>环境质量</t>
    </r>
    <phoneticPr fontId="7" type="noConversion"/>
  </si>
  <si>
    <r>
      <rPr>
        <sz val="11"/>
        <color indexed="8"/>
        <rFont val="仿宋_GB2312"/>
        <family val="3"/>
        <charset val="134"/>
      </rPr>
      <t>毗邻道路的类型与等级</t>
    </r>
    <phoneticPr fontId="7" type="noConversion"/>
  </si>
  <si>
    <r>
      <rPr>
        <sz val="11"/>
        <color indexed="8"/>
        <rFont val="仿宋_GB2312"/>
        <family val="3"/>
        <charset val="134"/>
      </rPr>
      <t>写字楼等级</t>
    </r>
    <phoneticPr fontId="7" type="noConversion"/>
  </si>
  <si>
    <r>
      <rPr>
        <sz val="11"/>
        <rFont val="仿宋_GB2312"/>
        <family val="3"/>
        <charset val="134"/>
      </rPr>
      <t>层高</t>
    </r>
    <phoneticPr fontId="7" type="noConversion"/>
  </si>
  <si>
    <r>
      <rPr>
        <b/>
        <sz val="16"/>
        <rFont val="仿宋_GB2312"/>
        <family val="3"/>
        <charset val="134"/>
      </rPr>
      <t>工业</t>
    </r>
    <phoneticPr fontId="7" type="noConversion"/>
  </si>
  <si>
    <r>
      <rPr>
        <sz val="11"/>
        <color indexed="8"/>
        <rFont val="仿宋_GB2312"/>
        <family val="3"/>
        <charset val="134"/>
      </rPr>
      <t>产业集聚程度</t>
    </r>
    <phoneticPr fontId="30" type="noConversion"/>
  </si>
  <si>
    <r>
      <rPr>
        <sz val="11"/>
        <color indexed="8"/>
        <rFont val="仿宋_GB2312"/>
        <family val="3"/>
        <charset val="134"/>
      </rPr>
      <t>内部装修状况</t>
    </r>
    <phoneticPr fontId="30" type="noConversion"/>
  </si>
  <si>
    <r>
      <rPr>
        <sz val="11"/>
        <rFont val="仿宋_GB2312"/>
        <family val="3"/>
        <charset val="134"/>
      </rPr>
      <t>内部装修维护状况</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</si>
  <si>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</si>
  <si>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</si>
  <si>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</si>
  <si>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</si>
  <si>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b/>
        <sz val="12"/>
        <rFont val="仿宋_GB2312"/>
        <family val="3"/>
        <charset val="134"/>
      </rPr>
      <t>建筑面积</t>
    </r>
    <phoneticPr fontId="25"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</si>
  <si>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</si>
  <si>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</si>
  <si>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</si>
  <si>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</si>
  <si>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</si>
  <si>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</si>
  <si>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</si>
  <si>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自然及人文环境</t>
    </r>
    <phoneticPr fontId="31" type="noConversion"/>
  </si>
  <si>
    <r>
      <rPr>
        <sz val="11"/>
        <color indexed="8"/>
        <rFont val="仿宋_GB2312"/>
        <family val="3"/>
        <charset val="134"/>
      </rPr>
      <t>楼层</t>
    </r>
    <phoneticPr fontId="31" type="noConversion"/>
  </si>
  <si>
    <r>
      <rPr>
        <sz val="11"/>
        <color indexed="8"/>
        <rFont val="仿宋_GB2312"/>
        <family val="3"/>
        <charset val="134"/>
      </rPr>
      <t>配套类型</t>
    </r>
    <phoneticPr fontId="30" type="noConversion"/>
  </si>
  <si>
    <r>
      <rPr>
        <sz val="11"/>
        <color indexed="8"/>
        <rFont val="仿宋_GB2312"/>
        <family val="3"/>
        <charset val="134"/>
      </rPr>
      <t>项目停车位配比</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</si>
  <si>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</si>
  <si>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成新率</t>
    </r>
    <phoneticPr fontId="30"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</si>
  <si>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</si>
  <si>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30" type="noConversion"/>
  </si>
  <si>
    <r>
      <rPr>
        <sz val="11"/>
        <color indexed="8"/>
        <rFont val="仿宋_GB2312"/>
        <family val="3"/>
        <charset val="134"/>
      </rPr>
      <t>车位类型</t>
    </r>
    <phoneticPr fontId="30" type="noConversion"/>
  </si>
  <si>
    <r>
      <rPr>
        <sz val="11"/>
        <color indexed="8"/>
        <rFont val="仿宋_GB2312"/>
        <family val="3"/>
        <charset val="134"/>
      </rPr>
      <t>是否直接入户</t>
    </r>
    <phoneticPr fontId="30" type="noConversion"/>
  </si>
  <si>
    <r>
      <rPr>
        <sz val="11"/>
        <color indexed="8"/>
        <rFont val="仿宋_GB2312"/>
        <family val="3"/>
        <charset val="134"/>
      </rPr>
      <t>配套类型（地上主用途）</t>
    </r>
    <phoneticPr fontId="7" type="noConversion"/>
  </si>
  <si>
    <r>
      <rPr>
        <sz val="11"/>
        <color indexed="8"/>
        <rFont val="仿宋_GB2312"/>
        <family val="3"/>
        <charset val="134"/>
      </rPr>
      <t>项目停车位配比</t>
    </r>
    <phoneticPr fontId="7" type="noConversion"/>
  </si>
  <si>
    <r>
      <rPr>
        <sz val="11"/>
        <color indexed="8"/>
        <rFont val="仿宋_GB2312"/>
        <family val="3"/>
        <charset val="134"/>
      </rPr>
      <t>成新率</t>
    </r>
    <phoneticPr fontId="7"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</si>
  <si>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</si>
  <si>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7" type="noConversion"/>
  </si>
  <si>
    <r>
      <rPr>
        <sz val="11"/>
        <color indexed="8"/>
        <rFont val="仿宋_GB2312"/>
        <family val="3"/>
        <charset val="134"/>
      </rPr>
      <t>车位类型</t>
    </r>
    <phoneticPr fontId="7" type="noConversion"/>
  </si>
  <si>
    <r>
      <rPr>
        <sz val="11"/>
        <color indexed="8"/>
        <rFont val="仿宋_GB2312"/>
        <family val="3"/>
        <charset val="134"/>
      </rPr>
      <t>是否直接入户</t>
    </r>
    <phoneticPr fontId="7" type="noConversion"/>
  </si>
  <si>
    <r>
      <rPr>
        <sz val="11"/>
        <rFont val="仿宋_GB2312"/>
        <family val="3"/>
        <charset val="134"/>
      </rPr>
      <t>实物状况</t>
    </r>
    <phoneticPr fontId="7" type="noConversion"/>
  </si>
  <si>
    <r>
      <rPr>
        <sz val="11"/>
        <color indexed="8"/>
        <rFont val="仿宋_GB2312"/>
        <family val="3"/>
        <charset val="134"/>
      </rPr>
      <t>有无电梯</t>
    </r>
    <phoneticPr fontId="30"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</si>
  <si>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</si>
  <si>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30" type="noConversion"/>
  </si>
  <si>
    <r>
      <rPr>
        <sz val="11"/>
        <color indexed="8"/>
        <rFont val="仿宋_GB2312"/>
        <family val="3"/>
        <charset val="134"/>
      </rPr>
      <t>有无电梯</t>
    </r>
    <phoneticPr fontId="7"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</si>
  <si>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</si>
  <si>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7" type="noConversion"/>
  </si>
  <si>
    <r>
      <rPr>
        <b/>
        <sz val="12"/>
        <color indexed="8"/>
        <rFont val="仿宋_GB2312"/>
        <family val="3"/>
        <charset val="134"/>
      </rPr>
      <t>总价</t>
    </r>
    <phoneticPr fontId="25" type="noConversion"/>
  </si>
  <si>
    <r>
      <rPr>
        <b/>
        <sz val="12"/>
        <color indexed="8"/>
        <rFont val="仿宋_GB2312"/>
        <family val="3"/>
        <charset val="134"/>
      </rPr>
      <t>楼面单价</t>
    </r>
    <phoneticPr fontId="25" type="noConversion"/>
  </si>
  <si>
    <r>
      <rPr>
        <b/>
        <sz val="10"/>
        <color indexed="8"/>
        <rFont val="仿宋_GB2312"/>
        <family val="3"/>
        <charset val="134"/>
      </rPr>
      <t>合计</t>
    </r>
    <phoneticPr fontId="25"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</si>
  <si>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5" type="noConversion"/>
  </si>
  <si>
    <r>
      <rPr>
        <sz val="10"/>
        <color indexed="8"/>
        <rFont val="仿宋_GB2312"/>
        <family val="3"/>
        <charset val="134"/>
      </rPr>
      <t>建筑面积</t>
    </r>
    <phoneticPr fontId="25" type="noConversion"/>
  </si>
  <si>
    <r>
      <rPr>
        <sz val="10"/>
        <color indexed="8"/>
        <rFont val="仿宋_GB2312"/>
        <family val="3"/>
        <charset val="134"/>
      </rPr>
      <t>修正系数</t>
    </r>
    <phoneticPr fontId="25" type="noConversion"/>
  </si>
  <si>
    <r>
      <rPr>
        <sz val="10"/>
        <color indexed="8"/>
        <rFont val="仿宋_GB2312"/>
        <family val="3"/>
        <charset val="134"/>
      </rPr>
      <t>修正单价</t>
    </r>
    <phoneticPr fontId="25" type="noConversion"/>
  </si>
  <si>
    <r>
      <rPr>
        <sz val="10"/>
        <color indexed="8"/>
        <rFont val="仿宋_GB2312"/>
        <family val="3"/>
        <charset val="134"/>
      </rPr>
      <t>总价</t>
    </r>
    <phoneticPr fontId="25" type="noConversion"/>
  </si>
  <si>
    <r>
      <rPr>
        <b/>
        <sz val="10"/>
        <color indexed="10"/>
        <rFont val="仿宋_GB2312"/>
        <family val="3"/>
        <charset val="134"/>
      </rPr>
      <t>基准户型</t>
    </r>
    <phoneticPr fontId="25" type="noConversion"/>
  </si>
  <si>
    <t>住宅\综合</t>
    <phoneticPr fontId="7" type="noConversion"/>
  </si>
  <si>
    <t>工业</t>
    <phoneticPr fontId="7" type="noConversion"/>
  </si>
  <si>
    <t>不动产-住宅</t>
    <phoneticPr fontId="7" type="noConversion"/>
  </si>
  <si>
    <t>不动产-商业</t>
    <phoneticPr fontId="7" type="noConversion"/>
  </si>
  <si>
    <t>不动产-办公</t>
    <phoneticPr fontId="7" type="noConversion"/>
  </si>
  <si>
    <t>不动产-工业</t>
    <phoneticPr fontId="33" type="noConversion"/>
  </si>
  <si>
    <t>不动产-车位</t>
    <phoneticPr fontId="33" type="noConversion"/>
  </si>
  <si>
    <t>不动产-仓储</t>
    <phoneticPr fontId="33"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</si>
  <si>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3" type="noConversion"/>
  </si>
  <si>
    <t>项目基本情况</t>
    <phoneticPr fontId="7" type="noConversion"/>
  </si>
  <si>
    <t>宗地现状</t>
    <phoneticPr fontId="10" type="noConversion"/>
  </si>
  <si>
    <t>闲置情况</t>
    <phoneticPr fontId="10" type="noConversion"/>
  </si>
  <si>
    <t>约定的动工日期</t>
    <phoneticPr fontId="10" type="noConversion"/>
  </si>
  <si>
    <t>超过约定</t>
    <phoneticPr fontId="10" type="noConversion"/>
  </si>
  <si>
    <t>年</t>
    <phoneticPr fontId="10"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</si>
  <si>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7"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</si>
  <si>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7"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</si>
  <si>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7" type="noConversion"/>
  </si>
  <si>
    <t>人防</t>
    <phoneticPr fontId="127" type="noConversion"/>
  </si>
  <si>
    <t>用途类型</t>
    <phoneticPr fontId="18" type="noConversion"/>
  </si>
  <si>
    <r>
      <rPr>
        <b/>
        <sz val="11"/>
        <color indexed="8"/>
        <rFont val="楷体_GB2312"/>
        <family val="3"/>
        <charset val="134"/>
      </rPr>
      <t>容积率</t>
    </r>
    <phoneticPr fontId="127" type="noConversion"/>
  </si>
  <si>
    <r>
      <rPr>
        <sz val="11"/>
        <color indexed="8"/>
        <rFont val="楷体_GB2312"/>
        <family val="3"/>
        <charset val="134"/>
      </rPr>
      <t>项目</t>
    </r>
    <phoneticPr fontId="127" type="noConversion"/>
  </si>
  <si>
    <r>
      <rPr>
        <sz val="11"/>
        <color indexed="8"/>
        <rFont val="楷体_GB2312"/>
        <family val="3"/>
        <charset val="134"/>
      </rPr>
      <t>总</t>
    </r>
    <phoneticPr fontId="127" type="noConversion"/>
  </si>
  <si>
    <r>
      <rPr>
        <sz val="11"/>
        <color indexed="8"/>
        <rFont val="楷体_GB2312"/>
        <family val="3"/>
        <charset val="134"/>
      </rPr>
      <t>地上</t>
    </r>
    <phoneticPr fontId="127" type="noConversion"/>
  </si>
  <si>
    <r>
      <rPr>
        <sz val="11"/>
        <color indexed="8"/>
        <rFont val="楷体_GB2312"/>
        <family val="3"/>
        <charset val="134"/>
      </rPr>
      <t>估价对象</t>
    </r>
    <phoneticPr fontId="127"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</si>
  <si>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7"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</si>
  <si>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7" type="noConversion"/>
  </si>
  <si>
    <r>
      <rPr>
        <b/>
        <sz val="11"/>
        <color indexed="8"/>
        <rFont val="楷体_GB2312"/>
        <family val="3"/>
        <charset val="134"/>
      </rPr>
      <t>综合取费</t>
    </r>
    <phoneticPr fontId="127" type="noConversion"/>
  </si>
  <si>
    <t>土地使用年期</t>
    <phoneticPr fontId="127" type="noConversion"/>
  </si>
  <si>
    <t>建安费用</t>
    <phoneticPr fontId="127"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</si>
  <si>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7" type="noConversion"/>
  </si>
  <si>
    <r>
      <rPr>
        <sz val="11"/>
        <color indexed="8"/>
        <rFont val="楷体_GB2312"/>
        <family val="3"/>
        <charset val="134"/>
      </rPr>
      <t>租期外</t>
    </r>
    <phoneticPr fontId="127" type="noConversion"/>
  </si>
  <si>
    <r>
      <rPr>
        <sz val="11"/>
        <color indexed="8"/>
        <rFont val="楷体_GB2312"/>
        <family val="3"/>
        <charset val="134"/>
      </rPr>
      <t>收益期</t>
    </r>
    <phoneticPr fontId="127" type="noConversion"/>
  </si>
  <si>
    <t>收益年期(总)</t>
    <phoneticPr fontId="7" type="noConversion"/>
  </si>
  <si>
    <r>
      <rPr>
        <sz val="11"/>
        <color indexed="8"/>
        <rFont val="楷体_GB2312"/>
        <family val="3"/>
        <charset val="134"/>
      </rPr>
      <t>非住宅项目及用公共配套计算实为</t>
    </r>
    <r>
      <rPr>
        <sz val="11"/>
        <color indexed="8"/>
        <rFont val="Arial"/>
        <family val="2"/>
      </rPr>
      <t>0</t>
    </r>
    <phoneticPr fontId="7" type="noConversion"/>
  </si>
  <si>
    <t>红色字体</t>
    <phoneticPr fontId="33" type="noConversion"/>
  </si>
  <si>
    <r>
      <rPr>
        <b/>
        <sz val="14"/>
        <color indexed="10"/>
        <rFont val="仿宋_GB2312"/>
        <family val="3"/>
        <charset val="134"/>
      </rPr>
      <t>最终结果</t>
    </r>
    <phoneticPr fontId="13" type="noConversion"/>
  </si>
  <si>
    <t>五等判定</t>
    <phoneticPr fontId="7"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</si>
  <si>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</si>
  <si>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</si>
  <si>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</si>
  <si>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</si>
  <si>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</si>
  <si>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</si>
  <si>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</si>
  <si>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</si>
  <si>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</si>
  <si>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</si>
  <si>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</si>
  <si>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</si>
  <si>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</si>
  <si>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</si>
  <si>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</si>
  <si>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</si>
  <si>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</si>
  <si>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</si>
  <si>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</si>
  <si>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</si>
  <si>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</si>
  <si>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r>
      <rPr>
        <sz val="10"/>
        <rFont val="楷体_GB2312"/>
        <family val="3"/>
        <charset val="134"/>
      </rPr>
      <t>宗地容积率</t>
    </r>
    <r>
      <rPr>
        <sz val="10"/>
        <rFont val="Arial"/>
        <family val="2"/>
      </rPr>
      <t>R</t>
    </r>
    <phoneticPr fontId="129" type="noConversion"/>
  </si>
  <si>
    <r>
      <rPr>
        <sz val="10"/>
        <rFont val="楷体_GB2312"/>
        <family val="3"/>
        <charset val="134"/>
      </rPr>
      <t>修正系数</t>
    </r>
    <phoneticPr fontId="129" type="noConversion"/>
  </si>
  <si>
    <t>用途</t>
    <phoneticPr fontId="129" type="noConversion"/>
  </si>
  <si>
    <t>土地级别</t>
    <phoneticPr fontId="129" type="noConversion"/>
  </si>
  <si>
    <r>
      <rPr>
        <sz val="10"/>
        <rFont val="楷体_GB2312"/>
        <family val="3"/>
        <charset val="134"/>
      </rPr>
      <t>商业</t>
    </r>
    <phoneticPr fontId="129" type="noConversion"/>
  </si>
  <si>
    <r>
      <rPr>
        <sz val="10"/>
        <rFont val="楷体_GB2312"/>
        <family val="3"/>
        <charset val="134"/>
      </rPr>
      <t>办公</t>
    </r>
    <phoneticPr fontId="129" type="noConversion"/>
  </si>
  <si>
    <t>住宅</t>
    <phoneticPr fontId="129" type="noConversion"/>
  </si>
  <si>
    <r>
      <rPr>
        <sz val="10"/>
        <rFont val="楷体_GB2312"/>
        <family val="3"/>
        <charset val="134"/>
      </rPr>
      <t>工业</t>
    </r>
    <phoneticPr fontId="129" type="noConversion"/>
  </si>
  <si>
    <t>北京市基准地价容积率修正系数表（办公）</t>
    <phoneticPr fontId="129" type="noConversion"/>
  </si>
  <si>
    <t>北京市基准地价容积率修正系数表（居住）</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</si>
  <si>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</si>
  <si>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</si>
  <si>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</si>
  <si>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</si>
  <si>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</si>
  <si>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</si>
  <si>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</si>
  <si>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</si>
  <si>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</si>
  <si>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</si>
  <si>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</si>
  <si>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</si>
  <si>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</si>
  <si>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北京市基准地价容积率修正系数表（工业）</t>
    <phoneticPr fontId="129" type="noConversion"/>
  </si>
  <si>
    <t>总价</t>
    <phoneticPr fontId="129" type="noConversion"/>
  </si>
  <si>
    <t>万元</t>
    <phoneticPr fontId="129" type="noConversion"/>
  </si>
  <si>
    <t>用途</t>
    <phoneticPr fontId="129" type="noConversion"/>
  </si>
  <si>
    <t>住宅</t>
  </si>
  <si>
    <t>土地级别</t>
    <phoneticPr fontId="129" type="noConversion"/>
  </si>
  <si>
    <t>四级</t>
  </si>
  <si>
    <t>区片编号</t>
    <phoneticPr fontId="129" type="noConversion"/>
  </si>
  <si>
    <t>元/平方米</t>
    <phoneticPr fontId="129" type="noConversion"/>
  </si>
  <si>
    <t>用途类别</t>
    <phoneticPr fontId="129" type="noConversion"/>
  </si>
  <si>
    <t>楼层</t>
    <phoneticPr fontId="129" type="noConversion"/>
  </si>
  <si>
    <t>（地上）</t>
    <phoneticPr fontId="129" type="noConversion"/>
  </si>
  <si>
    <t>适用的楼面熟地价</t>
    <phoneticPr fontId="129" type="noConversion"/>
  </si>
  <si>
    <t>商业路线价修正（商业用途）</t>
    <phoneticPr fontId="129" type="noConversion"/>
  </si>
  <si>
    <t>宗地深度（米）</t>
    <phoneticPr fontId="129" type="noConversion"/>
  </si>
  <si>
    <t>所在商业街</t>
    <phoneticPr fontId="129" type="noConversion"/>
  </si>
  <si>
    <t>A1</t>
    <phoneticPr fontId="129" type="noConversion"/>
  </si>
  <si>
    <t>临商业街红线1/4标准深度占地面积／宗地总面积</t>
    <phoneticPr fontId="129" type="noConversion"/>
  </si>
  <si>
    <t>加价幅度</t>
    <phoneticPr fontId="129" type="noConversion"/>
  </si>
  <si>
    <t>A2</t>
  </si>
  <si>
    <t>临商业街红线1/4至2/4标准深度占地面积／宗地总面积</t>
    <phoneticPr fontId="129" type="noConversion"/>
  </si>
  <si>
    <t>标准深度（米）</t>
    <phoneticPr fontId="129" type="noConversion"/>
  </si>
  <si>
    <t>A3</t>
  </si>
  <si>
    <t>临商业街红线2/4至3/4标准深度占地面积／宗地总面积</t>
    <phoneticPr fontId="129" type="noConversion"/>
  </si>
  <si>
    <t>1/4标准深度</t>
    <phoneticPr fontId="129" type="noConversion"/>
  </si>
  <si>
    <t>A4</t>
  </si>
  <si>
    <t>临商业街红线3/4至4/4标准深度占地面积／宗地总面积</t>
    <phoneticPr fontId="129" type="noConversion"/>
  </si>
  <si>
    <t>特殊情况修正（居住用途）</t>
    <phoneticPr fontId="129" type="noConversion"/>
  </si>
  <si>
    <t>需根据项目情况调整公式修正项</t>
    <phoneticPr fontId="129" type="noConversion"/>
  </si>
  <si>
    <t>轨道交通站点周边</t>
    <phoneticPr fontId="129" type="noConversion"/>
  </si>
  <si>
    <t>其他（垃圾填埋场/污水处理厂等），自定义，修正幅度不超过±10%</t>
    <phoneticPr fontId="129" type="noConversion"/>
  </si>
  <si>
    <t>开发程度差异修正</t>
    <phoneticPr fontId="129" type="noConversion"/>
  </si>
  <si>
    <t>估价对象开发程度</t>
    <phoneticPr fontId="129" type="noConversion"/>
  </si>
  <si>
    <t>——</t>
  </si>
  <si>
    <t>级别平均容积率</t>
    <phoneticPr fontId="129" type="noConversion"/>
  </si>
  <si>
    <t>级别开发程度</t>
    <phoneticPr fontId="129" type="noConversion"/>
  </si>
  <si>
    <t>对应的开发费</t>
    <phoneticPr fontId="129" type="noConversion"/>
  </si>
  <si>
    <t>用途修正系数</t>
    <phoneticPr fontId="129" type="noConversion"/>
  </si>
  <si>
    <t>期日修正指数</t>
    <phoneticPr fontId="129" type="noConversion"/>
  </si>
  <si>
    <t>基准期日</t>
    <phoneticPr fontId="129" type="noConversion"/>
  </si>
  <si>
    <t>估价期日</t>
    <phoneticPr fontId="129" type="noConversion"/>
  </si>
  <si>
    <t>2016-2</t>
  </si>
  <si>
    <t>2014-1</t>
  </si>
  <si>
    <t>2014-2</t>
  </si>
  <si>
    <t>2014-3</t>
  </si>
  <si>
    <t>2014-4</t>
  </si>
  <si>
    <t>2015-1</t>
  </si>
  <si>
    <t>2015-2</t>
  </si>
  <si>
    <t>2015-3</t>
  </si>
  <si>
    <t>2015-4</t>
  </si>
  <si>
    <t>2016-1</t>
  </si>
  <si>
    <t>2016-3</t>
  </si>
  <si>
    <t>2016-4</t>
  </si>
  <si>
    <t>年期修正系数</t>
    <phoneticPr fontId="129" type="noConversion"/>
  </si>
  <si>
    <t>现行一年期贷款利率</t>
    <phoneticPr fontId="129" type="noConversion"/>
  </si>
  <si>
    <t>土地还原率</t>
    <phoneticPr fontId="129" type="noConversion"/>
  </si>
  <si>
    <t>剩余使用年限</t>
    <phoneticPr fontId="129" type="noConversion"/>
  </si>
  <si>
    <t>商业</t>
    <phoneticPr fontId="129" type="noConversion"/>
  </si>
  <si>
    <t>容积率修正系数</t>
    <phoneticPr fontId="129" type="noConversion"/>
  </si>
  <si>
    <t>R&gt;10</t>
    <phoneticPr fontId="129" type="noConversion"/>
  </si>
  <si>
    <t>办公</t>
    <phoneticPr fontId="129" type="noConversion"/>
  </si>
  <si>
    <t>楼层修正系数（商业）</t>
    <phoneticPr fontId="129" type="noConversion"/>
  </si>
  <si>
    <t>因素修正系数</t>
    <phoneticPr fontId="129" type="noConversion"/>
  </si>
  <si>
    <t>工业</t>
  </si>
  <si>
    <t>估算结果</t>
    <phoneticPr fontId="129" type="noConversion"/>
  </si>
  <si>
    <t>商业</t>
    <phoneticPr fontId="129" type="noConversion"/>
  </si>
  <si>
    <t>办公</t>
    <phoneticPr fontId="129" type="noConversion"/>
  </si>
  <si>
    <t>工业</t>
    <phoneticPr fontId="129" type="noConversion"/>
  </si>
  <si>
    <t>熟地价</t>
    <phoneticPr fontId="129" type="noConversion"/>
  </si>
  <si>
    <t>上浮比率</t>
    <phoneticPr fontId="129" type="noConversion"/>
  </si>
  <si>
    <t>政府土地出让收益</t>
    <phoneticPr fontId="129" type="noConversion"/>
  </si>
  <si>
    <t>地上部分</t>
    <phoneticPr fontId="129" type="noConversion"/>
  </si>
  <si>
    <t>单价</t>
    <phoneticPr fontId="129" type="noConversion"/>
  </si>
  <si>
    <t>建筑面积</t>
    <phoneticPr fontId="129" type="noConversion"/>
  </si>
  <si>
    <t>总额</t>
    <phoneticPr fontId="129" type="noConversion"/>
  </si>
  <si>
    <t>地上部分——楼面熟地价</t>
    <phoneticPr fontId="129" type="noConversion"/>
  </si>
  <si>
    <t>地上部分——政府土地出让收益</t>
    <phoneticPr fontId="129" type="noConversion"/>
  </si>
  <si>
    <t>政府土地出让收益=楼面熟地价×政府土地出让收益比例</t>
    <phoneticPr fontId="129" type="noConversion"/>
  </si>
  <si>
    <t>地下部分</t>
    <phoneticPr fontId="129" type="noConversion"/>
  </si>
  <si>
    <t>楼面熟地价=适用的基准地价×期日修正系数×年期修正系数×因素修正系数×相应用途地下空间修正系数</t>
    <phoneticPr fontId="129" type="noConversion"/>
  </si>
  <si>
    <t>相应用途地下空间修正系数</t>
  </si>
  <si>
    <t>地下第1层商业</t>
    <phoneticPr fontId="129" type="noConversion"/>
  </si>
  <si>
    <t>地下第2层商业</t>
    <phoneticPr fontId="129" type="noConversion"/>
  </si>
  <si>
    <t>地下第3层商业</t>
    <phoneticPr fontId="129" type="noConversion"/>
  </si>
  <si>
    <t>地下第4层商业</t>
    <phoneticPr fontId="129" type="noConversion"/>
  </si>
  <si>
    <t>地下办公</t>
    <phoneticPr fontId="129" type="noConversion"/>
  </si>
  <si>
    <t>地下仓储</t>
    <phoneticPr fontId="129" type="noConversion"/>
  </si>
  <si>
    <t>地下车库</t>
    <phoneticPr fontId="129" type="noConversion"/>
  </si>
  <si>
    <t>结果不可超过《北京市区片基准地价因素总修正幅度表》所列修正幅度；依据估价对象用途调整链接</t>
    <phoneticPr fontId="129" type="noConversion"/>
  </si>
  <si>
    <t>商业</t>
    <phoneticPr fontId="129" type="noConversion"/>
  </si>
  <si>
    <t>影响因素</t>
    <phoneticPr fontId="129" type="noConversion"/>
  </si>
  <si>
    <t>情况说明</t>
    <phoneticPr fontId="129" type="noConversion"/>
  </si>
  <si>
    <t>等级</t>
    <phoneticPr fontId="129" type="noConversion"/>
  </si>
  <si>
    <r>
      <rPr>
        <sz val="10"/>
        <color indexed="8"/>
        <rFont val="楷体_GB2312"/>
        <family val="3"/>
        <charset val="134"/>
      </rPr>
      <t>修正幅度</t>
    </r>
    <phoneticPr fontId="129" type="noConversion"/>
  </si>
  <si>
    <r>
      <rPr>
        <sz val="10"/>
        <color indexed="8"/>
        <rFont val="楷体_GB2312"/>
        <family val="3"/>
        <charset val="134"/>
      </rPr>
      <t>权重</t>
    </r>
    <phoneticPr fontId="129" type="noConversion"/>
  </si>
  <si>
    <r>
      <rPr>
        <sz val="10"/>
        <rFont val="楷体_GB2312"/>
        <family val="3"/>
        <charset val="134"/>
      </rPr>
      <t>合计</t>
    </r>
    <phoneticPr fontId="129" type="noConversion"/>
  </si>
  <si>
    <r>
      <rPr>
        <sz val="10"/>
        <color indexed="8"/>
        <rFont val="宋体"/>
        <family val="3"/>
        <charset val="134"/>
      </rPr>
      <t>修正系数</t>
    </r>
    <phoneticPr fontId="129" type="noConversion"/>
  </si>
  <si>
    <r>
      <rPr>
        <sz val="11"/>
        <color indexed="8"/>
        <rFont val="楷体_GB2312"/>
        <family val="3"/>
        <charset val="134"/>
      </rPr>
      <t>好</t>
    </r>
    <phoneticPr fontId="129" type="noConversion"/>
  </si>
  <si>
    <r>
      <rPr>
        <sz val="11"/>
        <color indexed="8"/>
        <rFont val="楷体_GB2312"/>
        <family val="3"/>
        <charset val="134"/>
      </rPr>
      <t>较好</t>
    </r>
    <phoneticPr fontId="129" type="noConversion"/>
  </si>
  <si>
    <r>
      <rPr>
        <sz val="11"/>
        <color indexed="8"/>
        <rFont val="楷体_GB2312"/>
        <family val="3"/>
        <charset val="134"/>
      </rPr>
      <t>一般</t>
    </r>
    <phoneticPr fontId="129" type="noConversion"/>
  </si>
  <si>
    <r>
      <rPr>
        <sz val="11"/>
        <color indexed="8"/>
        <rFont val="楷体_GB2312"/>
        <family val="3"/>
        <charset val="134"/>
      </rPr>
      <t>较差</t>
    </r>
    <phoneticPr fontId="129" type="noConversion"/>
  </si>
  <si>
    <r>
      <rPr>
        <sz val="11"/>
        <color indexed="8"/>
        <rFont val="楷体_GB2312"/>
        <family val="3"/>
        <charset val="134"/>
      </rPr>
      <t>差</t>
    </r>
    <phoneticPr fontId="129" type="noConversion"/>
  </si>
  <si>
    <t xml:space="preserve"> 商业繁华程度</t>
    <phoneticPr fontId="129" type="noConversion"/>
  </si>
  <si>
    <t>交通便捷度</t>
    <phoneticPr fontId="129" type="noConversion"/>
  </si>
  <si>
    <t>区域土地利用方向</t>
    <phoneticPr fontId="129" type="noConversion"/>
  </si>
  <si>
    <t>临街宽度和深度</t>
    <phoneticPr fontId="129" type="noConversion"/>
  </si>
  <si>
    <t>临街道路状况</t>
    <phoneticPr fontId="129" type="noConversion"/>
  </si>
  <si>
    <t>宗地形状及可利用程度</t>
    <phoneticPr fontId="129" type="noConversion"/>
  </si>
  <si>
    <t>公共服务设施状况</t>
    <phoneticPr fontId="129" type="noConversion"/>
  </si>
  <si>
    <t>基础设施完备状况</t>
    <phoneticPr fontId="129" type="noConversion"/>
  </si>
  <si>
    <t>自然和人文环境状况</t>
    <phoneticPr fontId="129" type="noConversion"/>
  </si>
  <si>
    <t>办公</t>
    <phoneticPr fontId="129" type="noConversion"/>
  </si>
  <si>
    <t>办公集聚程度</t>
    <phoneticPr fontId="129" type="noConversion"/>
  </si>
  <si>
    <t>住宅</t>
    <phoneticPr fontId="129" type="noConversion"/>
  </si>
  <si>
    <t>居住社区成熟度</t>
    <phoneticPr fontId="129" type="noConversion"/>
  </si>
  <si>
    <t>交通便捷度</t>
    <phoneticPr fontId="129" type="noConversion"/>
  </si>
  <si>
    <t>临路状况</t>
    <phoneticPr fontId="129" type="noConversion"/>
  </si>
  <si>
    <t>与区域中心的接近程度</t>
    <phoneticPr fontId="129" type="noConversion"/>
  </si>
  <si>
    <t>工业</t>
    <phoneticPr fontId="129" type="noConversion"/>
  </si>
  <si>
    <t>产业集聚程度</t>
    <phoneticPr fontId="129" type="noConversion"/>
  </si>
  <si>
    <t>环境状况</t>
    <phoneticPr fontId="129" type="noConversion"/>
  </si>
  <si>
    <t>北京市区片基准地价表</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</si>
  <si>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</si>
  <si>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</si>
  <si>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</si>
  <si>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</si>
  <si>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</si>
  <si>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</si>
  <si>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</si>
  <si>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</si>
  <si>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</si>
  <si>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</si>
  <si>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</si>
  <si>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</si>
  <si>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基准日期：2014年1月1日                                                    单位：元/建筑平方米</t>
    <phoneticPr fontId="129" type="noConversion"/>
  </si>
  <si>
    <t>Ⅰ—01</t>
    <phoneticPr fontId="129" type="noConversion"/>
  </si>
  <si>
    <t>Ⅱ—01</t>
    <phoneticPr fontId="129" type="noConversion"/>
  </si>
  <si>
    <t>Ⅲ—01</t>
    <phoneticPr fontId="129" type="noConversion"/>
  </si>
  <si>
    <t>Ⅳ-01</t>
    <phoneticPr fontId="129" type="noConversion"/>
  </si>
  <si>
    <t>Ⅴ-01</t>
    <phoneticPr fontId="129" type="noConversion"/>
  </si>
  <si>
    <t>Ⅵ-01</t>
    <phoneticPr fontId="129" type="noConversion"/>
  </si>
  <si>
    <t>Ⅶ-01</t>
    <phoneticPr fontId="129" type="noConversion"/>
  </si>
  <si>
    <t>Ⅷ-01</t>
    <phoneticPr fontId="129" type="noConversion"/>
  </si>
  <si>
    <t>Ⅸ-01</t>
    <phoneticPr fontId="129" type="noConversion"/>
  </si>
  <si>
    <t>Ⅹ-01</t>
    <phoneticPr fontId="129" type="noConversion"/>
  </si>
  <si>
    <t>Ⅺ-门1</t>
    <phoneticPr fontId="129" type="noConversion"/>
  </si>
  <si>
    <t>Ⅻ-门1</t>
    <phoneticPr fontId="129" type="noConversion"/>
  </si>
  <si>
    <t>级别</t>
    <phoneticPr fontId="129" type="noConversion"/>
  </si>
  <si>
    <t>商业</t>
    <phoneticPr fontId="129" type="noConversion"/>
  </si>
  <si>
    <t>办公</t>
    <phoneticPr fontId="129" type="noConversion"/>
  </si>
  <si>
    <t>住宅</t>
    <phoneticPr fontId="129" type="noConversion"/>
  </si>
  <si>
    <t>工业</t>
    <phoneticPr fontId="129" type="noConversion"/>
  </si>
  <si>
    <t>Ⅰ—02</t>
    <phoneticPr fontId="129" type="noConversion"/>
  </si>
  <si>
    <t>Ⅱ—02</t>
  </si>
  <si>
    <t>Ⅲ—02</t>
  </si>
  <si>
    <t>Ⅳ-02</t>
  </si>
  <si>
    <t>Ⅴ-02</t>
  </si>
  <si>
    <t>Ⅵ-02</t>
  </si>
  <si>
    <t>Ⅶ-02</t>
  </si>
  <si>
    <t>Ⅷ-02</t>
  </si>
  <si>
    <t>Ⅸ-02</t>
  </si>
  <si>
    <t>Ⅹ-02</t>
  </si>
  <si>
    <t>Ⅺ-门斋</t>
    <phoneticPr fontId="129" type="noConversion"/>
  </si>
  <si>
    <t>Ⅻ-房1</t>
    <phoneticPr fontId="129" type="noConversion"/>
  </si>
  <si>
    <t>区片编号</t>
    <phoneticPr fontId="129" type="noConversion"/>
  </si>
  <si>
    <t>区片价格</t>
    <phoneticPr fontId="129" type="noConversion"/>
  </si>
  <si>
    <t>Ⅰ—03</t>
  </si>
  <si>
    <t>Ⅱ—03</t>
  </si>
  <si>
    <t>Ⅲ—03</t>
  </si>
  <si>
    <t>Ⅳ-03</t>
  </si>
  <si>
    <t>Ⅴ-03</t>
  </si>
  <si>
    <t>Ⅵ-03</t>
  </si>
  <si>
    <t>Ⅶ-03</t>
  </si>
  <si>
    <t>Ⅷ-03</t>
  </si>
  <si>
    <t>Ⅸ-门1</t>
    <phoneticPr fontId="129" type="noConversion"/>
  </si>
  <si>
    <t>Ⅹ-门1</t>
    <phoneticPr fontId="129" type="noConversion"/>
  </si>
  <si>
    <t>Ⅺ-房1</t>
    <phoneticPr fontId="129" type="noConversion"/>
  </si>
  <si>
    <t>Ⅻ-昌1</t>
    <phoneticPr fontId="129" type="noConversion"/>
  </si>
  <si>
    <t>一级</t>
  </si>
  <si>
    <t>Ⅰ—04</t>
  </si>
  <si>
    <t>Ⅱ—04</t>
  </si>
  <si>
    <t>Ⅲ—04</t>
  </si>
  <si>
    <t>Ⅳ-04</t>
  </si>
  <si>
    <t>Ⅴ-04</t>
  </si>
  <si>
    <t>Ⅵ-04</t>
  </si>
  <si>
    <t>Ⅶ-04</t>
  </si>
  <si>
    <t>Ⅷ-04</t>
  </si>
  <si>
    <t>Ⅸ-门2</t>
    <phoneticPr fontId="129" type="noConversion"/>
  </si>
  <si>
    <t>Ⅹ-房1</t>
    <phoneticPr fontId="129" type="noConversion"/>
  </si>
  <si>
    <t>Ⅺ-房2</t>
  </si>
  <si>
    <t>Ⅻ-平1</t>
    <phoneticPr fontId="129" type="noConversion"/>
  </si>
  <si>
    <t>Ⅰ—02</t>
    <phoneticPr fontId="129" type="noConversion"/>
  </si>
  <si>
    <t>二级</t>
    <phoneticPr fontId="129" type="noConversion"/>
  </si>
  <si>
    <t>Ⅰ—05</t>
  </si>
  <si>
    <t>Ⅱ—05</t>
  </si>
  <si>
    <t>Ⅲ—05</t>
  </si>
  <si>
    <t>Ⅳ-05</t>
  </si>
  <si>
    <t>Ⅴ-05</t>
  </si>
  <si>
    <t>Ⅵ-05</t>
  </si>
  <si>
    <t>Ⅶ-05</t>
  </si>
  <si>
    <t>Ⅷ-门1</t>
    <phoneticPr fontId="129" type="noConversion"/>
  </si>
  <si>
    <t>Ⅸ-门潭</t>
    <phoneticPr fontId="129" type="noConversion"/>
  </si>
  <si>
    <t>Ⅹ-房2</t>
  </si>
  <si>
    <t>Ⅺ-通1</t>
    <phoneticPr fontId="129" type="noConversion"/>
  </si>
  <si>
    <t>Ⅻ-怀1</t>
    <phoneticPr fontId="129" type="noConversion"/>
  </si>
  <si>
    <t>Ⅱ—06</t>
  </si>
  <si>
    <t>Ⅲ—06</t>
  </si>
  <si>
    <t>Ⅳ-06</t>
  </si>
  <si>
    <t>Ⅴ-06</t>
  </si>
  <si>
    <t>Ⅵ-06</t>
  </si>
  <si>
    <t>Ⅶ-06</t>
  </si>
  <si>
    <t>Ⅷ-门军</t>
    <phoneticPr fontId="129" type="noConversion"/>
  </si>
  <si>
    <t>Ⅸ-房1</t>
    <phoneticPr fontId="129" type="noConversion"/>
  </si>
  <si>
    <t>Ⅹ-通1</t>
    <phoneticPr fontId="129" type="noConversion"/>
  </si>
  <si>
    <t>Ⅺ-顺1</t>
    <phoneticPr fontId="129" type="noConversion"/>
  </si>
  <si>
    <t>Ⅻ-密1</t>
    <phoneticPr fontId="129" type="noConversion"/>
  </si>
  <si>
    <t>Ⅱ—07</t>
  </si>
  <si>
    <t>Ⅲ—07</t>
  </si>
  <si>
    <t>Ⅳ-07</t>
  </si>
  <si>
    <t>Ⅴ-07</t>
  </si>
  <si>
    <t>Ⅵ-07</t>
  </si>
  <si>
    <t>Ⅶ-07</t>
  </si>
  <si>
    <t>Ⅷ-房1</t>
    <phoneticPr fontId="129" type="noConversion"/>
  </si>
  <si>
    <t>Ⅸ-房2</t>
  </si>
  <si>
    <t>Ⅹ-顺1</t>
    <phoneticPr fontId="129" type="noConversion"/>
  </si>
  <si>
    <t>Ⅺ-兴1</t>
    <phoneticPr fontId="129" type="noConversion"/>
  </si>
  <si>
    <t>Ⅻ-延1</t>
    <phoneticPr fontId="129" type="noConversion"/>
  </si>
  <si>
    <t>Ⅱ—08</t>
  </si>
  <si>
    <t>Ⅲ—08</t>
  </si>
  <si>
    <t>Ⅳ-08</t>
  </si>
  <si>
    <t>Ⅴ-08</t>
  </si>
  <si>
    <t>Ⅵ-08</t>
  </si>
  <si>
    <t>Ⅶ-08</t>
  </si>
  <si>
    <t>Ⅷ-房2</t>
  </si>
  <si>
    <t>Ⅸ-房3</t>
  </si>
  <si>
    <t>Ⅹ-顺2</t>
  </si>
  <si>
    <t>Ⅺ-兴2</t>
    <phoneticPr fontId="129" type="noConversion"/>
  </si>
  <si>
    <t>二级</t>
  </si>
  <si>
    <t>Ⅱ—01</t>
    <phoneticPr fontId="129" type="noConversion"/>
  </si>
  <si>
    <t>Ⅱ—09</t>
  </si>
  <si>
    <t>Ⅲ—09</t>
  </si>
  <si>
    <t>Ⅳ-09</t>
  </si>
  <si>
    <t>Ⅴ-09</t>
  </si>
  <si>
    <t>Ⅵ-09</t>
  </si>
  <si>
    <t>Ⅶ-09</t>
  </si>
  <si>
    <t>Ⅷ-房3</t>
  </si>
  <si>
    <t>Ⅸ-房4</t>
  </si>
  <si>
    <t>Ⅹ-顺3</t>
  </si>
  <si>
    <t>Ⅺ-昌1</t>
    <phoneticPr fontId="129" type="noConversion"/>
  </si>
  <si>
    <t>Ⅱ—10</t>
  </si>
  <si>
    <t>Ⅲ—10</t>
  </si>
  <si>
    <t>Ⅳ-10</t>
  </si>
  <si>
    <t>Ⅴ-10</t>
  </si>
  <si>
    <t>Ⅵ-10</t>
  </si>
  <si>
    <t>Ⅶ-10</t>
  </si>
  <si>
    <t>Ⅷ-通1</t>
    <phoneticPr fontId="129" type="noConversion"/>
  </si>
  <si>
    <t>Ⅸ-房5</t>
  </si>
  <si>
    <t>Ⅹ-兴1</t>
    <phoneticPr fontId="129" type="noConversion"/>
  </si>
  <si>
    <t>Ⅺ-昌2</t>
  </si>
  <si>
    <t>Ⅱ—11</t>
  </si>
  <si>
    <t>Ⅲ—11</t>
  </si>
  <si>
    <t>Ⅳ-11</t>
  </si>
  <si>
    <t>Ⅴ-11</t>
  </si>
  <si>
    <t>Ⅵ-11</t>
  </si>
  <si>
    <t>Ⅶ-11</t>
  </si>
  <si>
    <t>Ⅷ-通2</t>
  </si>
  <si>
    <t>Ⅸ-房6</t>
  </si>
  <si>
    <t>Ⅹ-兴2</t>
  </si>
  <si>
    <t>Ⅺ-平1</t>
    <phoneticPr fontId="129" type="noConversion"/>
  </si>
  <si>
    <t>Ⅱ—12</t>
  </si>
  <si>
    <t>Ⅲ—12</t>
  </si>
  <si>
    <t>Ⅳ-12</t>
  </si>
  <si>
    <t>Ⅴ-12</t>
  </si>
  <si>
    <t>Ⅵ-12</t>
  </si>
  <si>
    <t>Ⅶ-12</t>
  </si>
  <si>
    <t>Ⅷ-通3</t>
  </si>
  <si>
    <t>Ⅸ-通1</t>
    <phoneticPr fontId="129" type="noConversion"/>
  </si>
  <si>
    <t>Ⅹ-昌1</t>
    <phoneticPr fontId="129" type="noConversion"/>
  </si>
  <si>
    <t>Ⅺ-平2</t>
  </si>
  <si>
    <t>Ⅱ—13</t>
  </si>
  <si>
    <t>Ⅲ—13</t>
  </si>
  <si>
    <t>Ⅳ-13</t>
  </si>
  <si>
    <t>Ⅴ-13</t>
  </si>
  <si>
    <t>Ⅵ-13</t>
  </si>
  <si>
    <t>Ⅶ-13</t>
  </si>
  <si>
    <t>Ⅷ-顺1</t>
    <phoneticPr fontId="129" type="noConversion"/>
  </si>
  <si>
    <t>Ⅸ-通2</t>
  </si>
  <si>
    <t>Ⅹ-昌2</t>
  </si>
  <si>
    <t>Ⅺ-平3</t>
  </si>
  <si>
    <t>Ⅱ—14</t>
  </si>
  <si>
    <t>Ⅲ—14</t>
  </si>
  <si>
    <t>Ⅳ-14</t>
  </si>
  <si>
    <t>Ⅴ-14</t>
  </si>
  <si>
    <t>Ⅵ-14</t>
  </si>
  <si>
    <t>Ⅶ-门1</t>
    <phoneticPr fontId="129" type="noConversion"/>
  </si>
  <si>
    <t>Ⅷ-顺2</t>
  </si>
  <si>
    <t>Ⅸ-通3</t>
  </si>
  <si>
    <t>Ⅹ-昌3</t>
  </si>
  <si>
    <t>Ⅺ-平4</t>
  </si>
  <si>
    <t>Ⅱ—15</t>
  </si>
  <si>
    <t>Ⅲ—15</t>
  </si>
  <si>
    <t>Ⅳ-15</t>
  </si>
  <si>
    <t>Ⅴ-15</t>
  </si>
  <si>
    <t>Ⅵ-15</t>
  </si>
  <si>
    <t>Ⅶ-房1</t>
    <phoneticPr fontId="129" type="noConversion"/>
  </si>
  <si>
    <t>Ⅷ-顺3</t>
    <phoneticPr fontId="129" type="noConversion"/>
  </si>
  <si>
    <t>Ⅸ-顺1</t>
    <phoneticPr fontId="129" type="noConversion"/>
  </si>
  <si>
    <t>Ⅹ-平1</t>
    <phoneticPr fontId="129" type="noConversion"/>
  </si>
  <si>
    <t>Ⅺ-怀1</t>
    <phoneticPr fontId="129" type="noConversion"/>
  </si>
  <si>
    <t>Ⅱ—16</t>
  </si>
  <si>
    <t>Ⅲ—16</t>
  </si>
  <si>
    <t>Ⅳ-16</t>
  </si>
  <si>
    <t>Ⅴ-16</t>
  </si>
  <si>
    <t>Ⅵ-16</t>
  </si>
  <si>
    <t>Ⅶ-房2</t>
  </si>
  <si>
    <t>Ⅷ-顺4</t>
  </si>
  <si>
    <t>Ⅸ-顺2</t>
  </si>
  <si>
    <t>Ⅹ-平2</t>
  </si>
  <si>
    <t>Ⅺ-怀2</t>
  </si>
  <si>
    <t>Ⅱ—17</t>
  </si>
  <si>
    <t>Ⅲ—17</t>
  </si>
  <si>
    <t>Ⅳ-17</t>
  </si>
  <si>
    <t>Ⅴ-17</t>
  </si>
  <si>
    <t>Ⅵ-17</t>
  </si>
  <si>
    <t>Ⅶ-通1</t>
    <phoneticPr fontId="129" type="noConversion"/>
  </si>
  <si>
    <t>Ⅷ-顺5</t>
  </si>
  <si>
    <t>Ⅸ-顺3</t>
  </si>
  <si>
    <t>Ⅹ-怀1</t>
    <phoneticPr fontId="129" type="noConversion"/>
  </si>
  <si>
    <t>Ⅺ-密1</t>
    <phoneticPr fontId="129" type="noConversion"/>
  </si>
  <si>
    <t>Ⅱ—18</t>
  </si>
  <si>
    <t>Ⅲ—18</t>
  </si>
  <si>
    <t>Ⅳ-18</t>
  </si>
  <si>
    <t>Ⅴ-18</t>
  </si>
  <si>
    <t>Ⅵ-18</t>
  </si>
  <si>
    <t>Ⅶ-顺1</t>
    <phoneticPr fontId="129" type="noConversion"/>
  </si>
  <si>
    <t>Ⅷ-顺6</t>
  </si>
  <si>
    <t>Ⅸ-顺4</t>
  </si>
  <si>
    <t>Ⅹ-怀2</t>
  </si>
  <si>
    <t>Ⅺ-密2</t>
  </si>
  <si>
    <t>Ⅱ—19</t>
  </si>
  <si>
    <t>Ⅲ—19</t>
  </si>
  <si>
    <t>Ⅳ-19</t>
  </si>
  <si>
    <t>Ⅴ-19</t>
  </si>
  <si>
    <t>Ⅵ-19</t>
  </si>
  <si>
    <t>Ⅶ-顺2</t>
  </si>
  <si>
    <t>Ⅷ-顺7</t>
  </si>
  <si>
    <t>Ⅸ-兴1</t>
    <phoneticPr fontId="129" type="noConversion"/>
  </si>
  <si>
    <t>Ⅹ-怀3</t>
  </si>
  <si>
    <t>Ⅺ-密3</t>
  </si>
  <si>
    <t>Ⅲ—20</t>
  </si>
  <si>
    <t>Ⅳ-20</t>
  </si>
  <si>
    <t>Ⅴ-20</t>
  </si>
  <si>
    <t>Ⅵ-20</t>
  </si>
  <si>
    <t>Ⅶ-兴1</t>
    <phoneticPr fontId="129" type="noConversion"/>
  </si>
  <si>
    <t>Ⅷ-兴1</t>
    <phoneticPr fontId="129" type="noConversion"/>
  </si>
  <si>
    <t>Ⅸ-兴2</t>
  </si>
  <si>
    <t>Ⅹ-密1</t>
    <phoneticPr fontId="129" type="noConversion"/>
  </si>
  <si>
    <t>Ⅺ-延1</t>
    <phoneticPr fontId="129" type="noConversion"/>
  </si>
  <si>
    <t>Ⅱ—13</t>
    <phoneticPr fontId="129" type="noConversion"/>
  </si>
  <si>
    <t>Ⅳ-21</t>
  </si>
  <si>
    <t>Ⅴ-21</t>
  </si>
  <si>
    <t>Ⅵ-21</t>
  </si>
  <si>
    <t>Ⅶ-兴2</t>
  </si>
  <si>
    <t>Ⅷ-兴2</t>
  </si>
  <si>
    <t>Ⅸ-兴3</t>
  </si>
  <si>
    <t>Ⅹ-延1</t>
    <phoneticPr fontId="129" type="noConversion"/>
  </si>
  <si>
    <t>Ⅺ-延2</t>
  </si>
  <si>
    <t>Ⅳ-22</t>
  </si>
  <si>
    <t>Ⅴ-22</t>
  </si>
  <si>
    <t>Ⅵ-22</t>
  </si>
  <si>
    <t>Ⅶ-兴3</t>
  </si>
  <si>
    <t>Ⅷ-昌1</t>
    <phoneticPr fontId="129" type="noConversion"/>
  </si>
  <si>
    <t>Ⅸ-兴4</t>
  </si>
  <si>
    <t>Ⅹ-延2</t>
  </si>
  <si>
    <t>Ⅳ-23</t>
  </si>
  <si>
    <t>Ⅴ-23</t>
  </si>
  <si>
    <t>Ⅵ-23</t>
  </si>
  <si>
    <t>Ⅶ-昌1</t>
    <phoneticPr fontId="129" type="noConversion"/>
  </si>
  <si>
    <t>Ⅷ-昌2</t>
  </si>
  <si>
    <t>Ⅸ-兴5</t>
  </si>
  <si>
    <t>Ⅹ-亦1</t>
    <phoneticPr fontId="129" type="noConversion"/>
  </si>
  <si>
    <t>Ⅳ-电子城东</t>
    <phoneticPr fontId="129" type="noConversion"/>
  </si>
  <si>
    <t>Ⅴ-24</t>
  </si>
  <si>
    <t>Ⅵ-24</t>
  </si>
  <si>
    <t>Ⅶ-昌2</t>
  </si>
  <si>
    <t>Ⅷ-昌3</t>
  </si>
  <si>
    <t>Ⅸ-昌1</t>
    <phoneticPr fontId="129" type="noConversion"/>
  </si>
  <si>
    <t>Ⅹ-马坊工业园</t>
    <phoneticPr fontId="129" type="noConversion"/>
  </si>
  <si>
    <t>Ⅳ-电子城西</t>
    <phoneticPr fontId="129" type="noConversion"/>
  </si>
  <si>
    <t>Ⅴ-25</t>
  </si>
  <si>
    <t>Ⅵ-通1</t>
    <phoneticPr fontId="129" type="noConversion"/>
  </si>
  <si>
    <t>Ⅶ-昌3</t>
  </si>
  <si>
    <t>Ⅷ-昌4</t>
  </si>
  <si>
    <t>Ⅸ-昌2</t>
  </si>
  <si>
    <t>Ⅹ-延庆开发区</t>
    <phoneticPr fontId="129" type="noConversion"/>
  </si>
  <si>
    <t>Ⅳ-上地核心</t>
    <phoneticPr fontId="129" type="noConversion"/>
  </si>
  <si>
    <t>Ⅴ-26</t>
  </si>
  <si>
    <t>Ⅵ-通2</t>
  </si>
  <si>
    <t>Ⅶ-昌4</t>
  </si>
  <si>
    <t>Ⅷ-平1</t>
    <phoneticPr fontId="129" type="noConversion"/>
  </si>
  <si>
    <t>Ⅸ-昌3</t>
  </si>
  <si>
    <t>Ⅹ-八达岭开发区</t>
    <phoneticPr fontId="129" type="noConversion"/>
  </si>
  <si>
    <t>Ⅳ-丰台园东</t>
    <phoneticPr fontId="129" type="noConversion"/>
  </si>
  <si>
    <t>Ⅴ-电子城北</t>
    <phoneticPr fontId="129" type="noConversion"/>
  </si>
  <si>
    <t>Ⅵ-通3</t>
  </si>
  <si>
    <t>Ⅶ-昌5</t>
  </si>
  <si>
    <t>Ⅷ-怀1</t>
    <phoneticPr fontId="129" type="noConversion"/>
  </si>
  <si>
    <t>Ⅸ-昌4</t>
  </si>
  <si>
    <t>三级</t>
  </si>
  <si>
    <t>Ⅲ—01</t>
    <phoneticPr fontId="129" type="noConversion"/>
  </si>
  <si>
    <t>Ⅴ-永丰产业基地</t>
    <phoneticPr fontId="129" type="noConversion"/>
  </si>
  <si>
    <t>Ⅵ-通4</t>
  </si>
  <si>
    <t>Ⅶ-亦1</t>
    <phoneticPr fontId="129" type="noConversion"/>
  </si>
  <si>
    <t>Ⅷ-密1</t>
    <phoneticPr fontId="129" type="noConversion"/>
  </si>
  <si>
    <t>Ⅸ-昌5</t>
  </si>
  <si>
    <t>Ⅴ-航天城</t>
    <phoneticPr fontId="129" type="noConversion"/>
  </si>
  <si>
    <t>Ⅵ-顺1</t>
    <phoneticPr fontId="129" type="noConversion"/>
  </si>
  <si>
    <t>Ⅶ-国际教育园</t>
    <phoneticPr fontId="129" type="noConversion"/>
  </si>
  <si>
    <t>Ⅸ-昌南</t>
    <phoneticPr fontId="129" type="noConversion"/>
  </si>
  <si>
    <r>
      <t>Ⅴ-西北旺</t>
    </r>
    <r>
      <rPr>
        <sz val="10"/>
        <color indexed="8"/>
        <rFont val="宋体"/>
        <family val="3"/>
        <charset val="134"/>
      </rPr>
      <t>Ⅰ</t>
    </r>
    <phoneticPr fontId="129" type="noConversion"/>
  </si>
  <si>
    <t>Ⅵ-兴1</t>
    <phoneticPr fontId="129" type="noConversion"/>
  </si>
  <si>
    <t>Ⅶ-农林园</t>
    <phoneticPr fontId="129" type="noConversion"/>
  </si>
  <si>
    <t>Ⅷ-亦1</t>
    <phoneticPr fontId="129" type="noConversion"/>
  </si>
  <si>
    <t>Ⅸ-平1</t>
    <phoneticPr fontId="129" type="noConversion"/>
  </si>
  <si>
    <r>
      <t>Ⅴ-西北旺</t>
    </r>
    <r>
      <rPr>
        <sz val="10"/>
        <color indexed="8"/>
        <rFont val="宋体"/>
        <family val="3"/>
        <charset val="134"/>
      </rPr>
      <t>Ⅱ</t>
    </r>
    <phoneticPr fontId="129" type="noConversion"/>
  </si>
  <si>
    <t>Ⅵ-昌1</t>
    <phoneticPr fontId="129" type="noConversion"/>
  </si>
  <si>
    <t>Ⅶ-上庄科技</t>
    <phoneticPr fontId="129" type="noConversion"/>
  </si>
  <si>
    <t>Ⅷ-亦2</t>
  </si>
  <si>
    <t>Ⅸ-怀1</t>
    <phoneticPr fontId="129" type="noConversion"/>
  </si>
  <si>
    <t>Ⅴ-石景山园南区</t>
    <phoneticPr fontId="129" type="noConversion"/>
  </si>
  <si>
    <t>Ⅵ-昌2</t>
  </si>
  <si>
    <t>Ⅶ-文化教育基地</t>
    <phoneticPr fontId="129" type="noConversion"/>
  </si>
  <si>
    <t>Ⅷ-良乡开发区A</t>
    <phoneticPr fontId="129" type="noConversion"/>
  </si>
  <si>
    <t>Ⅸ-密1</t>
    <phoneticPr fontId="129" type="noConversion"/>
  </si>
  <si>
    <r>
      <t>Ⅴ-石景山园北</t>
    </r>
    <r>
      <rPr>
        <sz val="10"/>
        <color indexed="8"/>
        <rFont val="宋体"/>
        <family val="3"/>
        <charset val="134"/>
      </rPr>
      <t>Ⅰ</t>
    </r>
    <phoneticPr fontId="129" type="noConversion"/>
  </si>
  <si>
    <t>Ⅵ-昌3</t>
  </si>
  <si>
    <r>
      <t>Ⅶ-苏家坨科技</t>
    </r>
    <r>
      <rPr>
        <sz val="10"/>
        <color indexed="8"/>
        <rFont val="宋体"/>
        <family val="3"/>
        <charset val="134"/>
      </rPr>
      <t>Ⅰ</t>
    </r>
    <phoneticPr fontId="129" type="noConversion"/>
  </si>
  <si>
    <t>Ⅷ-良乡开发区B</t>
    <phoneticPr fontId="129" type="noConversion"/>
  </si>
  <si>
    <t>Ⅸ-延1</t>
    <phoneticPr fontId="129" type="noConversion"/>
  </si>
  <si>
    <r>
      <t>Ⅴ-石景山园北</t>
    </r>
    <r>
      <rPr>
        <sz val="10"/>
        <color indexed="8"/>
        <rFont val="宋体"/>
        <family val="3"/>
        <charset val="134"/>
      </rPr>
      <t>Ⅱ</t>
    </r>
    <phoneticPr fontId="129" type="noConversion"/>
  </si>
  <si>
    <t>Ⅵ-昌4</t>
  </si>
  <si>
    <r>
      <t>Ⅶ-苏家坨科技</t>
    </r>
    <r>
      <rPr>
        <sz val="10"/>
        <color indexed="8"/>
        <rFont val="宋体"/>
        <family val="3"/>
        <charset val="134"/>
      </rPr>
      <t>Ⅱ</t>
    </r>
    <phoneticPr fontId="129" type="noConversion"/>
  </si>
  <si>
    <t>Ⅷ-良乡开发区C</t>
    <phoneticPr fontId="129" type="noConversion"/>
  </si>
  <si>
    <t>Ⅸ-亦1</t>
    <phoneticPr fontId="129" type="noConversion"/>
  </si>
  <si>
    <t>Ⅵ-亦1</t>
    <phoneticPr fontId="129" type="noConversion"/>
  </si>
  <si>
    <r>
      <t>Ⅶ-丰台园西</t>
    </r>
    <r>
      <rPr>
        <sz val="10"/>
        <color indexed="8"/>
        <rFont val="宋体"/>
        <family val="3"/>
        <charset val="134"/>
      </rPr>
      <t>Ⅰ</t>
    </r>
    <phoneticPr fontId="129" type="noConversion"/>
  </si>
  <si>
    <t>Ⅷ-通州环保园</t>
    <phoneticPr fontId="129" type="noConversion"/>
  </si>
  <si>
    <t>Ⅸ-房山工业园东</t>
    <phoneticPr fontId="129" type="noConversion"/>
  </si>
  <si>
    <t>Ⅵ-创新园</t>
    <phoneticPr fontId="129" type="noConversion"/>
  </si>
  <si>
    <r>
      <t>Ⅶ-丰台园西</t>
    </r>
    <r>
      <rPr>
        <sz val="10"/>
        <color indexed="8"/>
        <rFont val="宋体"/>
        <family val="3"/>
        <charset val="134"/>
      </rPr>
      <t>Ⅱ</t>
    </r>
    <phoneticPr fontId="129" type="noConversion"/>
  </si>
  <si>
    <t>Ⅷ-空港北区A</t>
    <phoneticPr fontId="129" type="noConversion"/>
  </si>
  <si>
    <t>Ⅸ-房山工业园西</t>
    <phoneticPr fontId="129" type="noConversion"/>
  </si>
  <si>
    <t>Ⅵ-海淀环保园</t>
    <phoneticPr fontId="129" type="noConversion"/>
  </si>
  <si>
    <t>Ⅶ-石龙开发区</t>
    <phoneticPr fontId="129" type="noConversion"/>
  </si>
  <si>
    <t>Ⅷ-空港北区B</t>
    <phoneticPr fontId="129" type="noConversion"/>
  </si>
  <si>
    <t>Ⅸ-通州开发区东</t>
    <phoneticPr fontId="129" type="noConversion"/>
  </si>
  <si>
    <r>
      <t>Ⅵ-温泉科技</t>
    </r>
    <r>
      <rPr>
        <sz val="10"/>
        <color indexed="8"/>
        <rFont val="宋体"/>
        <family val="3"/>
        <charset val="134"/>
      </rPr>
      <t>Ⅰ</t>
    </r>
    <phoneticPr fontId="129" type="noConversion"/>
  </si>
  <si>
    <t>Ⅶ-光机电</t>
    <phoneticPr fontId="129" type="noConversion"/>
  </si>
  <si>
    <t>Ⅷ-生物医药基地</t>
    <phoneticPr fontId="129" type="noConversion"/>
  </si>
  <si>
    <t>Ⅸ-永乐开发区</t>
    <phoneticPr fontId="129" type="noConversion"/>
  </si>
  <si>
    <r>
      <t>Ⅵ-温泉科技</t>
    </r>
    <r>
      <rPr>
        <sz val="10"/>
        <color indexed="8"/>
        <rFont val="宋体"/>
        <family val="3"/>
        <charset val="134"/>
      </rPr>
      <t>Ⅱ</t>
    </r>
    <phoneticPr fontId="129" type="noConversion"/>
  </si>
  <si>
    <t>Ⅶ-通州开发区西</t>
    <phoneticPr fontId="129" type="noConversion"/>
  </si>
  <si>
    <t>Ⅷ-小汤山工业园</t>
    <phoneticPr fontId="129" type="noConversion"/>
  </si>
  <si>
    <t>Ⅸ-采育开发区</t>
    <phoneticPr fontId="129" type="noConversion"/>
  </si>
  <si>
    <r>
      <t>Ⅵ-温泉科技</t>
    </r>
    <r>
      <rPr>
        <sz val="10"/>
        <color indexed="8"/>
        <rFont val="宋体"/>
        <family val="3"/>
        <charset val="134"/>
      </rPr>
      <t>Ⅲ</t>
    </r>
    <phoneticPr fontId="129" type="noConversion"/>
  </si>
  <si>
    <t>Ⅶ-林河开发区</t>
    <phoneticPr fontId="129" type="noConversion"/>
  </si>
  <si>
    <t>Ⅸ-兴谷开发区A</t>
    <phoneticPr fontId="129" type="noConversion"/>
  </si>
  <si>
    <t>Ⅵ-天竺保税区南</t>
    <phoneticPr fontId="129" type="noConversion"/>
  </si>
  <si>
    <t>Ⅶ-大兴开发区</t>
    <phoneticPr fontId="129" type="noConversion"/>
  </si>
  <si>
    <t>Ⅸ-兴谷开发区B</t>
    <phoneticPr fontId="129" type="noConversion"/>
  </si>
  <si>
    <t>Ⅵ-天竺保税区北1</t>
    <phoneticPr fontId="129" type="noConversion"/>
  </si>
  <si>
    <r>
      <t>Ⅶ-昌平园南</t>
    </r>
    <r>
      <rPr>
        <sz val="10"/>
        <color indexed="8"/>
        <rFont val="宋体"/>
        <family val="3"/>
        <charset val="134"/>
      </rPr>
      <t>Ⅰ</t>
    </r>
    <phoneticPr fontId="129" type="noConversion"/>
  </si>
  <si>
    <t>Ⅸ-雁栖开发区A</t>
    <phoneticPr fontId="129" type="noConversion"/>
  </si>
  <si>
    <t>Ⅵ-天竺保税区北2</t>
  </si>
  <si>
    <r>
      <t>Ⅶ-昌平园南</t>
    </r>
    <r>
      <rPr>
        <sz val="10"/>
        <color indexed="8"/>
        <rFont val="宋体"/>
        <family val="3"/>
        <charset val="134"/>
      </rPr>
      <t>Ⅱ</t>
    </r>
    <phoneticPr fontId="129" type="noConversion"/>
  </si>
  <si>
    <t>Ⅸ-雁栖开发区B</t>
    <phoneticPr fontId="129" type="noConversion"/>
  </si>
  <si>
    <t>Ⅵ-空港A</t>
    <phoneticPr fontId="129" type="noConversion"/>
  </si>
  <si>
    <r>
      <t>Ⅶ-昌平园北</t>
    </r>
    <r>
      <rPr>
        <sz val="10"/>
        <color indexed="8"/>
        <rFont val="宋体"/>
        <family val="3"/>
        <charset val="134"/>
      </rPr>
      <t>Ⅰ</t>
    </r>
    <phoneticPr fontId="129" type="noConversion"/>
  </si>
  <si>
    <t>Ⅸ-雁栖开发区C</t>
    <phoneticPr fontId="129" type="noConversion"/>
  </si>
  <si>
    <t>Ⅵ-空港B</t>
    <phoneticPr fontId="129" type="noConversion"/>
  </si>
  <si>
    <r>
      <t>Ⅶ-昌平园北</t>
    </r>
    <r>
      <rPr>
        <sz val="10"/>
        <color indexed="8"/>
        <rFont val="宋体"/>
        <family val="3"/>
        <charset val="134"/>
      </rPr>
      <t>Ⅱ</t>
    </r>
    <phoneticPr fontId="129" type="noConversion"/>
  </si>
  <si>
    <t>Ⅸ-密云开发区</t>
    <phoneticPr fontId="129" type="noConversion"/>
  </si>
  <si>
    <t>Ⅵ-生命科学园</t>
    <phoneticPr fontId="129" type="noConversion"/>
  </si>
  <si>
    <r>
      <t>Ⅶ-昌平园北</t>
    </r>
    <r>
      <rPr>
        <sz val="10"/>
        <color indexed="8"/>
        <rFont val="宋体"/>
        <family val="3"/>
        <charset val="134"/>
      </rPr>
      <t>Ⅲ</t>
    </r>
    <phoneticPr fontId="129" type="noConversion"/>
  </si>
  <si>
    <t>Ⅵ-昌三一光电</t>
    <phoneticPr fontId="129" type="noConversion"/>
  </si>
  <si>
    <t>Ⅶ-BDA东</t>
    <phoneticPr fontId="129" type="noConversion"/>
  </si>
  <si>
    <t>Ⅳ-01</t>
    <phoneticPr fontId="129" type="noConversion"/>
  </si>
  <si>
    <t>Ⅵ-BDA核心</t>
    <phoneticPr fontId="129" type="noConversion"/>
  </si>
  <si>
    <t>Ⅶ-BDA西</t>
    <phoneticPr fontId="129" type="noConversion"/>
  </si>
  <si>
    <t>五级</t>
  </si>
  <si>
    <t>Ⅴ-01</t>
    <phoneticPr fontId="129" type="noConversion"/>
  </si>
  <si>
    <t>六级</t>
  </si>
  <si>
    <t>Ⅵ-01</t>
    <phoneticPr fontId="129" type="noConversion"/>
  </si>
  <si>
    <t>七级</t>
  </si>
  <si>
    <t>Ⅶ-01</t>
    <phoneticPr fontId="129" type="noConversion"/>
  </si>
  <si>
    <t>八级</t>
  </si>
  <si>
    <t>Ⅷ-01</t>
    <phoneticPr fontId="129" type="noConversion"/>
  </si>
  <si>
    <t>九级</t>
  </si>
  <si>
    <t>Ⅸ-01</t>
    <phoneticPr fontId="129" type="noConversion"/>
  </si>
  <si>
    <t>Ⅸ-门1</t>
    <phoneticPr fontId="129" type="noConversion"/>
  </si>
  <si>
    <t>Ⅸ-门2</t>
    <phoneticPr fontId="129" type="noConversion"/>
  </si>
  <si>
    <t>十级</t>
  </si>
  <si>
    <t>Ⅹ-01</t>
    <phoneticPr fontId="129" type="noConversion"/>
  </si>
  <si>
    <t>Ⅹ-门1</t>
    <phoneticPr fontId="129" type="noConversion"/>
  </si>
  <si>
    <t>Ⅹ-门斋</t>
    <phoneticPr fontId="129" type="noConversion"/>
  </si>
  <si>
    <t>Ⅹ-房1</t>
    <phoneticPr fontId="129" type="noConversion"/>
  </si>
  <si>
    <t>Ⅺ-门1</t>
    <phoneticPr fontId="129" type="noConversion"/>
  </si>
  <si>
    <t>Ⅺ-门斋</t>
    <phoneticPr fontId="129" type="noConversion"/>
  </si>
  <si>
    <t>Ⅺ-房1</t>
    <phoneticPr fontId="129" type="noConversion"/>
  </si>
  <si>
    <t>Ⅻ-门1</t>
    <phoneticPr fontId="129" type="noConversion"/>
  </si>
  <si>
    <t>Ⅻ-房1</t>
    <phoneticPr fontId="129" type="noConversion"/>
  </si>
  <si>
    <t>Ⅻ-昌1</t>
    <phoneticPr fontId="129" type="noConversion"/>
  </si>
  <si>
    <t>Ⅻ-平1</t>
    <phoneticPr fontId="129" type="noConversion"/>
  </si>
  <si>
    <t>土地级别</t>
    <phoneticPr fontId="129" type="noConversion"/>
  </si>
  <si>
    <t>工业</t>
    <phoneticPr fontId="129" type="noConversion"/>
  </si>
  <si>
    <t>通路</t>
    <phoneticPr fontId="129" type="noConversion"/>
  </si>
  <si>
    <t>通电</t>
    <phoneticPr fontId="129" type="noConversion"/>
  </si>
  <si>
    <t>通讯</t>
    <phoneticPr fontId="129" type="noConversion"/>
  </si>
  <si>
    <t>通上水</t>
    <phoneticPr fontId="129" type="noConversion"/>
  </si>
  <si>
    <t>通下水</t>
    <phoneticPr fontId="129" type="noConversion"/>
  </si>
  <si>
    <t>通热</t>
    <phoneticPr fontId="129" type="noConversion"/>
  </si>
  <si>
    <t>燃气</t>
    <phoneticPr fontId="129" type="noConversion"/>
  </si>
  <si>
    <t>平整</t>
    <phoneticPr fontId="129" type="noConversion"/>
  </si>
  <si>
    <t>——</t>
    <phoneticPr fontId="129" type="noConversion"/>
  </si>
  <si>
    <t>北京市基准地价用途修正系数表</t>
    <phoneticPr fontId="129" type="noConversion"/>
  </si>
  <si>
    <t>用途</t>
    <phoneticPr fontId="129" type="noConversion"/>
  </si>
  <si>
    <t>用途类别划分</t>
    <phoneticPr fontId="129" type="noConversion"/>
  </si>
  <si>
    <t>用途修正  系数</t>
    <phoneticPr fontId="129" type="noConversion"/>
  </si>
  <si>
    <t>比准类别</t>
    <phoneticPr fontId="129" type="noConversion"/>
  </si>
  <si>
    <t>批发零售用地</t>
    <phoneticPr fontId="129" type="noConversion"/>
  </si>
  <si>
    <t>（指主要用于商品批发、零售的用地，包括商场、商店、超市、各类批发（零售）市场、加油站等及其附属的小型仓库、车间、工场等）</t>
    <phoneticPr fontId="129" type="noConversion"/>
  </si>
  <si>
    <t>其他类别</t>
    <phoneticPr fontId="129" type="noConversion"/>
  </si>
  <si>
    <t>住宿餐饮用地</t>
    <phoneticPr fontId="129" type="noConversion"/>
  </si>
  <si>
    <t>（指主要用于提供住宿、餐饮服务的用地，包括宾馆、酒店、饭店、旅馆、招待所、度假村、餐厅、酒吧等）</t>
    <phoneticPr fontId="129" type="noConversion"/>
  </si>
  <si>
    <t>商务金融用地（商业类）</t>
    <phoneticPr fontId="129" type="noConversion"/>
  </si>
  <si>
    <t>（指金融、证券、通讯、保险等营业网点用地）</t>
    <phoneticPr fontId="129" type="noConversion"/>
  </si>
  <si>
    <t>其他商服用地</t>
    <phoneticPr fontId="129" type="noConversion"/>
  </si>
  <si>
    <t>（指上述用地以外的其他商业、服务业用地，包括洗车场、洗染店、废旧物资回收站、维修网点、照相馆、理发美容店、洗浴场所、俱乐部、康乐中心、歌舞厅、赛车场、影视基地、影剧院、邮政、电信营业网点等）</t>
    <phoneticPr fontId="129" type="noConversion"/>
  </si>
  <si>
    <t>殡葬用地等特殊用地</t>
    <phoneticPr fontId="129" type="noConversion"/>
  </si>
  <si>
    <t>商务金融用地（办公类）</t>
    <phoneticPr fontId="129" type="noConversion"/>
  </si>
  <si>
    <t>（指企业、服务业等办公用地，以及经营性的办公场所用地，包括写字楼、商业性办公楼和企业厂区外独立的办公楼）</t>
    <phoneticPr fontId="129" type="noConversion"/>
  </si>
  <si>
    <t>其他商服用地（停车场、停车楼等用地）</t>
    <phoneticPr fontId="129" type="noConversion"/>
  </si>
  <si>
    <t>其他商服用地（指展览馆、会展中心等用地）</t>
    <phoneticPr fontId="129" type="noConversion"/>
  </si>
  <si>
    <t>机场航站楼用地</t>
    <phoneticPr fontId="129" type="noConversion"/>
  </si>
  <si>
    <t>科教用地</t>
    <phoneticPr fontId="129" type="noConversion"/>
  </si>
  <si>
    <t>（指用于各类教育，独立的科研、勘测、设计、技术推广、科普等的用地）</t>
    <phoneticPr fontId="129" type="noConversion"/>
  </si>
  <si>
    <t>新闻出版用地</t>
    <phoneticPr fontId="129" type="noConversion"/>
  </si>
  <si>
    <t>（指用于广播电台、电视台、电影厂、报社、杂志社、通讯社、出版社等的用地）、</t>
    <phoneticPr fontId="129" type="noConversion"/>
  </si>
  <si>
    <t>机关团体用地</t>
    <phoneticPr fontId="129" type="noConversion"/>
  </si>
  <si>
    <t>（指用于党政机关、社会团体、群众自治组织等的用地）</t>
    <phoneticPr fontId="129" type="noConversion"/>
  </si>
  <si>
    <t>医卫慈善用地</t>
    <phoneticPr fontId="129" type="noConversion"/>
  </si>
  <si>
    <t>（指用于医疗保健、卫生防疫、急救康复、医检药检、福利救助、养老设施等的用地）</t>
    <phoneticPr fontId="129" type="noConversion"/>
  </si>
  <si>
    <t>文体娱乐用地</t>
    <phoneticPr fontId="129" type="noConversion"/>
  </si>
  <si>
    <t>（指各类文化、体育及公共广场用地）</t>
    <phoneticPr fontId="129" type="noConversion"/>
  </si>
  <si>
    <t>产业用地</t>
    <phoneticPr fontId="129" type="noConversion"/>
  </si>
  <si>
    <t>（指高新技术产业研发与展示中心等产业用地）</t>
    <phoneticPr fontId="129" type="noConversion"/>
  </si>
  <si>
    <t>居住</t>
    <phoneticPr fontId="129" type="noConversion"/>
  </si>
  <si>
    <t>居住用地（指二类居住用地）</t>
    <phoneticPr fontId="129" type="noConversion"/>
  </si>
  <si>
    <t>（指二类居住用地（地上容积率≥１。）</t>
    <phoneticPr fontId="129" type="noConversion"/>
  </si>
  <si>
    <t>居住用地（指一类居住用地）</t>
    <phoneticPr fontId="129" type="noConversion"/>
  </si>
  <si>
    <t>（指一类居住用地（地上容积率＜１。）</t>
    <phoneticPr fontId="129" type="noConversion"/>
  </si>
  <si>
    <t>工业用地</t>
    <phoneticPr fontId="129" type="noConversion"/>
  </si>
  <si>
    <t>（指工业生产及直接为工业生产服务的附属设施用地）</t>
    <phoneticPr fontId="129" type="noConversion"/>
  </si>
  <si>
    <t>采矿用地</t>
    <phoneticPr fontId="129" type="noConversion"/>
  </si>
  <si>
    <t>（指采矿、采石、采砂（沙）场，盐田，砖瓦窑等地面生产设施及尾矿堆放地）</t>
    <phoneticPr fontId="129" type="noConversion"/>
  </si>
  <si>
    <t>仓储用地</t>
    <phoneticPr fontId="129" type="noConversion"/>
  </si>
  <si>
    <t>（指用于物资储备、中转的物流仓储场所等用地）</t>
    <phoneticPr fontId="129" type="noConversion"/>
  </si>
  <si>
    <t>公共设施用地</t>
    <phoneticPr fontId="129" type="noConversion"/>
  </si>
  <si>
    <t>（指用于城乡基础设施的用地，包括给排水、供电、供热、供气、邮政、电信、消防、环卫、公用设施维修等用地。）</t>
    <phoneticPr fontId="129" type="noConversion"/>
  </si>
  <si>
    <t>交通用地</t>
    <phoneticPr fontId="129" type="noConversion"/>
  </si>
  <si>
    <t>（指铁路用地、公路用地、机场用地、管道运输用地等，包括铁路、公路、机场、管道运输的地面线路、站场等用地以及城市道路、车站及其相应附属设施用地）</t>
    <phoneticPr fontId="129" type="noConversion"/>
  </si>
  <si>
    <t>备注：本用途修正系数仅适用于地上部分各类用途的修正，地下空间部分不适用上表中的用途修正，直接使用地下空间修正</t>
    <phoneticPr fontId="129" type="noConversion"/>
  </si>
  <si>
    <t>地下</t>
    <phoneticPr fontId="129" type="noConversion"/>
  </si>
  <si>
    <t>地下仓储</t>
    <phoneticPr fontId="129" type="noConversion"/>
  </si>
  <si>
    <t>车库</t>
    <phoneticPr fontId="129" type="noConversion"/>
  </si>
  <si>
    <t>—</t>
    <phoneticPr fontId="129" type="noConversion"/>
  </si>
  <si>
    <t>北京市商业路线价加价幅度表</t>
    <phoneticPr fontId="129" type="noConversion"/>
  </si>
  <si>
    <t>序号</t>
    <phoneticPr fontId="129" type="noConversion"/>
  </si>
  <si>
    <t>区县</t>
    <phoneticPr fontId="129" type="noConversion"/>
  </si>
  <si>
    <t>商业街名称</t>
    <phoneticPr fontId="129" type="noConversion"/>
  </si>
  <si>
    <t>起止点</t>
    <phoneticPr fontId="129" type="noConversion"/>
  </si>
  <si>
    <t>加价幅度</t>
    <phoneticPr fontId="129" type="noConversion"/>
  </si>
  <si>
    <t>标准深度（m）</t>
    <phoneticPr fontId="129" type="noConversion"/>
  </si>
  <si>
    <t>东城区</t>
    <phoneticPr fontId="129" type="noConversion"/>
  </si>
  <si>
    <t>东长安街</t>
    <phoneticPr fontId="129" type="noConversion"/>
  </si>
  <si>
    <t>天安门——东单</t>
    <phoneticPr fontId="129" type="noConversion"/>
  </si>
  <si>
    <t>建国门内大街</t>
    <phoneticPr fontId="129" type="noConversion"/>
  </si>
  <si>
    <t>建国门——东单</t>
    <phoneticPr fontId="129" type="noConversion"/>
  </si>
  <si>
    <t>王府井商业街</t>
    <phoneticPr fontId="129" type="noConversion"/>
  </si>
  <si>
    <t>东长安街——五四大街</t>
    <phoneticPr fontId="129" type="noConversion"/>
  </si>
  <si>
    <t>东单北大街</t>
    <phoneticPr fontId="129" type="noConversion"/>
  </si>
  <si>
    <t>金鱼胡同——东单路口</t>
    <phoneticPr fontId="129" type="noConversion"/>
  </si>
  <si>
    <t>东四南大街</t>
    <phoneticPr fontId="129" type="noConversion"/>
  </si>
  <si>
    <t>东四路口——金鱼胡同</t>
    <phoneticPr fontId="129" type="noConversion"/>
  </si>
  <si>
    <t>东直门内大街      （簋街）</t>
    <phoneticPr fontId="129" type="noConversion"/>
  </si>
  <si>
    <t>东直门桥——北新桥</t>
    <phoneticPr fontId="129" type="noConversion"/>
  </si>
  <si>
    <t>北京站东街</t>
    <phoneticPr fontId="129" type="noConversion"/>
  </si>
  <si>
    <t>建国门南大街——北京站</t>
    <phoneticPr fontId="129" type="noConversion"/>
  </si>
  <si>
    <t>北京站街</t>
    <phoneticPr fontId="129" type="noConversion"/>
  </si>
  <si>
    <t>建国门内大街——北京站</t>
    <phoneticPr fontId="129" type="noConversion"/>
  </si>
  <si>
    <t>东四十条</t>
    <phoneticPr fontId="129" type="noConversion"/>
  </si>
  <si>
    <t>东四十条桥——东四北大街</t>
    <phoneticPr fontId="129" type="noConversion"/>
  </si>
  <si>
    <t>张自忠路</t>
    <phoneticPr fontId="129" type="noConversion"/>
  </si>
  <si>
    <t>东四北大街——交道口南大街</t>
    <phoneticPr fontId="129" type="noConversion"/>
  </si>
  <si>
    <t>地安门东大街</t>
    <phoneticPr fontId="129" type="noConversion"/>
  </si>
  <si>
    <t>交道口南大街——地安门外大街</t>
    <phoneticPr fontId="129" type="noConversion"/>
  </si>
  <si>
    <t>前门商业街</t>
    <phoneticPr fontId="129" type="noConversion"/>
  </si>
  <si>
    <t>前门箭楼——珠市口</t>
    <phoneticPr fontId="129" type="noConversion"/>
  </si>
  <si>
    <t>崇外商业街</t>
    <phoneticPr fontId="129" type="noConversion"/>
  </si>
  <si>
    <t>崇文门——磁器口</t>
    <phoneticPr fontId="129" type="noConversion"/>
  </si>
  <si>
    <t>广渠门内大街</t>
    <phoneticPr fontId="129" type="noConversion"/>
  </si>
  <si>
    <t>广渠门——磁器口</t>
    <phoneticPr fontId="129" type="noConversion"/>
  </si>
  <si>
    <t>珠市口东大街</t>
    <phoneticPr fontId="129" type="noConversion"/>
  </si>
  <si>
    <t>磁器口——珠市口</t>
    <phoneticPr fontId="129" type="noConversion"/>
  </si>
  <si>
    <t>西城区</t>
    <phoneticPr fontId="129" type="noConversion"/>
  </si>
  <si>
    <t>西长安街</t>
    <phoneticPr fontId="129" type="noConversion"/>
  </si>
  <si>
    <t>天安门——西单</t>
    <phoneticPr fontId="129" type="noConversion"/>
  </si>
  <si>
    <t>复兴门内大街</t>
    <phoneticPr fontId="129" type="noConversion"/>
  </si>
  <si>
    <t>西单——复兴门</t>
    <phoneticPr fontId="129" type="noConversion"/>
  </si>
  <si>
    <t>复兴门外大街</t>
    <phoneticPr fontId="129" type="noConversion"/>
  </si>
  <si>
    <t>复兴门——木樨地</t>
    <phoneticPr fontId="129" type="noConversion"/>
  </si>
  <si>
    <t>西单商业街</t>
    <phoneticPr fontId="129" type="noConversion"/>
  </si>
  <si>
    <t>西单——辟才胡同</t>
    <phoneticPr fontId="129" type="noConversion"/>
  </si>
  <si>
    <t>西四商业街</t>
    <phoneticPr fontId="129" type="noConversion"/>
  </si>
  <si>
    <t>辟才胡同——平安里</t>
    <phoneticPr fontId="129" type="noConversion"/>
  </si>
  <si>
    <t>新街口商业街</t>
    <phoneticPr fontId="129" type="noConversion"/>
  </si>
  <si>
    <t>平安里——积水潭桥</t>
    <phoneticPr fontId="129" type="noConversion"/>
  </si>
  <si>
    <t>双旗杆西街       （福利特商业街）</t>
    <phoneticPr fontId="129" type="noConversion"/>
  </si>
  <si>
    <t>北三环中路——黄寺大街</t>
    <phoneticPr fontId="129" type="noConversion"/>
  </si>
  <si>
    <t>地安门西大街</t>
    <phoneticPr fontId="129" type="noConversion"/>
  </si>
  <si>
    <t>地安门外大街——新街口南大街</t>
    <phoneticPr fontId="129" type="noConversion"/>
  </si>
  <si>
    <t>平安里西大街</t>
    <phoneticPr fontId="129" type="noConversion"/>
  </si>
  <si>
    <t>新街口南大街——车公庄</t>
    <phoneticPr fontId="129" type="noConversion"/>
  </si>
  <si>
    <t>大栅栏商业街</t>
    <phoneticPr fontId="129" type="noConversion"/>
  </si>
  <si>
    <t>前门大街——煤市街</t>
    <phoneticPr fontId="129" type="noConversion"/>
  </si>
  <si>
    <t>珠市口西大街</t>
    <phoneticPr fontId="129" type="noConversion"/>
  </si>
  <si>
    <t>珠市口——南新华街</t>
    <phoneticPr fontId="129" type="noConversion"/>
  </si>
  <si>
    <t>骡马市大街</t>
    <phoneticPr fontId="129" type="noConversion"/>
  </si>
  <si>
    <t>南新华街——菜市口</t>
    <phoneticPr fontId="129" type="noConversion"/>
  </si>
  <si>
    <t>广安门内大街</t>
    <phoneticPr fontId="129" type="noConversion"/>
  </si>
  <si>
    <t>菜市口——广安门桥</t>
    <phoneticPr fontId="129" type="noConversion"/>
  </si>
  <si>
    <t>宣武门外大街</t>
    <phoneticPr fontId="129" type="noConversion"/>
  </si>
  <si>
    <t>宣武门——菜市口</t>
    <phoneticPr fontId="129" type="noConversion"/>
  </si>
  <si>
    <t>菜市口大街</t>
    <phoneticPr fontId="129" type="noConversion"/>
  </si>
  <si>
    <t>菜市口——开阳桥</t>
    <phoneticPr fontId="129" type="noConversion"/>
  </si>
  <si>
    <t>马连道路</t>
    <phoneticPr fontId="129" type="noConversion"/>
  </si>
  <si>
    <t>广安门外大街——红莲南路</t>
    <phoneticPr fontId="129" type="noConversion"/>
  </si>
  <si>
    <t>朝阳区</t>
    <phoneticPr fontId="129" type="noConversion"/>
  </si>
  <si>
    <t>朝外商业街</t>
    <phoneticPr fontId="129" type="noConversion"/>
  </si>
  <si>
    <t>朝阳门——东大桥</t>
    <phoneticPr fontId="129" type="noConversion"/>
  </si>
  <si>
    <t>安立路</t>
    <phoneticPr fontId="129" type="noConversion"/>
  </si>
  <si>
    <t>安慧桥——慧忠北路</t>
    <phoneticPr fontId="129" type="noConversion"/>
  </si>
  <si>
    <t>三里屯路</t>
    <phoneticPr fontId="129" type="noConversion"/>
  </si>
  <si>
    <t>工人体育场北路——东直门外大街</t>
    <phoneticPr fontId="129" type="noConversion"/>
  </si>
  <si>
    <t>秀水街</t>
    <phoneticPr fontId="129" type="noConversion"/>
  </si>
  <si>
    <t>建国门外大街——光华路</t>
    <phoneticPr fontId="129" type="noConversion"/>
  </si>
  <si>
    <t>大羊坊路         （十里河建材商业街）</t>
    <phoneticPr fontId="129" type="noConversion"/>
  </si>
  <si>
    <t>十里河桥——小武基路</t>
    <phoneticPr fontId="129" type="noConversion"/>
  </si>
  <si>
    <t>建国门外大街</t>
    <phoneticPr fontId="129" type="noConversion"/>
  </si>
  <si>
    <t>建国门桥——国贸桥</t>
    <phoneticPr fontId="129" type="noConversion"/>
  </si>
  <si>
    <t>建国路</t>
    <phoneticPr fontId="129" type="noConversion"/>
  </si>
  <si>
    <t>国贸桥——西大望路</t>
    <phoneticPr fontId="129" type="noConversion"/>
  </si>
  <si>
    <t>海淀区</t>
    <phoneticPr fontId="129" type="noConversion"/>
  </si>
  <si>
    <t>中关村大街</t>
    <phoneticPr fontId="129" type="noConversion"/>
  </si>
  <si>
    <t>海淀南路——北四环</t>
    <phoneticPr fontId="129" type="noConversion"/>
  </si>
  <si>
    <t>复兴路</t>
    <phoneticPr fontId="129" type="noConversion"/>
  </si>
  <si>
    <t>木樨地——万寿路</t>
    <phoneticPr fontId="129" type="noConversion"/>
  </si>
  <si>
    <t>海淀中路</t>
    <phoneticPr fontId="129" type="noConversion"/>
  </si>
  <si>
    <t>丰台区</t>
    <phoneticPr fontId="129" type="noConversion"/>
  </si>
  <si>
    <t>蒲芳路、紫芳路    （方庄商业街）</t>
    <phoneticPr fontId="129" type="noConversion"/>
  </si>
  <si>
    <t>蒲黄榆路——方庄东路</t>
    <phoneticPr fontId="129" type="noConversion"/>
  </si>
  <si>
    <t>石景山区</t>
    <phoneticPr fontId="129" type="noConversion"/>
  </si>
  <si>
    <t>石景山路</t>
    <phoneticPr fontId="129" type="noConversion"/>
  </si>
  <si>
    <t>八宝山——八角桥</t>
    <phoneticPr fontId="129" type="noConversion"/>
  </si>
  <si>
    <t>门头沟区</t>
    <phoneticPr fontId="129" type="noConversion"/>
  </si>
  <si>
    <t>新桥大街</t>
    <phoneticPr fontId="129" type="noConversion"/>
  </si>
  <si>
    <t>门头沟路——双峪路</t>
    <phoneticPr fontId="129" type="noConversion"/>
  </si>
  <si>
    <t>房山区</t>
    <phoneticPr fontId="129" type="noConversion"/>
  </si>
  <si>
    <t>南关大街</t>
    <phoneticPr fontId="129" type="noConversion"/>
  </si>
  <si>
    <t>房山东大街——南关立交桥</t>
    <phoneticPr fontId="129" type="noConversion"/>
  </si>
  <si>
    <t>拱辰大街</t>
    <phoneticPr fontId="129" type="noConversion"/>
  </si>
  <si>
    <t>良乡中路——月华大街</t>
    <phoneticPr fontId="129" type="noConversion"/>
  </si>
  <si>
    <t>通州区</t>
    <phoneticPr fontId="129" type="noConversion"/>
  </si>
  <si>
    <t>新华大街</t>
    <phoneticPr fontId="129" type="noConversion"/>
  </si>
  <si>
    <t>车站路——通惠南路</t>
    <phoneticPr fontId="129" type="noConversion"/>
  </si>
  <si>
    <t>云景东路</t>
    <phoneticPr fontId="129" type="noConversion"/>
  </si>
  <si>
    <t>地铁八通线——云景南大街</t>
    <phoneticPr fontId="129" type="noConversion"/>
  </si>
  <si>
    <t>顺义区</t>
    <phoneticPr fontId="129" type="noConversion"/>
  </si>
  <si>
    <t>新顺大街</t>
    <phoneticPr fontId="129" type="noConversion"/>
  </si>
  <si>
    <t>幸福西街——站前街</t>
    <phoneticPr fontId="129" type="noConversion"/>
  </si>
  <si>
    <t>大兴区</t>
    <phoneticPr fontId="129" type="noConversion"/>
  </si>
  <si>
    <t>兴华大街</t>
    <phoneticPr fontId="129" type="noConversion"/>
  </si>
  <si>
    <t>金星西路——黄村火车站</t>
    <phoneticPr fontId="129" type="noConversion"/>
  </si>
  <si>
    <t>昌平区</t>
    <phoneticPr fontId="129" type="noConversion"/>
  </si>
  <si>
    <t>回龙观西大街</t>
    <phoneticPr fontId="129" type="noConversion"/>
  </si>
  <si>
    <t>京藏高速公路——文华西路</t>
    <phoneticPr fontId="129" type="noConversion"/>
  </si>
  <si>
    <t>鼓楼东、西街</t>
    <phoneticPr fontId="129" type="noConversion"/>
  </si>
  <si>
    <t>东环路——西环路</t>
    <phoneticPr fontId="129" type="noConversion"/>
  </si>
  <si>
    <t>鼓楼南、北街</t>
    <phoneticPr fontId="129" type="noConversion"/>
  </si>
  <si>
    <t>北环路——府学路</t>
    <phoneticPr fontId="129" type="noConversion"/>
  </si>
  <si>
    <t>平谷区</t>
    <phoneticPr fontId="129" type="noConversion"/>
  </si>
  <si>
    <t>步行街</t>
    <phoneticPr fontId="129" type="noConversion"/>
  </si>
  <si>
    <t>文化北街——向阳北街</t>
    <phoneticPr fontId="129" type="noConversion"/>
  </si>
  <si>
    <t>怀柔区</t>
    <phoneticPr fontId="129" type="noConversion"/>
  </si>
  <si>
    <t>商业街</t>
    <phoneticPr fontId="129" type="noConversion"/>
  </si>
  <si>
    <t>迎宾路——青春路</t>
    <phoneticPr fontId="129" type="noConversion"/>
  </si>
  <si>
    <t>密云县</t>
    <phoneticPr fontId="129" type="noConversion"/>
  </si>
  <si>
    <t>鼓楼东、西大街</t>
    <phoneticPr fontId="129" type="noConversion"/>
  </si>
  <si>
    <t>新中街——南更道</t>
    <phoneticPr fontId="129" type="noConversion"/>
  </si>
  <si>
    <t>鼓楼大街</t>
    <phoneticPr fontId="129" type="noConversion"/>
  </si>
  <si>
    <t>西大桥路——康复路</t>
    <phoneticPr fontId="129" type="noConversion"/>
  </si>
  <si>
    <t>延庆县</t>
    <phoneticPr fontId="129" type="noConversion"/>
  </si>
  <si>
    <t>东外大街</t>
    <phoneticPr fontId="129" type="noConversion"/>
  </si>
  <si>
    <t>香苑街——东顺城街</t>
    <phoneticPr fontId="129" type="noConversion"/>
  </si>
  <si>
    <t>不临58条商业街</t>
    <phoneticPr fontId="129" type="noConversion"/>
  </si>
  <si>
    <t>北京市基准地价商业用途楼层修正系数表</t>
    <phoneticPr fontId="129" type="noConversion"/>
  </si>
  <si>
    <t>所在楼层</t>
    <phoneticPr fontId="129" type="noConversion"/>
  </si>
  <si>
    <t>楼层修正系数</t>
    <phoneticPr fontId="129" type="noConversion"/>
  </si>
  <si>
    <t>7层及以上</t>
    <phoneticPr fontId="129" type="noConversion"/>
  </si>
  <si>
    <r>
      <t>商业R</t>
    </r>
    <r>
      <rPr>
        <sz val="10"/>
        <color indexed="8"/>
        <rFont val="宋体"/>
        <family val="3"/>
        <charset val="134"/>
      </rPr>
      <t>&lt;1</t>
    </r>
    <phoneticPr fontId="129" type="noConversion"/>
  </si>
  <si>
    <t>地上第7层及以上各层</t>
    <phoneticPr fontId="129" type="noConversion"/>
  </si>
  <si>
    <t>说明：R为宗地地上容积率</t>
    <phoneticPr fontId="129" type="noConversion"/>
  </si>
  <si>
    <t>基准地价</t>
    <phoneticPr fontId="18" type="noConversion"/>
  </si>
  <si>
    <t>*</t>
    <phoneticPr fontId="18" type="noConversion"/>
  </si>
  <si>
    <t>无</t>
    <phoneticPr fontId="128" type="noConversion"/>
  </si>
  <si>
    <t>二级分类</t>
    <phoneticPr fontId="129" type="noConversion"/>
  </si>
  <si>
    <t>办公</t>
    <phoneticPr fontId="7" type="noConversion"/>
  </si>
  <si>
    <t>自定义容积率</t>
    <phoneticPr fontId="7" type="noConversion"/>
  </si>
  <si>
    <t>典型户型修正</t>
    <phoneticPr fontId="33" type="noConversion"/>
  </si>
  <si>
    <t>基准地价</t>
    <phoneticPr fontId="33"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</si>
  <si>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3" type="noConversion"/>
  </si>
  <si>
    <t>区片价</t>
    <phoneticPr fontId="33" type="noConversion"/>
  </si>
  <si>
    <t>容积率修正</t>
    <phoneticPr fontId="33" type="noConversion"/>
  </si>
  <si>
    <t>修正</t>
    <phoneticPr fontId="33" type="noConversion"/>
  </si>
  <si>
    <t>基准地价系数修正法</t>
    <phoneticPr fontId="33" type="noConversion"/>
  </si>
  <si>
    <t>居住社区成熟度</t>
  </si>
  <si>
    <t>产业集聚程度</t>
  </si>
  <si>
    <t>交通便捷度</t>
  </si>
  <si>
    <t>自然及人文环境</t>
  </si>
  <si>
    <t>区位状况</t>
    <phoneticPr fontId="29" type="noConversion"/>
  </si>
  <si>
    <t>区位状况</t>
    <phoneticPr fontId="25" type="noConversion"/>
  </si>
  <si>
    <t>区域土地利用方向</t>
  </si>
  <si>
    <t>自然及人文环境状况</t>
  </si>
  <si>
    <t>临街状况</t>
  </si>
  <si>
    <t>毗邻道路的类型与等级</t>
  </si>
  <si>
    <t>房地产修正因素</t>
    <phoneticPr fontId="7" type="noConversion"/>
  </si>
  <si>
    <t>住宅、办公及商业</t>
    <phoneticPr fontId="28" type="noConversion"/>
  </si>
  <si>
    <t>工业</t>
    <phoneticPr fontId="28" type="noConversion"/>
  </si>
  <si>
    <t>区位状况</t>
    <phoneticPr fontId="25" type="noConversion"/>
  </si>
  <si>
    <t>商业繁华度</t>
    <phoneticPr fontId="29" type="noConversion"/>
  </si>
  <si>
    <t>交通便捷度</t>
    <phoneticPr fontId="29" type="noConversion"/>
  </si>
  <si>
    <t>办公集聚程度</t>
    <phoneticPr fontId="29" type="noConversion"/>
  </si>
  <si>
    <t>环境状况</t>
    <phoneticPr fontId="29" type="noConversion"/>
  </si>
  <si>
    <t>毗邻道路的类型与等级</t>
    <phoneticPr fontId="29" type="noConversion"/>
  </si>
  <si>
    <t>土地修正因素</t>
    <phoneticPr fontId="7" type="noConversion"/>
  </si>
  <si>
    <t>产业集聚程度</t>
    <phoneticPr fontId="29" type="noConversion"/>
  </si>
  <si>
    <t>区域土地利用方向</t>
    <phoneticPr fontId="29" type="noConversion"/>
  </si>
  <si>
    <t>土地级别</t>
    <phoneticPr fontId="29" type="noConversion"/>
  </si>
  <si>
    <t>相差季度数</t>
    <phoneticPr fontId="128"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</si>
  <si>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</si>
  <si>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</si>
  <si>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</si>
  <si>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</si>
  <si>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</si>
  <si>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</si>
  <si>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8" type="noConversion"/>
  </si>
  <si>
    <t>楼面地价</t>
    <phoneticPr fontId="19" type="noConversion"/>
  </si>
  <si>
    <t>楼面地价</t>
    <phoneticPr fontId="19" type="noConversion"/>
  </si>
  <si>
    <t>楼面地价</t>
    <phoneticPr fontId="19" type="noConversion"/>
  </si>
  <si>
    <t>楼面地价</t>
    <phoneticPr fontId="129" type="noConversion"/>
  </si>
  <si>
    <r>
      <rPr>
        <b/>
        <sz val="11"/>
        <color indexed="8"/>
        <rFont val="仿宋_GB2312"/>
        <family val="3"/>
        <charset val="134"/>
      </rPr>
      <t>总价</t>
    </r>
    <phoneticPr fontId="13" type="noConversion"/>
  </si>
  <si>
    <r>
      <rPr>
        <b/>
        <sz val="10"/>
        <color indexed="8"/>
        <rFont val="仿宋_GB2312"/>
        <family val="3"/>
        <charset val="134"/>
      </rPr>
      <t>万元</t>
    </r>
    <phoneticPr fontId="13" type="noConversion"/>
  </si>
  <si>
    <r>
      <rPr>
        <b/>
        <sz val="11"/>
        <color indexed="8"/>
        <rFont val="仿宋_GB2312"/>
        <family val="3"/>
        <charset val="134"/>
      </rPr>
      <t>楼面地价</t>
    </r>
    <phoneticPr fontId="13"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</si>
  <si>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3" type="noConversion"/>
  </si>
  <si>
    <r>
      <rPr>
        <b/>
        <sz val="11"/>
        <color indexed="8"/>
        <rFont val="仿宋_GB2312"/>
        <family val="3"/>
        <charset val="134"/>
      </rPr>
      <t>单位面积地价</t>
    </r>
    <phoneticPr fontId="13"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</si>
  <si>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2" type="noConversion"/>
  </si>
  <si>
    <r>
      <rPr>
        <b/>
        <sz val="16"/>
        <color indexed="10"/>
        <rFont val="仿宋_GB2312"/>
        <family val="3"/>
        <charset val="134"/>
      </rPr>
      <t>基准地价系数修正法</t>
    </r>
    <phoneticPr fontId="129" type="noConversion"/>
  </si>
  <si>
    <r>
      <rPr>
        <sz val="10"/>
        <color indexed="10"/>
        <rFont val="仿宋_GB2312"/>
        <family val="3"/>
        <charset val="134"/>
      </rPr>
      <t>依据《北京市区片基准地价表》，能否通过用途和级别筛选？</t>
    </r>
    <phoneticPr fontId="129" type="noConversion"/>
  </si>
  <si>
    <r>
      <rPr>
        <sz val="10"/>
        <color indexed="8"/>
        <rFont val="仿宋_GB2312"/>
        <family val="3"/>
        <charset val="134"/>
      </rPr>
      <t>特殊情况</t>
    </r>
    <phoneticPr fontId="129" type="noConversion"/>
  </si>
  <si>
    <r>
      <rPr>
        <sz val="10"/>
        <color indexed="8"/>
        <rFont val="仿宋_GB2312"/>
        <family val="3"/>
        <charset val="134"/>
      </rPr>
      <t>公园</t>
    </r>
    <phoneticPr fontId="129" type="noConversion"/>
  </si>
  <si>
    <r>
      <rPr>
        <sz val="10"/>
        <color indexed="8"/>
        <rFont val="仿宋_GB2312"/>
        <family val="3"/>
        <charset val="134"/>
      </rPr>
      <t>水系</t>
    </r>
    <phoneticPr fontId="129" type="noConversion"/>
  </si>
  <si>
    <r>
      <rPr>
        <sz val="10"/>
        <color indexed="8"/>
        <rFont val="仿宋_GB2312"/>
        <family val="3"/>
        <charset val="134"/>
      </rPr>
      <t>中小学名校</t>
    </r>
    <phoneticPr fontId="129" type="noConversion"/>
  </si>
  <si>
    <r>
      <rPr>
        <sz val="10"/>
        <color indexed="8"/>
        <rFont val="仿宋_GB2312"/>
        <family val="3"/>
        <charset val="134"/>
      </rPr>
      <t>修正系数</t>
    </r>
    <phoneticPr fontId="129"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</si>
  <si>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9" type="noConversion"/>
  </si>
  <si>
    <r>
      <t>R</t>
    </r>
    <r>
      <rPr>
        <sz val="11"/>
        <rFont val="仿宋_GB2312"/>
        <family val="3"/>
        <charset val="134"/>
      </rPr>
      <t>≤</t>
    </r>
    <r>
      <rPr>
        <sz val="11"/>
        <rFont val="Arial"/>
        <family val="2"/>
      </rPr>
      <t>10</t>
    </r>
    <phoneticPr fontId="129" type="noConversion"/>
  </si>
  <si>
    <r>
      <rPr>
        <sz val="10"/>
        <rFont val="仿宋_GB2312"/>
        <family val="3"/>
        <charset val="134"/>
      </rPr>
      <t>政府土地出让收益比例</t>
    </r>
    <phoneticPr fontId="129" type="noConversion"/>
  </si>
  <si>
    <r>
      <rPr>
        <sz val="10"/>
        <rFont val="仿宋_GB2312"/>
        <family val="3"/>
        <charset val="134"/>
      </rPr>
      <t>工业</t>
    </r>
    <phoneticPr fontId="129"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</si>
  <si>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9" type="noConversion"/>
  </si>
  <si>
    <t>土地级别</t>
    <phoneticPr fontId="10" type="noConversion"/>
  </si>
  <si>
    <t>区片编号</t>
    <phoneticPr fontId="10" type="noConversion"/>
  </si>
  <si>
    <t>土地级别</t>
    <phoneticPr fontId="18" type="noConversion"/>
  </si>
  <si>
    <t>一级</t>
    <phoneticPr fontId="18" type="noConversion"/>
  </si>
  <si>
    <t>二级</t>
    <phoneticPr fontId="18" type="noConversion"/>
  </si>
  <si>
    <t>三级</t>
    <phoneticPr fontId="18" type="noConversion"/>
  </si>
  <si>
    <t>四级</t>
    <phoneticPr fontId="18" type="noConversion"/>
  </si>
  <si>
    <t>五级</t>
    <phoneticPr fontId="18" type="noConversion"/>
  </si>
  <si>
    <t>六级</t>
    <phoneticPr fontId="18" type="noConversion"/>
  </si>
  <si>
    <t>七级</t>
    <phoneticPr fontId="18" type="noConversion"/>
  </si>
  <si>
    <t>八级</t>
    <phoneticPr fontId="18" type="noConversion"/>
  </si>
  <si>
    <t>九级</t>
    <phoneticPr fontId="18" type="noConversion"/>
  </si>
  <si>
    <t>十级</t>
    <phoneticPr fontId="18" type="noConversion"/>
  </si>
  <si>
    <t>十一级</t>
    <phoneticPr fontId="18" type="noConversion"/>
  </si>
  <si>
    <t>十二级</t>
    <phoneticPr fontId="18" type="noConversion"/>
  </si>
  <si>
    <t>北京市</t>
    <phoneticPr fontId="10" type="noConversion"/>
  </si>
  <si>
    <t>北京市</t>
    <phoneticPr fontId="135" type="noConversion"/>
  </si>
  <si>
    <t>外省市地下修正系数请自行录入</t>
    <phoneticPr fontId="135" type="noConversion"/>
  </si>
  <si>
    <t>北京市系数</t>
  </si>
  <si>
    <r>
      <rPr>
        <b/>
        <sz val="16"/>
        <color indexed="10"/>
        <rFont val="仿宋_GB2312"/>
        <family val="3"/>
        <charset val="134"/>
      </rPr>
      <t>收益法</t>
    </r>
    <r>
      <rPr>
        <b/>
        <sz val="12"/>
        <rFont val="仿宋_GB2312"/>
        <family val="3"/>
        <charset val="134"/>
      </rPr>
      <t>（无租约及租期内）</t>
    </r>
    <phoneticPr fontId="7"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</si>
  <si>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</si>
  <si>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</si>
  <si>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</si>
  <si>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</si>
  <si>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</si>
  <si>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取费标准</t>
    </r>
    <phoneticPr fontId="7"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</si>
  <si>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</si>
  <si>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</si>
  <si>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</si>
  <si>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</si>
  <si>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</si>
  <si>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</si>
  <si>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</si>
  <si>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</si>
  <si>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</si>
  <si>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</si>
  <si>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</si>
  <si>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</si>
  <si>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</si>
  <si>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</si>
  <si>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</si>
  <si>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</si>
  <si>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t>3</t>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</si>
  <si>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</si>
  <si>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</si>
  <si>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</si>
  <si>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</si>
  <si>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</si>
  <si>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</si>
  <si>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</si>
  <si>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</si>
  <si>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</si>
  <si>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</si>
  <si>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</si>
  <si>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</si>
  <si>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</si>
  <si>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</si>
  <si>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</si>
  <si>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t>——</t>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</si>
  <si>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</si>
  <si>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</si>
  <si>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</si>
  <si>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</si>
  <si>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</si>
  <si>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</si>
  <si>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</si>
  <si>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</si>
  <si>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</si>
  <si>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</si>
  <si>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</si>
  <si>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t>4</t>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</si>
  <si>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</si>
  <si>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</si>
  <si>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</si>
  <si>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t>5</t>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</si>
  <si>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</si>
  <si>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</si>
  <si>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</si>
  <si>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</si>
  <si>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</si>
  <si>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年增长比率</t>
    </r>
    <r>
      <rPr>
        <sz val="10"/>
        <color indexed="8"/>
        <rFont val="Arial"/>
        <family val="2"/>
      </rPr>
      <t>(g)</t>
    </r>
    <phoneticPr fontId="7" type="noConversion"/>
  </si>
  <si>
    <t>6</t>
    <phoneticPr fontId="7" type="noConversion"/>
  </si>
  <si>
    <r>
      <rPr>
        <b/>
        <sz val="10"/>
        <color indexed="8"/>
        <rFont val="仿宋_GB2312"/>
        <family val="3"/>
        <charset val="134"/>
      </rPr>
      <t>折现价值</t>
    </r>
    <phoneticPr fontId="7"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</si>
  <si>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</si>
  <si>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</si>
  <si>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</si>
  <si>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</si>
  <si>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20"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</si>
  <si>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</si>
  <si>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</si>
  <si>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</si>
  <si>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房产税</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</si>
  <si>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</si>
  <si>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</si>
  <si>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</si>
  <si>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</si>
  <si>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</si>
  <si>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</si>
  <si>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</si>
  <si>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</si>
  <si>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</si>
  <si>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房地产未来第一年净收益</t>
    </r>
    <r>
      <rPr>
        <sz val="10"/>
        <color indexed="8"/>
        <rFont val="Arial"/>
        <family val="2"/>
      </rPr>
      <t>×</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</si>
  <si>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0" type="noConversion"/>
  </si>
  <si>
    <r>
      <rPr>
        <sz val="10"/>
        <color indexed="8"/>
        <rFont val="仿宋_GB2312"/>
        <family val="3"/>
        <charset val="134"/>
      </rPr>
      <t>年增长比率</t>
    </r>
    <r>
      <rPr>
        <sz val="10"/>
        <color indexed="8"/>
        <rFont val="Arial"/>
        <family val="2"/>
      </rPr>
      <t>(g)</t>
    </r>
    <phoneticPr fontId="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</si>
  <si>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7"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</si>
  <si>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</si>
  <si>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建筑面积（㎡）</t>
    </r>
    <phoneticPr fontId="7"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</si>
  <si>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7" type="noConversion"/>
  </si>
  <si>
    <r>
      <rPr>
        <sz val="10"/>
        <rFont val="仿宋_GB2312"/>
        <family val="3"/>
        <charset val="134"/>
      </rPr>
      <t>房屋年纯收益</t>
    </r>
    <phoneticPr fontId="7" type="noConversion"/>
  </si>
  <si>
    <r>
      <rPr>
        <sz val="10"/>
        <rFont val="仿宋_GB2312"/>
        <family val="3"/>
        <charset val="134"/>
      </rPr>
      <t>建筑物资本化率</t>
    </r>
    <phoneticPr fontId="7" type="noConversion"/>
  </si>
  <si>
    <r>
      <rPr>
        <b/>
        <sz val="10"/>
        <color indexed="8"/>
        <rFont val="仿宋_GB2312"/>
        <family val="3"/>
        <charset val="134"/>
      </rPr>
      <t>确定合理的建筑物与土地价值比例</t>
    </r>
    <phoneticPr fontId="7" type="noConversion"/>
  </si>
  <si>
    <r>
      <t>1.</t>
    </r>
    <r>
      <rPr>
        <b/>
        <sz val="10"/>
        <color indexed="10"/>
        <rFont val="仿宋_GB2312"/>
        <family val="3"/>
        <charset val="134"/>
      </rPr>
      <t>收益比率</t>
    </r>
    <phoneticPr fontId="7" type="noConversion"/>
  </si>
  <si>
    <r>
      <rPr>
        <sz val="10"/>
        <rFont val="仿宋_GB2312"/>
        <family val="3"/>
        <charset val="134"/>
      </rPr>
      <t>建筑物年收益比率</t>
    </r>
    <phoneticPr fontId="7" type="noConversion"/>
  </si>
  <si>
    <r>
      <rPr>
        <sz val="10"/>
        <rFont val="仿宋_GB2312"/>
        <family val="3"/>
        <charset val="134"/>
      </rPr>
      <t>土地年收益比率</t>
    </r>
    <phoneticPr fontId="7" type="noConversion"/>
  </si>
  <si>
    <r>
      <t>2.</t>
    </r>
    <r>
      <rPr>
        <b/>
        <sz val="10"/>
        <color indexed="10"/>
        <rFont val="仿宋_GB2312"/>
        <family val="3"/>
        <charset val="134"/>
      </rPr>
      <t>成本比率</t>
    </r>
    <phoneticPr fontId="7" type="noConversion"/>
  </si>
  <si>
    <r>
      <rPr>
        <sz val="10"/>
        <color indexed="8"/>
        <rFont val="仿宋_GB2312"/>
        <family val="3"/>
        <charset val="134"/>
      </rPr>
      <t>建筑物价值比率</t>
    </r>
    <phoneticPr fontId="7" type="noConversion"/>
  </si>
  <si>
    <r>
      <rPr>
        <sz val="10"/>
        <color indexed="8"/>
        <rFont val="仿宋_GB2312"/>
        <family val="3"/>
        <charset val="134"/>
      </rPr>
      <t>土地价值比率</t>
    </r>
    <phoneticPr fontId="7" type="noConversion"/>
  </si>
  <si>
    <t>1.</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</si>
  <si>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</si>
  <si>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</si>
  <si>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2.</t>
    <phoneticPr fontId="7" type="noConversion"/>
  </si>
  <si>
    <t>3.</t>
    <phoneticPr fontId="7" type="noConversion"/>
  </si>
  <si>
    <t>4.</t>
    <phoneticPr fontId="7" type="noConversion"/>
  </si>
  <si>
    <t>2.</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</si>
  <si>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</si>
  <si>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</si>
  <si>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</si>
  <si>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</si>
  <si>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</si>
  <si>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3.</t>
    <phoneticPr fontId="7" type="noConversion"/>
  </si>
  <si>
    <t>4.</t>
    <phoneticPr fontId="7" type="noConversion"/>
  </si>
  <si>
    <t>5.</t>
    <phoneticPr fontId="7" type="noConversion"/>
  </si>
  <si>
    <t>（3）</t>
    <phoneticPr fontId="7" type="noConversion"/>
  </si>
  <si>
    <t>（4）</t>
    <phoneticPr fontId="7" type="noConversion"/>
  </si>
  <si>
    <t>（5）</t>
    <phoneticPr fontId="7" type="noConversion"/>
  </si>
  <si>
    <t>（6）</t>
    <phoneticPr fontId="7" type="noConversion"/>
  </si>
  <si>
    <r>
      <t>1 .</t>
    </r>
    <r>
      <rPr>
        <b/>
        <sz val="12"/>
        <color indexed="8"/>
        <rFont val="仿宋_GB2312"/>
        <family val="3"/>
        <charset val="134"/>
      </rPr>
      <t>开发完成后不动产总价</t>
    </r>
    <phoneticPr fontId="18" type="noConversion"/>
  </si>
  <si>
    <r>
      <t>2 .</t>
    </r>
    <r>
      <rPr>
        <b/>
        <sz val="12"/>
        <color indexed="8"/>
        <rFont val="仿宋_GB2312"/>
        <family val="3"/>
        <charset val="134"/>
      </rPr>
      <t>扣减项</t>
    </r>
    <phoneticPr fontId="18" type="noConversion"/>
  </si>
  <si>
    <r>
      <t>3 .</t>
    </r>
    <r>
      <rPr>
        <b/>
        <sz val="11"/>
        <color indexed="8"/>
        <rFont val="仿宋_GB2312"/>
        <family val="3"/>
        <charset val="134"/>
      </rPr>
      <t>土地价格</t>
    </r>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</si>
  <si>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</si>
  <si>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</si>
  <si>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</si>
  <si>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t>1</t>
    </r>
    <r>
      <rPr>
        <sz val="10"/>
        <color indexed="8"/>
        <rFont val="宋体"/>
        <family val="3"/>
        <charset val="134"/>
      </rPr>
      <t>）</t>
    </r>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</si>
  <si>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</si>
  <si>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</si>
  <si>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</si>
  <si>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</si>
  <si>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9"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</si>
  <si>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</si>
  <si>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</si>
  <si>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9" type="noConversion"/>
  </si>
  <si>
    <r>
      <t>2</t>
    </r>
    <r>
      <rPr>
        <sz val="10"/>
        <color indexed="8"/>
        <rFont val="宋体"/>
        <family val="3"/>
        <charset val="134"/>
      </rPr>
      <t>）</t>
    </r>
    <phoneticPr fontId="19" type="noConversion"/>
  </si>
  <si>
    <r>
      <rPr>
        <b/>
        <sz val="11"/>
        <color indexed="8"/>
        <rFont val="宋体"/>
        <family val="3"/>
        <charset val="134"/>
      </rPr>
      <t>（</t>
    </r>
    <r>
      <rPr>
        <b/>
        <sz val="11"/>
        <color indexed="8"/>
        <rFont val="Arial"/>
        <family val="2"/>
      </rPr>
      <t>4</t>
    </r>
    <r>
      <rPr>
        <b/>
        <sz val="11"/>
        <color indexed="8"/>
        <rFont val="宋体"/>
        <family val="3"/>
        <charset val="134"/>
      </rPr>
      <t>）</t>
    </r>
    <phoneticPr fontId="19"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</si>
  <si>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</si>
  <si>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</si>
  <si>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9" type="noConversion"/>
  </si>
  <si>
    <r>
      <rPr>
        <b/>
        <sz val="11"/>
        <color indexed="8"/>
        <rFont val="宋体"/>
        <family val="3"/>
        <charset val="134"/>
      </rPr>
      <t>（</t>
    </r>
    <r>
      <rPr>
        <b/>
        <sz val="11"/>
        <color indexed="8"/>
        <rFont val="Arial"/>
        <family val="2"/>
      </rPr>
      <t>8</t>
    </r>
    <r>
      <rPr>
        <b/>
        <sz val="11"/>
        <color indexed="8"/>
        <rFont val="宋体"/>
        <family val="3"/>
        <charset val="134"/>
      </rPr>
      <t>）</t>
    </r>
    <phoneticPr fontId="19" type="noConversion"/>
  </si>
  <si>
    <r>
      <rPr>
        <b/>
        <sz val="11"/>
        <color indexed="8"/>
        <rFont val="宋体"/>
        <family val="3"/>
        <charset val="134"/>
      </rPr>
      <t>（</t>
    </r>
    <r>
      <rPr>
        <b/>
        <sz val="11"/>
        <color indexed="8"/>
        <rFont val="Arial"/>
        <family val="2"/>
      </rPr>
      <t>9</t>
    </r>
    <r>
      <rPr>
        <b/>
        <sz val="11"/>
        <color indexed="8"/>
        <rFont val="宋体"/>
        <family val="3"/>
        <charset val="134"/>
      </rPr>
      <t>）</t>
    </r>
    <phoneticPr fontId="19" type="noConversion"/>
  </si>
  <si>
    <r>
      <t xml:space="preserve">2. </t>
    </r>
    <r>
      <rPr>
        <b/>
        <sz val="12"/>
        <color indexed="8"/>
        <rFont val="仿宋_GB2312"/>
        <family val="3"/>
        <charset val="134"/>
      </rPr>
      <t>房屋现值</t>
    </r>
    <phoneticPr fontId="18" type="noConversion"/>
  </si>
  <si>
    <r>
      <t>3 .</t>
    </r>
    <r>
      <rPr>
        <b/>
        <sz val="11"/>
        <color indexed="8"/>
        <rFont val="仿宋_GB2312"/>
        <family val="3"/>
        <charset val="134"/>
      </rPr>
      <t>交易税费</t>
    </r>
    <phoneticPr fontId="45" type="noConversion"/>
  </si>
  <si>
    <r>
      <t xml:space="preserve">4. </t>
    </r>
    <r>
      <rPr>
        <b/>
        <sz val="11"/>
        <color indexed="8"/>
        <rFont val="仿宋_GB2312"/>
        <family val="3"/>
        <charset val="134"/>
      </rPr>
      <t>土地价格</t>
    </r>
    <phoneticPr fontId="19" type="noConversion"/>
  </si>
  <si>
    <t>（6）</t>
    <phoneticPr fontId="45" type="noConversion"/>
  </si>
  <si>
    <t>（7）</t>
  </si>
  <si>
    <t>（8）</t>
  </si>
  <si>
    <t>（1）</t>
    <phoneticPr fontId="7" type="noConversion"/>
  </si>
  <si>
    <t>（2）</t>
    <phoneticPr fontId="7" type="noConversion"/>
  </si>
  <si>
    <t>6.</t>
    <phoneticPr fontId="7" type="noConversion"/>
  </si>
  <si>
    <t>7.</t>
    <phoneticPr fontId="7" type="noConversion"/>
  </si>
  <si>
    <t>2.</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</si>
  <si>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</si>
  <si>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</si>
  <si>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</si>
  <si>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</si>
  <si>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</si>
  <si>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</si>
  <si>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</si>
  <si>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</si>
  <si>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</si>
  <si>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</si>
  <si>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</si>
  <si>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</si>
  <si>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</si>
  <si>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</si>
  <si>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</si>
  <si>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</si>
  <si>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7" type="noConversion"/>
  </si>
  <si>
    <t>（7）</t>
    <phoneticPr fontId="7" type="noConversion"/>
  </si>
  <si>
    <t>3</t>
    <phoneticPr fontId="7" type="noConversion"/>
  </si>
  <si>
    <t>4</t>
    <phoneticPr fontId="7" type="noConversion"/>
  </si>
  <si>
    <t>5</t>
    <phoneticPr fontId="7" type="noConversion"/>
  </si>
  <si>
    <t>——</t>
    <phoneticPr fontId="18" type="noConversion"/>
  </si>
  <si>
    <t>商业</t>
    <phoneticPr fontId="10" type="noConversion"/>
  </si>
  <si>
    <t>办公</t>
    <phoneticPr fontId="10" type="noConversion"/>
  </si>
  <si>
    <t>住宅</t>
    <phoneticPr fontId="10" type="noConversion"/>
  </si>
  <si>
    <t>工业</t>
    <phoneticPr fontId="10" type="noConversion"/>
  </si>
  <si>
    <t xml:space="preserve">— </t>
    <phoneticPr fontId="7" type="noConversion"/>
  </si>
  <si>
    <t>估价项目名称：</t>
    <phoneticPr fontId="7" type="noConversion"/>
  </si>
  <si>
    <t>北京康正宏基房地产评估有限公司</t>
    <phoneticPr fontId="7" type="noConversion"/>
  </si>
  <si>
    <t>评估意见函</t>
    <phoneticPr fontId="7" type="noConversion"/>
  </si>
  <si>
    <t>估价对象：</t>
    <phoneticPr fontId="7" type="noConversion"/>
  </si>
  <si>
    <t>估价目的：</t>
    <phoneticPr fontId="7" type="noConversion"/>
  </si>
  <si>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</si>
  <si>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</si>
  <si>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</si>
  <si>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</si>
  <si>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</si>
  <si>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土地估价师</t>
    <phoneticPr fontId="7" type="noConversion"/>
  </si>
  <si>
    <t>证号</t>
    <phoneticPr fontId="7" type="noConversion"/>
  </si>
  <si>
    <t>梁津</t>
    <phoneticPr fontId="7" type="noConversion"/>
  </si>
  <si>
    <t>李立</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</si>
  <si>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</si>
  <si>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</si>
  <si>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</si>
  <si>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</si>
  <si>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</si>
  <si>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</si>
  <si>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</si>
  <si>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马琳琳</t>
    <phoneticPr fontId="7" type="noConversion"/>
  </si>
  <si>
    <t>刘梅</t>
    <phoneticPr fontId="7" type="noConversion"/>
  </si>
  <si>
    <t>赵雯</t>
    <phoneticPr fontId="7" type="noConversion"/>
  </si>
  <si>
    <t>刘敬东</t>
    <phoneticPr fontId="7" type="noConversion"/>
  </si>
  <si>
    <t>王萌</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</si>
  <si>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</si>
  <si>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</si>
  <si>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</si>
  <si>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</si>
  <si>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</si>
  <si>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资质有效期</t>
    <phoneticPr fontId="7" type="noConversion"/>
  </si>
  <si>
    <t>资质证书：一级</t>
    <phoneticPr fontId="7" type="noConversion"/>
  </si>
  <si>
    <t>建房估证字[2013]081号</t>
    <phoneticPr fontId="7" type="noConversion"/>
  </si>
  <si>
    <t>注册证书</t>
    <phoneticPr fontId="7" type="noConversion"/>
  </si>
  <si>
    <t>A201111009</t>
    <phoneticPr fontId="7" type="noConversion"/>
  </si>
  <si>
    <t>资信等级：A级</t>
    <phoneticPr fontId="7" type="noConversion"/>
  </si>
  <si>
    <t>估价项目名称</t>
    <phoneticPr fontId="7" type="noConversion"/>
  </si>
  <si>
    <t>报告编号</t>
    <phoneticPr fontId="7" type="noConversion"/>
  </si>
  <si>
    <t>现场勘查日</t>
    <phoneticPr fontId="7" type="noConversion"/>
  </si>
  <si>
    <t>签字估价师</t>
    <phoneticPr fontId="7" type="noConversion"/>
  </si>
  <si>
    <t xml:space="preserve">估价委托人  </t>
    <phoneticPr fontId="7" type="noConversion"/>
  </si>
  <si>
    <t>估价目的</t>
    <phoneticPr fontId="7" type="noConversion"/>
  </si>
  <si>
    <t>价值类型</t>
    <phoneticPr fontId="7" type="noConversion"/>
  </si>
  <si>
    <t>抵押结果包含：</t>
    <phoneticPr fontId="7" type="noConversion"/>
  </si>
  <si>
    <t>北京市</t>
  </si>
  <si>
    <t>坐落</t>
    <phoneticPr fontId="7" type="noConversion"/>
  </si>
  <si>
    <t>土地性质</t>
    <phoneticPr fontId="7" type="noConversion"/>
  </si>
  <si>
    <t>用途</t>
    <phoneticPr fontId="7" type="noConversion"/>
  </si>
  <si>
    <t>住宅</t>
    <phoneticPr fontId="7"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</si>
  <si>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</si>
  <si>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</si>
  <si>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</si>
  <si>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</si>
  <si>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</si>
  <si>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终止日期</t>
    <phoneticPr fontId="7" type="noConversion"/>
  </si>
  <si>
    <t>出让年限</t>
    <phoneticPr fontId="7" type="noConversion"/>
  </si>
  <si>
    <t>剩余年限</t>
    <phoneticPr fontId="7" type="noConversion"/>
  </si>
  <si>
    <t>面积指标</t>
    <phoneticPr fontId="7" type="noConversion"/>
  </si>
  <si>
    <t>建筑面积</t>
    <phoneticPr fontId="7" type="noConversion"/>
  </si>
  <si>
    <t>面积依据</t>
    <phoneticPr fontId="7" type="noConversion"/>
  </si>
  <si>
    <t>土地面积</t>
    <phoneticPr fontId="7" type="noConversion"/>
  </si>
  <si>
    <t>权利状况（抵押）</t>
    <phoneticPr fontId="7" type="noConversion"/>
  </si>
  <si>
    <t>是否抵押</t>
    <phoneticPr fontId="7" type="noConversion"/>
  </si>
  <si>
    <t>权属证件是否登记权利价值</t>
    <phoneticPr fontId="7" type="noConversion"/>
  </si>
  <si>
    <t>依据</t>
    <phoneticPr fontId="7" type="noConversion"/>
  </si>
  <si>
    <t>权属文件</t>
    <phoneticPr fontId="7" type="noConversion"/>
  </si>
  <si>
    <t>他项权证</t>
    <phoneticPr fontId="7" type="noConversion"/>
  </si>
  <si>
    <t>其他资料</t>
    <phoneticPr fontId="7" type="noConversion"/>
  </si>
  <si>
    <t>抵押情况描述</t>
    <phoneticPr fontId="7" type="noConversion"/>
  </si>
  <si>
    <t>原件</t>
  </si>
  <si>
    <t>《国有土地使用权》</t>
  </si>
  <si>
    <t>抵押信息</t>
    <phoneticPr fontId="7" type="noConversion"/>
  </si>
  <si>
    <t>设定日期</t>
    <phoneticPr fontId="7" type="noConversion"/>
  </si>
  <si>
    <t>权利人</t>
    <phoneticPr fontId="7" type="noConversion"/>
  </si>
  <si>
    <t>权利范围</t>
    <phoneticPr fontId="7" type="noConversion"/>
  </si>
  <si>
    <t>权利价值</t>
    <phoneticPr fontId="7" type="noConversion"/>
  </si>
  <si>
    <t>红线外市政</t>
    <phoneticPr fontId="7" type="noConversion"/>
  </si>
  <si>
    <t>一通</t>
    <phoneticPr fontId="7" type="noConversion"/>
  </si>
  <si>
    <t>二通</t>
    <phoneticPr fontId="7" type="noConversion"/>
  </si>
  <si>
    <t>三通</t>
    <phoneticPr fontId="7" type="noConversion"/>
  </si>
  <si>
    <t>四通</t>
    <phoneticPr fontId="7" type="noConversion"/>
  </si>
  <si>
    <t>五通</t>
    <phoneticPr fontId="7" type="noConversion"/>
  </si>
  <si>
    <t>六通</t>
    <phoneticPr fontId="7" type="noConversion"/>
  </si>
  <si>
    <t>七通</t>
    <phoneticPr fontId="7" type="noConversion"/>
  </si>
  <si>
    <t>估价对象</t>
    <phoneticPr fontId="7" type="noConversion"/>
  </si>
  <si>
    <t>优先受偿</t>
    <phoneticPr fontId="7" type="noConversion"/>
  </si>
  <si>
    <t>抵押</t>
    <phoneticPr fontId="7" type="noConversion"/>
  </si>
  <si>
    <t>2.估价师所知悉的法定优先受偿款</t>
    <phoneticPr fontId="7" type="noConversion"/>
  </si>
  <si>
    <t>2.估价师所知悉的除抵押担保权以外的法定优先受偿款</t>
    <phoneticPr fontId="7" type="noConversion"/>
  </si>
  <si>
    <t>价值类型及定义</t>
    <phoneticPr fontId="7" type="noConversion"/>
  </si>
  <si>
    <t>已注销</t>
    <phoneticPr fontId="7" type="noConversion"/>
  </si>
  <si>
    <t>已注销及未注销</t>
    <phoneticPr fontId="7" type="noConversion"/>
  </si>
  <si>
    <t>抵押净值</t>
    <phoneticPr fontId="7" type="noConversion"/>
  </si>
  <si>
    <t>——</t>
    <phoneticPr fontId="18" type="noConversion"/>
  </si>
  <si>
    <t>估价期日</t>
    <phoneticPr fontId="7" type="noConversion"/>
  </si>
  <si>
    <t>市场价格</t>
    <phoneticPr fontId="7" type="noConversion"/>
  </si>
  <si>
    <t>抵押价格</t>
    <phoneticPr fontId="7" type="noConversion"/>
  </si>
  <si>
    <t>《建设工程规划许可证》[]、《出让合同》[]</t>
    <phoneticPr fontId="7" type="noConversion"/>
  </si>
  <si>
    <t>项目所在城市</t>
    <phoneticPr fontId="10" type="noConversion"/>
  </si>
  <si>
    <t>不动产权利人</t>
    <phoneticPr fontId="10" type="noConversion"/>
  </si>
  <si>
    <t>项目类型</t>
    <phoneticPr fontId="10" type="noConversion"/>
  </si>
  <si>
    <t>按主用途</t>
    <phoneticPr fontId="10" type="noConversion"/>
  </si>
  <si>
    <t>特殊细项</t>
    <phoneticPr fontId="10" type="noConversion"/>
  </si>
  <si>
    <t>是否配建</t>
    <phoneticPr fontId="10" type="noConversion"/>
  </si>
  <si>
    <t>配建类型</t>
    <phoneticPr fontId="10" type="noConversion"/>
  </si>
  <si>
    <t>证件取得及他项权利状况</t>
    <phoneticPr fontId="10" type="noConversion"/>
  </si>
  <si>
    <t>地块编号</t>
    <phoneticPr fontId="7" type="noConversion"/>
  </si>
  <si>
    <t>建设内容/楼号</t>
    <phoneticPr fontId="7" type="noConversion"/>
  </si>
  <si>
    <t>出让合同</t>
    <phoneticPr fontId="7" type="noConversion"/>
  </si>
  <si>
    <t>用地规划</t>
    <phoneticPr fontId="7" type="noConversion"/>
  </si>
  <si>
    <t>规划意见复函</t>
    <phoneticPr fontId="7" type="noConversion"/>
  </si>
  <si>
    <t>工程规划</t>
    <phoneticPr fontId="7" type="noConversion"/>
  </si>
  <si>
    <t>施工证</t>
    <phoneticPr fontId="7" type="noConversion"/>
  </si>
  <si>
    <t>预售证</t>
    <phoneticPr fontId="7" type="noConversion"/>
  </si>
  <si>
    <t>竣工备案</t>
    <phoneticPr fontId="7" type="noConversion"/>
  </si>
  <si>
    <t>测绘报告</t>
    <phoneticPr fontId="7" type="noConversion"/>
  </si>
  <si>
    <t>现状</t>
    <phoneticPr fontId="10" type="noConversion"/>
  </si>
  <si>
    <t>用地性质/土地用途</t>
    <phoneticPr fontId="10" type="noConversion"/>
  </si>
  <si>
    <t>不动产权证书</t>
    <phoneticPr fontId="10" type="noConversion"/>
  </si>
  <si>
    <t>国土证</t>
    <phoneticPr fontId="7" type="noConversion"/>
  </si>
  <si>
    <t>房产证</t>
    <phoneticPr fontId="7" type="noConversion"/>
  </si>
  <si>
    <t>他项权利——抵押</t>
    <phoneticPr fontId="7" type="noConversion"/>
  </si>
  <si>
    <t>他项权利——租赁</t>
    <phoneticPr fontId="10" type="noConversion"/>
  </si>
  <si>
    <t>他项权利——其他</t>
    <phoneticPr fontId="10" type="noConversion"/>
  </si>
  <si>
    <t>地价定义：</t>
    <phoneticPr fontId="7" type="noConversion"/>
  </si>
  <si>
    <t>估价期日：</t>
    <phoneticPr fontId="7" type="noConversion"/>
  </si>
  <si>
    <t>估价结果：</t>
    <phoneticPr fontId="7" type="noConversion"/>
  </si>
  <si>
    <t>（转下页）</t>
    <phoneticPr fontId="141"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</si>
  <si>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</si>
  <si>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</si>
  <si>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</si>
  <si>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</si>
  <si>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</si>
  <si>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</si>
  <si>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</si>
  <si>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</si>
  <si>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</si>
  <si>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1" type="noConversion"/>
  </si>
  <si>
    <t>估价机构：北京康正宏基房地产评估有限公司</t>
  </si>
  <si>
    <t>估价机构：北京康正宏基房地产评估有限公司</t>
    <phoneticPr fontId="141" type="noConversion"/>
  </si>
  <si>
    <t>币种：人民币</t>
    <phoneticPr fontId="141" type="noConversion"/>
  </si>
  <si>
    <t>证载（或批准）</t>
    <phoneticPr fontId="141" type="noConversion"/>
  </si>
  <si>
    <t>单位面积地价/元/㎡</t>
    <phoneticPr fontId="141" type="noConversion"/>
  </si>
  <si>
    <t>二、其他需要说明的事项：</t>
    <phoneticPr fontId="141" type="noConversion"/>
  </si>
  <si>
    <t>土地估价师：</t>
    <phoneticPr fontId="7" type="noConversion"/>
  </si>
  <si>
    <t>委托估价方：</t>
    <phoneticPr fontId="7" type="noConversion"/>
  </si>
  <si>
    <t>受托估价单位：</t>
    <phoneticPr fontId="7" type="noConversion"/>
  </si>
  <si>
    <t>土地估价报告编号：</t>
    <phoneticPr fontId="7" type="noConversion"/>
  </si>
  <si>
    <t>地价定义</t>
    <phoneticPr fontId="18" type="noConversion"/>
  </si>
  <si>
    <t>用途</t>
    <phoneticPr fontId="18"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</si>
  <si>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8"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</si>
  <si>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8" type="noConversion"/>
  </si>
  <si>
    <t>——</t>
    <phoneticPr fontId="141" type="noConversion"/>
  </si>
  <si>
    <t>宗地内平整情况设定为：</t>
    <phoneticPr fontId="10" type="noConversion"/>
  </si>
  <si>
    <t>估价结果（过程）</t>
    <phoneticPr fontId="146" type="noConversion"/>
  </si>
  <si>
    <t>估价对象范围</t>
    <phoneticPr fontId="146" type="noConversion"/>
  </si>
  <si>
    <t>估价对象状态</t>
    <phoneticPr fontId="146" type="noConversion"/>
  </si>
  <si>
    <t>证载土地用途</t>
    <phoneticPr fontId="10" type="noConversion"/>
  </si>
  <si>
    <t>设定用途</t>
    <phoneticPr fontId="10" type="noConversion"/>
  </si>
  <si>
    <t>设定估价对象土地年限</t>
    <phoneticPr fontId="10" type="noConversion"/>
  </si>
  <si>
    <t>依据</t>
    <phoneticPr fontId="10" type="noConversion"/>
  </si>
  <si>
    <t>设定用途与证载土地用途</t>
    <phoneticPr fontId="10" type="noConversion"/>
  </si>
  <si>
    <t>规划建筑面积/㎡</t>
  </si>
  <si>
    <t>楼面地价/元/㎡</t>
  </si>
  <si>
    <t>一、上述估价结果的限定条件</t>
    <phoneticPr fontId="141" type="noConversion"/>
  </si>
  <si>
    <t>4.影响价格的其他限定条件：无。</t>
    <phoneticPr fontId="141" type="noConversion"/>
  </si>
  <si>
    <r>
      <t>1.</t>
    </r>
    <r>
      <rPr>
        <b/>
        <sz val="11"/>
        <color indexed="8"/>
        <rFont val="仿宋_GB2312"/>
        <family val="3"/>
        <charset val="134"/>
      </rPr>
      <t>土地价格</t>
    </r>
    <phoneticPr fontId="12"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</si>
  <si>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1"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</si>
  <si>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</si>
  <si>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</si>
  <si>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1.用途：</t>
    <phoneticPr fontId="7" type="noConversion"/>
  </si>
  <si>
    <t>2.土地开发程度</t>
    <phoneticPr fontId="141" type="noConversion"/>
  </si>
  <si>
    <t>3.规划利用条件</t>
    <phoneticPr fontId="141" type="noConversion"/>
  </si>
  <si>
    <t>4.土地使用年限</t>
    <phoneticPr fontId="141" type="noConversion"/>
  </si>
  <si>
    <t>5.地价定义</t>
    <phoneticPr fontId="141" type="noConversion"/>
  </si>
  <si>
    <t>车位数</t>
    <phoneticPr fontId="31" type="noConversion"/>
  </si>
  <si>
    <t>成交单价</t>
    <phoneticPr fontId="7" type="noConversion"/>
  </si>
  <si>
    <t>元/平方米</t>
  </si>
  <si>
    <t>北京市区片基准地价因素总修正幅度表</t>
    <phoneticPr fontId="7" type="noConversion"/>
  </si>
  <si>
    <t>商业</t>
    <phoneticPr fontId="7" type="noConversion"/>
  </si>
  <si>
    <t>办公</t>
    <phoneticPr fontId="7" type="noConversion"/>
  </si>
  <si>
    <t>住宅</t>
    <phoneticPr fontId="7" type="noConversion"/>
  </si>
  <si>
    <t>工业</t>
    <phoneticPr fontId="7" type="noConversion"/>
  </si>
  <si>
    <t>级别</t>
    <phoneticPr fontId="7" type="noConversion"/>
  </si>
  <si>
    <t>区片编号</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</si>
  <si>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</si>
  <si>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</si>
  <si>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</si>
  <si>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</si>
  <si>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</si>
  <si>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</si>
  <si>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</si>
  <si>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</si>
  <si>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</si>
  <si>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</si>
  <si>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</si>
  <si>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</si>
  <si>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</si>
  <si>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</si>
  <si>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</si>
  <si>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</si>
  <si>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</si>
  <si>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</si>
  <si>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</si>
  <si>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</si>
  <si>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</si>
  <si>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</si>
  <si>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</si>
  <si>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</si>
  <si>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</si>
  <si>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</si>
  <si>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</si>
  <si>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</si>
  <si>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</si>
  <si>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</si>
  <si>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</si>
  <si>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</si>
  <si>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</si>
  <si>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</si>
  <si>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</si>
  <si>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</si>
  <si>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</si>
  <si>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</si>
  <si>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</si>
  <si>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</si>
  <si>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</si>
  <si>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</si>
  <si>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</si>
  <si>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</si>
  <si>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</si>
  <si>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</si>
  <si>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</si>
  <si>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</si>
  <si>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</si>
  <si>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</si>
  <si>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</si>
  <si>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</si>
  <si>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</si>
  <si>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</si>
  <si>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</si>
  <si>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</si>
  <si>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</si>
  <si>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</si>
  <si>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</si>
  <si>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</si>
  <si>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</si>
  <si>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</si>
  <si>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</si>
  <si>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</si>
  <si>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</si>
  <si>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</si>
  <si>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</si>
  <si>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</si>
  <si>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</si>
  <si>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</si>
  <si>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</si>
  <si>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</si>
  <si>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</si>
  <si>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</si>
  <si>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</si>
  <si>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</si>
  <si>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</si>
  <si>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</si>
  <si>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</si>
  <si>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</si>
  <si>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</si>
  <si>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</si>
  <si>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</si>
  <si>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</si>
  <si>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</si>
  <si>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</si>
  <si>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</si>
  <si>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</si>
  <si>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</si>
  <si>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</si>
  <si>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</si>
  <si>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</si>
  <si>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</si>
  <si>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</si>
  <si>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</si>
  <si>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</si>
  <si>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</si>
  <si>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</si>
  <si>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</si>
  <si>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</si>
  <si>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</si>
  <si>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</si>
  <si>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</si>
  <si>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</si>
  <si>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</si>
  <si>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</si>
  <si>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</si>
  <si>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</si>
  <si>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</si>
  <si>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</si>
  <si>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</si>
  <si>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</si>
  <si>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</si>
  <si>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</si>
  <si>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</si>
  <si>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</si>
  <si>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</si>
  <si>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</si>
  <si>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</si>
  <si>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</si>
  <si>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</si>
  <si>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</si>
  <si>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</si>
  <si>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</si>
  <si>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</si>
  <si>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</si>
  <si>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</si>
  <si>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</si>
  <si>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</si>
  <si>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</si>
  <si>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</si>
  <si>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</si>
  <si>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</si>
  <si>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</si>
  <si>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</si>
  <si>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</si>
  <si>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</si>
  <si>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</si>
  <si>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</si>
  <si>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</si>
  <si>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</si>
  <si>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</si>
  <si>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</si>
  <si>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</si>
  <si>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</si>
  <si>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</si>
  <si>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</si>
  <si>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十二级</t>
    <phoneticPr fontId="7" type="noConversion"/>
  </si>
  <si>
    <t>Ⅻ-平1</t>
    <phoneticPr fontId="7" type="noConversion"/>
  </si>
  <si>
    <t>Ⅻ-怀1</t>
    <phoneticPr fontId="7" type="noConversion"/>
  </si>
  <si>
    <t>Ⅻ-密1</t>
    <phoneticPr fontId="7" type="noConversion"/>
  </si>
  <si>
    <t>Ⅻ-延1</t>
    <phoneticPr fontId="7"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</si>
  <si>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</si>
  <si>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</si>
  <si>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</si>
  <si>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</si>
  <si>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</si>
  <si>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</si>
  <si>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</si>
  <si>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</si>
  <si>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</si>
  <si>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</si>
  <si>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</si>
  <si>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</si>
  <si>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7" type="noConversion"/>
  </si>
  <si>
    <t>幅度控制(±)</t>
    <phoneticPr fontId="7" type="noConversion"/>
  </si>
  <si>
    <t>幅度控制(±)</t>
    <phoneticPr fontId="7" type="noConversion"/>
  </si>
  <si>
    <t>幅度控制(±)</t>
    <phoneticPr fontId="7" type="noConversion"/>
  </si>
  <si>
    <t>元/平方米</t>
    <phoneticPr fontId="128" type="noConversion"/>
  </si>
  <si>
    <t>万元/亩</t>
    <phoneticPr fontId="128" type="noConversion"/>
  </si>
  <si>
    <t>楼层-1</t>
    <phoneticPr fontId="25" type="noConversion"/>
  </si>
  <si>
    <t>楼层-1</t>
    <phoneticPr fontId="7" type="noConversion"/>
  </si>
  <si>
    <t>楼层修正-2：多层及高层同时修正时的处理，以普通无电梯多层为基准</t>
    <phoneticPr fontId="7" type="noConversion"/>
  </si>
  <si>
    <t>多层</t>
    <phoneticPr fontId="7" type="noConversion"/>
  </si>
  <si>
    <t>高层</t>
    <phoneticPr fontId="7" type="noConversion"/>
  </si>
  <si>
    <t>无电梯</t>
    <phoneticPr fontId="7" type="noConversion"/>
  </si>
  <si>
    <t>增值项</t>
    <phoneticPr fontId="7" type="noConversion"/>
  </si>
  <si>
    <t>系数</t>
    <phoneticPr fontId="7" type="noConversion"/>
  </si>
  <si>
    <t>有电梯</t>
    <phoneticPr fontId="7" type="noConversion"/>
  </si>
  <si>
    <t>增值项</t>
    <phoneticPr fontId="7" type="noConversion"/>
  </si>
  <si>
    <t>系数</t>
    <phoneticPr fontId="7" type="noConversion"/>
  </si>
  <si>
    <t>楼层数/位置</t>
    <phoneticPr fontId="7" type="noConversion"/>
  </si>
  <si>
    <t>层差/系数</t>
    <phoneticPr fontId="7" type="noConversion"/>
  </si>
  <si>
    <t>露台</t>
    <phoneticPr fontId="7" type="noConversion"/>
  </si>
  <si>
    <t>露台</t>
    <phoneticPr fontId="7" type="noConversion"/>
  </si>
  <si>
    <t>总层数</t>
    <phoneticPr fontId="7" type="noConversion"/>
  </si>
  <si>
    <t>中间层</t>
    <phoneticPr fontId="7" type="noConversion"/>
  </si>
  <si>
    <t>首层</t>
    <phoneticPr fontId="7" type="noConversion"/>
  </si>
  <si>
    <t>顶层</t>
    <phoneticPr fontId="7" type="noConversion"/>
  </si>
  <si>
    <t>所在楼层</t>
    <phoneticPr fontId="7" type="noConversion"/>
  </si>
  <si>
    <t>花园</t>
    <phoneticPr fontId="7" type="noConversion"/>
  </si>
  <si>
    <t>最高最低差</t>
    <phoneticPr fontId="7" type="noConversion"/>
  </si>
  <si>
    <t>注意于无电梯多层的价值匹配</t>
    <phoneticPr fontId="7" type="noConversion"/>
  </si>
  <si>
    <t>企业提供(在右侧录入)</t>
  </si>
  <si>
    <t>单位面积地价</t>
    <phoneticPr fontId="128" type="noConversion"/>
  </si>
  <si>
    <t>对应的地上用途及土地级别（北京市）</t>
    <phoneticPr fontId="7" type="noConversion"/>
  </si>
  <si>
    <t>对应商业级别</t>
    <phoneticPr fontId="7" type="noConversion"/>
  </si>
  <si>
    <t>对应办公级别</t>
    <phoneticPr fontId="7" type="noConversion"/>
  </si>
  <si>
    <t>对应的地上用途及土地级别（北京市）</t>
  </si>
  <si>
    <t>对应商业级别</t>
  </si>
  <si>
    <t>对应办公级别</t>
  </si>
  <si>
    <t>修正体系描述方式：</t>
    <phoneticPr fontId="7"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</si>
  <si>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7" type="noConversion"/>
  </si>
  <si>
    <t>以估价对象土地价格/(1+5%)为基数记取</t>
    <phoneticPr fontId="19"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</si>
  <si>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8" type="noConversion"/>
  </si>
  <si>
    <t>按在建建筑物或建筑物价值(1+5%)的一定比率</t>
    <phoneticPr fontId="4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</si>
  <si>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7" type="noConversion"/>
  </si>
  <si>
    <t>政府土地出让收益比例</t>
    <phoneticPr fontId="7" type="noConversion"/>
  </si>
  <si>
    <t>-</t>
    <phoneticPr fontId="7" type="noConversion"/>
  </si>
  <si>
    <t>承租人权益价值</t>
    <phoneticPr fontId="7" type="noConversion"/>
  </si>
  <si>
    <t>市场租金</t>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</si>
  <si>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</si>
  <si>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</si>
  <si>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</si>
  <si>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</si>
  <si>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t>不动产总价</t>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</si>
  <si>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</si>
  <si>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r>
      <rPr>
        <sz val="10"/>
        <color indexed="8"/>
        <rFont val="楷体_GB2312"/>
        <family val="3"/>
        <charset val="134"/>
      </rPr>
      <t>修正项</t>
    </r>
    <phoneticPr fontId="7" type="noConversion"/>
  </si>
  <si>
    <r>
      <rPr>
        <sz val="10"/>
        <color indexed="8"/>
        <rFont val="楷体_GB2312"/>
        <family val="3"/>
        <charset val="134"/>
      </rPr>
      <t>说明</t>
    </r>
    <phoneticPr fontId="7" type="noConversion"/>
  </si>
  <si>
    <r>
      <rPr>
        <sz val="10"/>
        <color indexed="8"/>
        <rFont val="楷体_GB2312"/>
        <family val="3"/>
        <charset val="134"/>
      </rPr>
      <t>修正系数</t>
    </r>
    <phoneticPr fontId="7" type="noConversion"/>
  </si>
  <si>
    <r>
      <rPr>
        <sz val="10"/>
        <color indexed="8"/>
        <rFont val="楷体_GB2312"/>
        <family val="3"/>
        <charset val="134"/>
      </rPr>
      <t>建筑面积</t>
    </r>
    <phoneticPr fontId="7" type="noConversion"/>
  </si>
  <si>
    <t>修正系数</t>
    <phoneticPr fontId="7" type="noConversion"/>
  </si>
  <si>
    <t>楼层</t>
    <phoneticPr fontId="7" type="noConversion"/>
  </si>
  <si>
    <t>土地面积</t>
    <phoneticPr fontId="11" type="noConversion"/>
  </si>
  <si>
    <t>建筑面积</t>
    <phoneticPr fontId="11" type="noConversion"/>
  </si>
  <si>
    <t>面积加总（含分摊非经营）</t>
    <phoneticPr fontId="11" type="noConversion"/>
  </si>
  <si>
    <t>按面积比例</t>
  </si>
  <si>
    <t>项目类型</t>
    <phoneticPr fontId="11" type="noConversion"/>
  </si>
  <si>
    <t>设备及其他</t>
  </si>
  <si>
    <t>公共配套</t>
  </si>
  <si>
    <t>公共配套及物业（住宅）</t>
    <phoneticPr fontId="7" type="noConversion"/>
  </si>
  <si>
    <t>公共配套设施</t>
    <phoneticPr fontId="7" type="noConversion"/>
  </si>
  <si>
    <t>物业管理用房</t>
    <phoneticPr fontId="7" type="noConversion"/>
  </si>
  <si>
    <t>设备及其他</t>
    <phoneticPr fontId="7" type="noConversion"/>
  </si>
  <si>
    <t>公共配套及物业（住宅）</t>
    <phoneticPr fontId="11" type="noConversion"/>
  </si>
  <si>
    <t>住宅用房合计</t>
    <phoneticPr fontId="11" type="noConversion"/>
  </si>
  <si>
    <t>总计</t>
    <phoneticPr fontId="11" type="noConversion"/>
  </si>
  <si>
    <t>车位数/套数/收益面积</t>
    <phoneticPr fontId="7" type="noConversion"/>
  </si>
  <si>
    <t>项目类型</t>
    <phoneticPr fontId="8" type="noConversion"/>
  </si>
  <si>
    <t>《不动产权证书》</t>
  </si>
  <si>
    <t>复印件</t>
  </si>
  <si>
    <t>地下办公（含物业）</t>
    <phoneticPr fontId="11" type="noConversion"/>
  </si>
  <si>
    <t>地下办公（含物业）</t>
    <phoneticPr fontId="18" type="noConversion"/>
  </si>
  <si>
    <t>（住宅、计出让金）</t>
    <phoneticPr fontId="7" type="noConversion"/>
  </si>
  <si>
    <t>（住宅）</t>
    <phoneticPr fontId="7" type="noConversion"/>
  </si>
  <si>
    <r>
      <rPr>
        <sz val="10"/>
        <color indexed="8"/>
        <rFont val="仿宋_GB2312"/>
        <family val="3"/>
        <charset val="134"/>
      </rPr>
      <t>物业管理用房</t>
    </r>
    <phoneticPr fontId="7" type="noConversion"/>
  </si>
  <si>
    <t>计容部位</t>
    <phoneticPr fontId="7" type="noConversion"/>
  </si>
  <si>
    <r>
      <rPr>
        <sz val="10"/>
        <color theme="1"/>
        <rFont val="仿宋_GB2312"/>
        <family val="3"/>
        <charset val="134"/>
      </rPr>
      <t>计容建筑面积</t>
    </r>
    <phoneticPr fontId="7" type="noConversion"/>
  </si>
  <si>
    <r>
      <t>地下车库</t>
    </r>
    <r>
      <rPr>
        <sz val="9"/>
        <color indexed="8"/>
        <rFont val="仿宋_GB2312"/>
        <family val="3"/>
        <charset val="134"/>
      </rPr>
      <t>（除商业、办公）</t>
    </r>
    <phoneticPr fontId="11" type="noConversion"/>
  </si>
  <si>
    <t>包含未完成的红线外市政工程时间（如现状三通，开发完成后七通）</t>
    <phoneticPr fontId="7" type="noConversion"/>
  </si>
  <si>
    <t>默认为已完成的土地开发期</t>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</si>
  <si>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</si>
  <si>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</si>
  <si>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7" type="noConversion"/>
  </si>
  <si>
    <t>总额</t>
    <phoneticPr fontId="7"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</si>
  <si>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7" type="noConversion"/>
  </si>
  <si>
    <r>
      <rPr>
        <sz val="11"/>
        <color theme="1"/>
        <rFont val="楷体_GB2312"/>
        <family val="3"/>
        <charset val="134"/>
      </rPr>
      <t>请录依据文件名称：</t>
    </r>
    <phoneticPr fontId="7" type="noConversion"/>
  </si>
  <si>
    <t>超出收益期的土地使用年限或建筑物价值折现计算</t>
    <phoneticPr fontId="7" type="noConversion"/>
  </si>
  <si>
    <t>建筑物结构</t>
    <phoneticPr fontId="7" type="noConversion"/>
  </si>
  <si>
    <t>建筑使用方向</t>
    <phoneticPr fontId="7" type="noConversion"/>
  </si>
  <si>
    <t>建成年代</t>
    <phoneticPr fontId="7" type="noConversion"/>
  </si>
  <si>
    <t>建筑物耐用年限</t>
    <phoneticPr fontId="7" type="noConversion"/>
  </si>
  <si>
    <t>建筑物剩余耐用年限</t>
    <phoneticPr fontId="7" type="noConversion"/>
  </si>
  <si>
    <t>收益期（按照规范取最低值，住宅只取建筑物）</t>
    <phoneticPr fontId="7" type="noConversion"/>
  </si>
  <si>
    <t>土地使用年限</t>
    <phoneticPr fontId="7" type="noConversion"/>
  </si>
  <si>
    <t>非生产用房</t>
  </si>
  <si>
    <t>剩余土地使用年限</t>
    <phoneticPr fontId="7" type="noConversion"/>
  </si>
  <si>
    <t>比较法土地结果</t>
    <phoneticPr fontId="7" type="noConversion"/>
  </si>
  <si>
    <t>基准地价土地结果</t>
    <phoneticPr fontId="7" type="noConversion"/>
  </si>
  <si>
    <t>收益还原法土地结果</t>
    <phoneticPr fontId="7" type="noConversion"/>
  </si>
  <si>
    <t>建筑物计算</t>
    <phoneticPr fontId="7" type="noConversion"/>
  </si>
  <si>
    <t>土地使用权计算</t>
    <phoneticPr fontId="7" type="noConversion"/>
  </si>
  <si>
    <t>是否约定土地使用期结束后无偿收回房地产（非住宅）</t>
    <phoneticPr fontId="7" type="noConversion"/>
  </si>
  <si>
    <t>土地使用年限结束后建筑物耐用年期</t>
    <phoneticPr fontId="7" type="noConversion"/>
  </si>
  <si>
    <t>土地使用年限结束后建筑物成新度</t>
    <phoneticPr fontId="7" type="noConversion"/>
  </si>
  <si>
    <t>土地使用年限结束后建筑物现值</t>
    <phoneticPr fontId="7" type="noConversion"/>
  </si>
  <si>
    <t>建筑物剩余价值折现值</t>
    <phoneticPr fontId="7" type="noConversion"/>
  </si>
  <si>
    <t>建筑物耐用年限结束后剩余土地使用年限</t>
    <phoneticPr fontId="7" type="noConversion"/>
  </si>
  <si>
    <t>价值时点下的土地价值（土地购买价格）</t>
    <phoneticPr fontId="7" type="noConversion"/>
  </si>
  <si>
    <t>剩余土地使用年期下的土地年期修正系数</t>
    <phoneticPr fontId="7" type="noConversion"/>
  </si>
  <si>
    <t>建筑物剩余耐用年限下的土地年期修正系数</t>
    <phoneticPr fontId="7" type="noConversion"/>
  </si>
  <si>
    <t>剩余土地价值折现值</t>
    <phoneticPr fontId="7" type="noConversion"/>
  </si>
  <si>
    <t>结构类型</t>
  </si>
  <si>
    <t>生产用房</t>
  </si>
  <si>
    <t>受腐蚀的生产用房</t>
  </si>
  <si>
    <t>钢</t>
    <phoneticPr fontId="7" type="noConversion"/>
  </si>
  <si>
    <t>钢混</t>
    <phoneticPr fontId="7" type="noConversion"/>
  </si>
  <si>
    <t>砖混</t>
    <phoneticPr fontId="7" type="noConversion"/>
  </si>
  <si>
    <t>请选择所对应的收益法</t>
    <phoneticPr fontId="7" type="noConversion"/>
  </si>
  <si>
    <t>收益年期(总)</t>
    <phoneticPr fontId="7"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</si>
  <si>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</si>
  <si>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</si>
  <si>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</si>
  <si>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</si>
  <si>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</si>
  <si>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</si>
  <si>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</si>
  <si>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</si>
  <si>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</si>
  <si>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</si>
  <si>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7" type="noConversion"/>
  </si>
  <si>
    <t>(C)</t>
  </si>
  <si>
    <t>建筑物报酬率（%）</t>
    <phoneticPr fontId="7"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</si>
  <si>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</si>
  <si>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</si>
  <si>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</si>
  <si>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</si>
  <si>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</si>
  <si>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7"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</si>
  <si>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</si>
  <si>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</si>
  <si>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</si>
  <si>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</si>
  <si>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7" type="noConversion"/>
  </si>
  <si>
    <t>a</t>
  </si>
  <si>
    <t>房地纯收益（万元）</t>
    <phoneticPr fontId="7" type="noConversion"/>
  </si>
  <si>
    <t>b</t>
  </si>
  <si>
    <t>建筑物现值（万元）</t>
    <phoneticPr fontId="7"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</si>
  <si>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</si>
  <si>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7" type="noConversion"/>
  </si>
  <si>
    <t>收益期内收益价格（万元）</t>
    <phoneticPr fontId="7" type="noConversion"/>
  </si>
  <si>
    <t>建筑物在收益期结束时的价格折现到估价期日的价格（万元）</t>
    <phoneticPr fontId="7" type="noConversion"/>
  </si>
  <si>
    <t>建筑物重置价格（万元）</t>
    <phoneticPr fontId="7" type="noConversion"/>
  </si>
  <si>
    <t>收益价格（万元）</t>
    <phoneticPr fontId="7" type="noConversion"/>
  </si>
  <si>
    <t>收益期内收益价格（万元）</t>
    <phoneticPr fontId="7" type="noConversion"/>
  </si>
  <si>
    <t>计算建筑物剩余价格折现</t>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</si>
  <si>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7" type="noConversion"/>
  </si>
  <si>
    <t>剩余土地价格折现到估价期日的价格（万元）</t>
    <phoneticPr fontId="7"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</si>
  <si>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7"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</si>
  <si>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</si>
  <si>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7"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</si>
  <si>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7" type="noConversion"/>
  </si>
  <si>
    <t>(E)</t>
    <phoneticPr fontId="7" type="noConversion"/>
  </si>
  <si>
    <t>各因素幅度控制(±)</t>
    <phoneticPr fontId="7"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</si>
  <si>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7" type="noConversion"/>
  </si>
  <si>
    <t>土地还原率</t>
    <phoneticPr fontId="7" type="noConversion"/>
  </si>
  <si>
    <t>建筑物还原率</t>
    <phoneticPr fontId="7" type="noConversion"/>
  </si>
  <si>
    <t>Ⅷ-延1</t>
    <phoneticPr fontId="129" type="noConversion"/>
  </si>
  <si>
    <t>Ⅷ-延1</t>
    <phoneticPr fontId="129" type="noConversion"/>
  </si>
  <si>
    <t>宗地开发程度</t>
    <phoneticPr fontId="30" type="noConversion"/>
  </si>
  <si>
    <t>宗地开发程度</t>
    <phoneticPr fontId="7" type="noConversion"/>
  </si>
  <si>
    <t>建筑面积</t>
    <phoneticPr fontId="129" type="noConversion"/>
  </si>
  <si>
    <t>土地面积</t>
    <phoneticPr fontId="129" type="noConversion"/>
  </si>
  <si>
    <t>不含增值税，仅附加税</t>
    <phoneticPr fontId="33"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</si>
  <si>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</si>
  <si>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9"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</si>
  <si>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8" type="noConversion"/>
  </si>
  <si>
    <r>
      <rPr>
        <b/>
        <sz val="10"/>
        <rFont val="仿宋_GB2312"/>
        <family val="3"/>
        <charset val="134"/>
      </rPr>
      <t>前述</t>
    </r>
    <r>
      <rPr>
        <b/>
        <sz val="10"/>
        <rFont val="Arial"/>
        <family val="2"/>
      </rPr>
      <t>5</t>
    </r>
    <r>
      <rPr>
        <b/>
        <sz val="10"/>
        <rFont val="仿宋_GB2312"/>
        <family val="3"/>
        <charset val="134"/>
      </rPr>
      <t>项之和</t>
    </r>
    <phoneticPr fontId="45"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</si>
  <si>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7" type="noConversion"/>
  </si>
  <si>
    <r>
      <rPr>
        <b/>
        <sz val="10"/>
        <rFont val="仿宋_GB2312"/>
        <family val="3"/>
        <charset val="134"/>
      </rPr>
      <t>前述</t>
    </r>
    <r>
      <rPr>
        <b/>
        <sz val="10"/>
        <rFont val="Arial"/>
        <family val="2"/>
      </rPr>
      <t>6</t>
    </r>
    <r>
      <rPr>
        <b/>
        <sz val="10"/>
        <rFont val="仿宋_GB2312"/>
        <family val="3"/>
        <charset val="134"/>
      </rPr>
      <t>项之和</t>
    </r>
    <phoneticPr fontId="4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</si>
  <si>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7"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</si>
  <si>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</si>
  <si>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</si>
  <si>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7" type="noConversion"/>
  </si>
  <si>
    <t>出让金+开发费</t>
  </si>
  <si>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</si>
  <si>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t>
    </r>
    <r>
      <rPr>
        <b/>
        <sz val="10"/>
        <rFont val="Arial"/>
        <family val="2"/>
      </rPr>
      <t>2</t>
    </r>
    <r>
      <rPr>
        <b/>
        <sz val="10"/>
        <rFont val="宋体"/>
        <family val="3"/>
        <charset val="134"/>
      </rPr>
      <t>）</t>
    </r>
    <phoneticPr fontId="19" type="noConversion"/>
  </si>
  <si>
    <t>补偿费</t>
    <phoneticPr fontId="7" type="noConversion"/>
  </si>
  <si>
    <t>安置补助费</t>
    <phoneticPr fontId="7" type="noConversion"/>
  </si>
  <si>
    <t>土地平整费</t>
    <phoneticPr fontId="7" type="noConversion"/>
  </si>
  <si>
    <t>其他费用</t>
    <phoneticPr fontId="7" type="noConversion"/>
  </si>
  <si>
    <r>
      <rPr>
        <b/>
        <sz val="10"/>
        <rFont val="宋体"/>
        <family val="3"/>
        <charset val="134"/>
      </rPr>
      <t>（</t>
    </r>
    <r>
      <rPr>
        <b/>
        <sz val="10"/>
        <rFont val="Arial"/>
        <family val="2"/>
      </rPr>
      <t>3）</t>
    </r>
    <r>
      <rPr>
        <b/>
        <sz val="10"/>
        <rFont val="宋体"/>
        <family val="3"/>
        <charset val="134"/>
      </rPr>
      <t/>
    </r>
  </si>
  <si>
    <t>2）</t>
    <phoneticPr fontId="19" type="noConversion"/>
  </si>
  <si>
    <t>1）</t>
    <phoneticPr fontId="19" type="noConversion"/>
  </si>
  <si>
    <t>红线内土地开发费</t>
    <phoneticPr fontId="7" type="noConversion"/>
  </si>
  <si>
    <t>其他可计入土地开发费的费用</t>
    <phoneticPr fontId="7" type="noConversion"/>
  </si>
  <si>
    <t>红线外土地开发费</t>
    <phoneticPr fontId="7"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</si>
  <si>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7"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</si>
  <si>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3"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</si>
  <si>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9" type="noConversion"/>
  </si>
  <si>
    <t>个人住宅</t>
  </si>
  <si>
    <t>一年期存款利率</t>
    <phoneticPr fontId="7" type="noConversion"/>
  </si>
  <si>
    <t>贷款利息</t>
    <phoneticPr fontId="7" type="noConversion"/>
  </si>
  <si>
    <r>
      <rPr>
        <b/>
        <sz val="10"/>
        <color indexed="8"/>
        <rFont val="楷体_GB2312"/>
        <family val="3"/>
        <charset val="134"/>
      </rPr>
      <t>未来第一年年总收益</t>
    </r>
    <phoneticPr fontId="7" type="noConversion"/>
  </si>
  <si>
    <t>押金利息收入</t>
    <phoneticPr fontId="7" type="noConversion"/>
  </si>
  <si>
    <t>其他收入</t>
    <phoneticPr fontId="7" type="noConversion"/>
  </si>
  <si>
    <t>年租金收入+押金利息收入+其他收入</t>
    <phoneticPr fontId="7" type="noConversion"/>
  </si>
  <si>
    <t>租金×月数×（1-空置率）</t>
    <phoneticPr fontId="7" type="noConversion"/>
  </si>
  <si>
    <t>年租金收入（年经营收入）</t>
    <phoneticPr fontId="7" type="noConversion"/>
  </si>
  <si>
    <t>押金方式</t>
    <phoneticPr fontId="7" type="noConversion"/>
  </si>
  <si>
    <t>一年期存款利率</t>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</si>
  <si>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</si>
  <si>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</si>
  <si>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</si>
  <si>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</si>
  <si>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</si>
  <si>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</si>
  <si>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</si>
  <si>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</si>
  <si>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</si>
  <si>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</si>
  <si>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</si>
  <si>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</si>
  <si>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</si>
  <si>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</si>
  <si>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</si>
  <si>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</si>
  <si>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</si>
  <si>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</si>
  <si>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</si>
  <si>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</si>
  <si>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</si>
  <si>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</si>
  <si>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</si>
  <si>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</si>
  <si>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</si>
  <si>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</si>
  <si>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</si>
  <si>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天数</t>
    <phoneticPr fontId="7" type="noConversion"/>
  </si>
  <si>
    <t>——</t>
    <phoneticPr fontId="7" type="noConversion"/>
  </si>
  <si>
    <t>年收入</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</si>
  <si>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</si>
  <si>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</si>
  <si>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</si>
  <si>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</si>
  <si>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</si>
  <si>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间数</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</si>
  <si>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</si>
  <si>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</si>
  <si>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</si>
  <si>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</si>
  <si>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</si>
  <si>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</si>
  <si>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</si>
  <si>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</si>
  <si>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</si>
  <si>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</si>
  <si>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</si>
  <si>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</si>
  <si>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</si>
  <si>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</si>
  <si>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</si>
  <si>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</si>
  <si>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</si>
  <si>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</si>
  <si>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</si>
  <si>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</si>
  <si>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</si>
  <si>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</si>
  <si>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</si>
  <si>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</si>
  <si>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</si>
  <si>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</si>
  <si>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</si>
  <si>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</si>
  <si>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</si>
  <si>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</si>
  <si>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交易时间（按季度修正）</t>
    <phoneticPr fontId="7" type="noConversion"/>
  </si>
  <si>
    <t>交易时间（按季度调整）</t>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</si>
  <si>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</si>
  <si>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</si>
  <si>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</si>
  <si>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（1）</t>
    <phoneticPr fontId="7" type="noConversion"/>
  </si>
  <si>
    <t>租金收入</t>
    <phoneticPr fontId="7" type="noConversion"/>
  </si>
  <si>
    <t>基础设施水平</t>
    <phoneticPr fontId="18" type="noConversion"/>
  </si>
  <si>
    <t>七通</t>
    <phoneticPr fontId="18" type="noConversion"/>
  </si>
  <si>
    <t>六通</t>
    <phoneticPr fontId="18" type="noConversion"/>
  </si>
  <si>
    <t>五通</t>
    <phoneticPr fontId="18" type="noConversion"/>
  </si>
  <si>
    <t>四通</t>
    <phoneticPr fontId="18" type="noConversion"/>
  </si>
  <si>
    <t>三通</t>
    <phoneticPr fontId="18" type="noConversion"/>
  </si>
  <si>
    <t>公共配套设施</t>
    <phoneticPr fontId="18" type="noConversion"/>
  </si>
  <si>
    <t>公共配套设施</t>
    <phoneticPr fontId="25" type="noConversion"/>
  </si>
  <si>
    <t>基础设施水平</t>
    <phoneticPr fontId="25" type="noConversion"/>
  </si>
  <si>
    <t>公共配套设施</t>
    <phoneticPr fontId="30" type="noConversion"/>
  </si>
  <si>
    <t>基础设施水平</t>
    <phoneticPr fontId="30" type="noConversion"/>
  </si>
  <si>
    <t>基础设施水平</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</si>
  <si>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</si>
  <si>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</si>
  <si>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</si>
  <si>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</si>
  <si>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</si>
  <si>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市政基础设施</t>
    <phoneticPr fontId="7" type="noConversion"/>
  </si>
  <si>
    <t>公共配套设施</t>
    <phoneticPr fontId="7" type="noConversion"/>
  </si>
  <si>
    <t>基础设施水平</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</si>
  <si>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</si>
  <si>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</si>
  <si>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</si>
  <si>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</si>
  <si>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</si>
  <si>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市政基础设施</t>
    <phoneticPr fontId="25" type="noConversion"/>
  </si>
  <si>
    <t>市政基础设施</t>
    <phoneticPr fontId="30" type="noConversion"/>
  </si>
  <si>
    <t>分摊非经营性用途用房</t>
    <phoneticPr fontId="7" type="noConversion"/>
  </si>
  <si>
    <t>按面积比例分摊</t>
    <phoneticPr fontId="7" type="noConversion"/>
  </si>
  <si>
    <t>自定义分摊</t>
    <phoneticPr fontId="7" type="noConversion"/>
  </si>
  <si>
    <t>设备</t>
    <phoneticPr fontId="7" type="noConversion"/>
  </si>
  <si>
    <t>公共配套(住宅)</t>
    <phoneticPr fontId="7" type="noConversion"/>
  </si>
  <si>
    <t>合</t>
    <phoneticPr fontId="7" type="noConversion"/>
  </si>
  <si>
    <t>建筑面积（分摊设备）</t>
    <phoneticPr fontId="7" type="noConversion"/>
  </si>
  <si>
    <r>
      <t>（自定义押金）</t>
    </r>
    <r>
      <rPr>
        <b/>
        <i/>
        <sz val="10"/>
        <color rgb="FFFF0000"/>
        <rFont val="宋体"/>
        <family val="3"/>
        <charset val="134"/>
      </rPr>
      <t>单位：元</t>
    </r>
    <phoneticPr fontId="7" type="noConversion"/>
  </si>
  <si>
    <t>杨红英</t>
    <phoneticPr fontId="7" type="noConversion"/>
  </si>
  <si>
    <r>
      <t>1</t>
    </r>
    <r>
      <rPr>
        <sz val="12"/>
        <color indexed="8"/>
        <rFont val="仿宋_GB2312"/>
        <family val="3"/>
        <charset val="134"/>
      </rPr>
      <t>.本《评估意见函》中所列估价结果为初评结果，准确金额以本公司出具的正式《土地估价报告》为准。</t>
    </r>
    <phoneticPr fontId="141" type="noConversion"/>
  </si>
  <si>
    <t>公示地价指数</t>
    <phoneticPr fontId="244" type="noConversion"/>
  </si>
  <si>
    <r>
      <rPr>
        <b/>
        <sz val="10"/>
        <color theme="1"/>
        <rFont val="楷体_GB2312"/>
        <family val="2"/>
        <charset val="134"/>
      </rPr>
      <t>公示增长率</t>
    </r>
    <phoneticPr fontId="244" type="noConversion"/>
  </si>
  <si>
    <r>
      <rPr>
        <b/>
        <sz val="10"/>
        <color theme="1"/>
        <rFont val="楷体_GB2312"/>
        <family val="2"/>
        <charset val="134"/>
      </rPr>
      <t>核算至百分数</t>
    </r>
    <phoneticPr fontId="244" type="noConversion"/>
  </si>
  <si>
    <r>
      <rPr>
        <b/>
        <sz val="10"/>
        <color theme="1"/>
        <rFont val="楷体_GB2312"/>
        <family val="2"/>
        <charset val="134"/>
      </rPr>
      <t>验证</t>
    </r>
    <phoneticPr fontId="244" type="noConversion"/>
  </si>
  <si>
    <t>综合</t>
    <phoneticPr fontId="7" type="noConversion"/>
  </si>
  <si>
    <t>2017-2</t>
    <phoneticPr fontId="7" type="noConversion"/>
  </si>
  <si>
    <t>2017-1</t>
    <phoneticPr fontId="7" type="noConversion"/>
  </si>
  <si>
    <t>2013-4</t>
    <phoneticPr fontId="237" type="noConversion"/>
  </si>
  <si>
    <t>2013-3</t>
    <phoneticPr fontId="237" type="noConversion"/>
  </si>
  <si>
    <t>2013-2</t>
    <phoneticPr fontId="237" type="noConversion"/>
  </si>
  <si>
    <t>2013-1</t>
    <phoneticPr fontId="237" type="noConversion"/>
  </si>
  <si>
    <r>
      <t>2</t>
    </r>
    <r>
      <rPr>
        <sz val="10"/>
        <color theme="1"/>
        <rFont val="Arial"/>
        <family val="2"/>
      </rPr>
      <t>012-4</t>
    </r>
    <phoneticPr fontId="237" type="noConversion"/>
  </si>
  <si>
    <r>
      <t>2</t>
    </r>
    <r>
      <rPr>
        <sz val="10"/>
        <color theme="1"/>
        <rFont val="Arial"/>
        <family val="2"/>
      </rPr>
      <t>012-3</t>
    </r>
    <phoneticPr fontId="237" type="noConversion"/>
  </si>
  <si>
    <r>
      <t>2</t>
    </r>
    <r>
      <rPr>
        <sz val="10"/>
        <color theme="1"/>
        <rFont val="Arial"/>
        <family val="2"/>
      </rPr>
      <t>012-2</t>
    </r>
    <phoneticPr fontId="237" type="noConversion"/>
  </si>
  <si>
    <r>
      <t>2</t>
    </r>
    <r>
      <rPr>
        <sz val="10"/>
        <color theme="1"/>
        <rFont val="Arial"/>
        <family val="2"/>
      </rPr>
      <t>012-1</t>
    </r>
    <phoneticPr fontId="237" type="noConversion"/>
  </si>
  <si>
    <r>
      <t>2</t>
    </r>
    <r>
      <rPr>
        <sz val="10"/>
        <color theme="1"/>
        <rFont val="Arial"/>
        <family val="2"/>
      </rPr>
      <t>011-4</t>
    </r>
    <phoneticPr fontId="237" type="noConversion"/>
  </si>
  <si>
    <r>
      <t>2</t>
    </r>
    <r>
      <rPr>
        <sz val="10"/>
        <color theme="1"/>
        <rFont val="Arial"/>
        <family val="2"/>
      </rPr>
      <t>011-3</t>
    </r>
    <phoneticPr fontId="237" type="noConversion"/>
  </si>
  <si>
    <r>
      <t>2</t>
    </r>
    <r>
      <rPr>
        <sz val="10"/>
        <color theme="1"/>
        <rFont val="Arial"/>
        <family val="2"/>
      </rPr>
      <t>011-2</t>
    </r>
    <phoneticPr fontId="237" type="noConversion"/>
  </si>
  <si>
    <r>
      <t>2</t>
    </r>
    <r>
      <rPr>
        <sz val="10"/>
        <color theme="1"/>
        <rFont val="Arial"/>
        <family val="2"/>
      </rPr>
      <t>011-1</t>
    </r>
    <phoneticPr fontId="237" type="noConversion"/>
  </si>
  <si>
    <r>
      <t>2</t>
    </r>
    <r>
      <rPr>
        <sz val="10"/>
        <color theme="1"/>
        <rFont val="Arial"/>
        <family val="2"/>
      </rPr>
      <t>010-4</t>
    </r>
    <phoneticPr fontId="237" type="noConversion"/>
  </si>
  <si>
    <r>
      <t>2</t>
    </r>
    <r>
      <rPr>
        <sz val="10"/>
        <color theme="1"/>
        <rFont val="Arial"/>
        <family val="2"/>
      </rPr>
      <t>010-3</t>
    </r>
    <phoneticPr fontId="237" type="noConversion"/>
  </si>
  <si>
    <r>
      <t>2</t>
    </r>
    <r>
      <rPr>
        <sz val="10"/>
        <color theme="1"/>
        <rFont val="Arial"/>
        <family val="2"/>
      </rPr>
      <t>010-2</t>
    </r>
    <phoneticPr fontId="237" type="noConversion"/>
  </si>
  <si>
    <r>
      <t>2</t>
    </r>
    <r>
      <rPr>
        <sz val="10"/>
        <color theme="1"/>
        <rFont val="Arial"/>
        <family val="2"/>
      </rPr>
      <t>010-1</t>
    </r>
    <phoneticPr fontId="237" type="noConversion"/>
  </si>
  <si>
    <r>
      <t>2</t>
    </r>
    <r>
      <rPr>
        <sz val="10"/>
        <color theme="1"/>
        <rFont val="Arial"/>
        <family val="2"/>
      </rPr>
      <t>009-4</t>
    </r>
    <phoneticPr fontId="237" type="noConversion"/>
  </si>
  <si>
    <r>
      <t>2</t>
    </r>
    <r>
      <rPr>
        <sz val="10"/>
        <color theme="1"/>
        <rFont val="Arial"/>
        <family val="2"/>
      </rPr>
      <t>009-3</t>
    </r>
    <phoneticPr fontId="237" type="noConversion"/>
  </si>
  <si>
    <r>
      <t>2</t>
    </r>
    <r>
      <rPr>
        <sz val="10"/>
        <color theme="1"/>
        <rFont val="Arial"/>
        <family val="2"/>
      </rPr>
      <t>009-2</t>
    </r>
    <phoneticPr fontId="237" type="noConversion"/>
  </si>
  <si>
    <r>
      <t>2</t>
    </r>
    <r>
      <rPr>
        <sz val="10"/>
        <color theme="1"/>
        <rFont val="Arial"/>
        <family val="2"/>
      </rPr>
      <t>009-1</t>
    </r>
    <phoneticPr fontId="237" type="noConversion"/>
  </si>
  <si>
    <r>
      <t>2</t>
    </r>
    <r>
      <rPr>
        <sz val="10"/>
        <color theme="1"/>
        <rFont val="Arial"/>
        <family val="2"/>
      </rPr>
      <t>008-4</t>
    </r>
    <phoneticPr fontId="237" type="noConversion"/>
  </si>
  <si>
    <r>
      <t>2</t>
    </r>
    <r>
      <rPr>
        <sz val="10"/>
        <color theme="1"/>
        <rFont val="Arial"/>
        <family val="2"/>
      </rPr>
      <t>008-3</t>
    </r>
    <phoneticPr fontId="237" type="noConversion"/>
  </si>
  <si>
    <r>
      <t>2</t>
    </r>
    <r>
      <rPr>
        <sz val="10"/>
        <color theme="1"/>
        <rFont val="Arial"/>
        <family val="2"/>
      </rPr>
      <t>008-2</t>
    </r>
    <phoneticPr fontId="237" type="noConversion"/>
  </si>
  <si>
    <r>
      <t>2</t>
    </r>
    <r>
      <rPr>
        <sz val="10"/>
        <color theme="1"/>
        <rFont val="Arial"/>
        <family val="2"/>
      </rPr>
      <t>008-1</t>
    </r>
    <phoneticPr fontId="237" type="noConversion"/>
  </si>
  <si>
    <r>
      <t>2</t>
    </r>
    <r>
      <rPr>
        <sz val="10"/>
        <color theme="1"/>
        <rFont val="Arial"/>
        <family val="2"/>
      </rPr>
      <t>007-4</t>
    </r>
    <phoneticPr fontId="237" type="noConversion"/>
  </si>
  <si>
    <r>
      <t>2</t>
    </r>
    <r>
      <rPr>
        <sz val="10"/>
        <color theme="1"/>
        <rFont val="Arial"/>
        <family val="2"/>
      </rPr>
      <t>007-3</t>
    </r>
    <phoneticPr fontId="237" type="noConversion"/>
  </si>
  <si>
    <r>
      <t>2</t>
    </r>
    <r>
      <rPr>
        <sz val="10"/>
        <color theme="1"/>
        <rFont val="Arial"/>
        <family val="2"/>
      </rPr>
      <t>007-2</t>
    </r>
    <phoneticPr fontId="237" type="noConversion"/>
  </si>
  <si>
    <r>
      <t>2</t>
    </r>
    <r>
      <rPr>
        <sz val="10"/>
        <color theme="1"/>
        <rFont val="Arial"/>
        <family val="2"/>
      </rPr>
      <t>007-1</t>
    </r>
    <phoneticPr fontId="237" type="noConversion"/>
  </si>
  <si>
    <r>
      <t>2</t>
    </r>
    <r>
      <rPr>
        <sz val="10"/>
        <color theme="1"/>
        <rFont val="Arial"/>
        <family val="2"/>
      </rPr>
      <t>006-4</t>
    </r>
    <phoneticPr fontId="237" type="noConversion"/>
  </si>
  <si>
    <t>2006-3</t>
    <phoneticPr fontId="237" type="noConversion"/>
  </si>
  <si>
    <t>2006-2</t>
    <phoneticPr fontId="237" type="noConversion"/>
  </si>
  <si>
    <t>2006-1</t>
    <phoneticPr fontId="237" type="noConversion"/>
  </si>
  <si>
    <r>
      <t>2</t>
    </r>
    <r>
      <rPr>
        <sz val="10"/>
        <color theme="1"/>
        <rFont val="Arial"/>
        <family val="2"/>
      </rPr>
      <t>005-4</t>
    </r>
    <phoneticPr fontId="237" type="noConversion"/>
  </si>
  <si>
    <r>
      <t>2</t>
    </r>
    <r>
      <rPr>
        <sz val="10"/>
        <color theme="1"/>
        <rFont val="Arial"/>
        <family val="2"/>
      </rPr>
      <t>005-3</t>
    </r>
    <phoneticPr fontId="237" type="noConversion"/>
  </si>
  <si>
    <r>
      <t>2</t>
    </r>
    <r>
      <rPr>
        <sz val="10"/>
        <color theme="1"/>
        <rFont val="Arial"/>
        <family val="2"/>
      </rPr>
      <t>005-2</t>
    </r>
    <phoneticPr fontId="237" type="noConversion"/>
  </si>
  <si>
    <r>
      <t>2</t>
    </r>
    <r>
      <rPr>
        <sz val="10"/>
        <color theme="1"/>
        <rFont val="Arial"/>
        <family val="2"/>
      </rPr>
      <t>005-1</t>
    </r>
    <phoneticPr fontId="237" type="noConversion"/>
  </si>
  <si>
    <r>
      <t>2</t>
    </r>
    <r>
      <rPr>
        <sz val="10"/>
        <color theme="1"/>
        <rFont val="Arial"/>
        <family val="2"/>
      </rPr>
      <t>004-4</t>
    </r>
    <phoneticPr fontId="237" type="noConversion"/>
  </si>
  <si>
    <r>
      <t>2</t>
    </r>
    <r>
      <rPr>
        <sz val="10"/>
        <color theme="1"/>
        <rFont val="Arial"/>
        <family val="2"/>
      </rPr>
      <t>004-3</t>
    </r>
    <phoneticPr fontId="237" type="noConversion"/>
  </si>
  <si>
    <r>
      <t>2</t>
    </r>
    <r>
      <rPr>
        <sz val="10"/>
        <color theme="1"/>
        <rFont val="Arial"/>
        <family val="2"/>
      </rPr>
      <t>004-2</t>
    </r>
    <phoneticPr fontId="237" type="noConversion"/>
  </si>
  <si>
    <r>
      <t>2</t>
    </r>
    <r>
      <rPr>
        <sz val="10"/>
        <color theme="1"/>
        <rFont val="Arial"/>
        <family val="2"/>
      </rPr>
      <t>004-1</t>
    </r>
    <phoneticPr fontId="237" type="noConversion"/>
  </si>
  <si>
    <r>
      <t>2</t>
    </r>
    <r>
      <rPr>
        <sz val="10"/>
        <color theme="1"/>
        <rFont val="Arial"/>
        <family val="2"/>
      </rPr>
      <t>003-4</t>
    </r>
    <phoneticPr fontId="237" type="noConversion"/>
  </si>
  <si>
    <r>
      <t>2</t>
    </r>
    <r>
      <rPr>
        <sz val="10"/>
        <color theme="1"/>
        <rFont val="Arial"/>
        <family val="2"/>
      </rPr>
      <t>003-3</t>
    </r>
    <phoneticPr fontId="237" type="noConversion"/>
  </si>
  <si>
    <r>
      <t>2</t>
    </r>
    <r>
      <rPr>
        <sz val="10"/>
        <color theme="1"/>
        <rFont val="Arial"/>
        <family val="2"/>
      </rPr>
      <t>003-2</t>
    </r>
    <phoneticPr fontId="237" type="noConversion"/>
  </si>
  <si>
    <r>
      <t>2</t>
    </r>
    <r>
      <rPr>
        <sz val="10"/>
        <color theme="1"/>
        <rFont val="Arial"/>
        <family val="2"/>
      </rPr>
      <t>003-1</t>
    </r>
    <phoneticPr fontId="237" type="noConversion"/>
  </si>
  <si>
    <r>
      <t>2</t>
    </r>
    <r>
      <rPr>
        <sz val="10"/>
        <color theme="1"/>
        <rFont val="Arial"/>
        <family val="2"/>
      </rPr>
      <t>002-4</t>
    </r>
    <phoneticPr fontId="237" type="noConversion"/>
  </si>
  <si>
    <r>
      <t>2</t>
    </r>
    <r>
      <rPr>
        <sz val="10"/>
        <color theme="1"/>
        <rFont val="Arial"/>
        <family val="2"/>
      </rPr>
      <t>002-3</t>
    </r>
    <phoneticPr fontId="237" type="noConversion"/>
  </si>
  <si>
    <r>
      <t>2</t>
    </r>
    <r>
      <rPr>
        <sz val="10"/>
        <color theme="1"/>
        <rFont val="Arial"/>
        <family val="2"/>
      </rPr>
      <t>002-2</t>
    </r>
    <phoneticPr fontId="237" type="noConversion"/>
  </si>
  <si>
    <r>
      <t>2</t>
    </r>
    <r>
      <rPr>
        <sz val="10"/>
        <color theme="1"/>
        <rFont val="Arial"/>
        <family val="2"/>
      </rPr>
      <t>002-1</t>
    </r>
    <phoneticPr fontId="237" type="noConversion"/>
  </si>
  <si>
    <t>说明</t>
    <phoneticPr fontId="2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</si>
  <si>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</si>
  <si>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</si>
  <si>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</si>
  <si>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</si>
  <si>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</si>
  <si>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</si>
  <si>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</si>
  <si>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7" type="noConversion"/>
  </si>
  <si>
    <t>基准季度</t>
    <phoneticPr fontId="237" type="noConversion"/>
  </si>
  <si>
    <r>
      <rPr>
        <sz val="11"/>
        <color indexed="8"/>
        <rFont val="楷体_GB2312"/>
        <family val="3"/>
        <charset val="134"/>
      </rPr>
      <t>商业</t>
    </r>
    <phoneticPr fontId="7" type="noConversion"/>
  </si>
  <si>
    <r>
      <rPr>
        <sz val="11"/>
        <color indexed="8"/>
        <rFont val="楷体_GB2312"/>
        <family val="3"/>
        <charset val="134"/>
      </rPr>
      <t>工业</t>
    </r>
    <phoneticPr fontId="7" type="noConversion"/>
  </si>
  <si>
    <t>平均增幅</t>
    <phoneticPr fontId="237" type="noConversion"/>
  </si>
  <si>
    <t>自定义涨幅</t>
    <phoneticPr fontId="129" type="noConversion"/>
  </si>
  <si>
    <t>季度增幅</t>
    <phoneticPr fontId="129"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</si>
  <si>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0" type="noConversion"/>
  </si>
  <si>
    <t>综合</t>
  </si>
  <si>
    <t>综合</t>
    <phoneticPr fontId="129" type="noConversion"/>
  </si>
  <si>
    <t>工业</t>
    <phoneticPr fontId="32" type="noConversion"/>
  </si>
  <si>
    <t>平均季度涨幅（公示）</t>
    <phoneticPr fontId="129" type="noConversion"/>
  </si>
  <si>
    <t>万元</t>
    <phoneticPr fontId="7" type="noConversion"/>
  </si>
  <si>
    <r>
      <t>1 .</t>
    </r>
    <r>
      <rPr>
        <b/>
        <sz val="12"/>
        <color indexed="8"/>
        <rFont val="仿宋_GB2312"/>
        <family val="3"/>
        <charset val="134"/>
      </rPr>
      <t>不动产总价</t>
    </r>
    <phoneticPr fontId="18" type="noConversion"/>
  </si>
  <si>
    <t>11111111111</t>
    <phoneticPr fontId="141" type="noConversion"/>
  </si>
  <si>
    <t>京国土字第111号</t>
    <phoneticPr fontId="141" type="noConversion"/>
  </si>
  <si>
    <t>中信开发</t>
    <phoneticPr fontId="141" type="noConversion"/>
  </si>
  <si>
    <t>顺序</t>
    <phoneticPr fontId="237" type="noConversion"/>
  </si>
  <si>
    <t>致函-估价对象-1</t>
    <phoneticPr fontId="237" type="noConversion"/>
  </si>
  <si>
    <t>致函-估价对象-2</t>
  </si>
  <si>
    <t>致函-估价期日</t>
    <phoneticPr fontId="237" type="noConversion"/>
  </si>
  <si>
    <t>封皮-估价项目名称</t>
    <phoneticPr fontId="248" type="noConversion"/>
  </si>
  <si>
    <t>封皮-委托估价方</t>
    <phoneticPr fontId="248" type="noConversion"/>
  </si>
  <si>
    <t>封皮-土地估价师</t>
    <phoneticPr fontId="248" type="noConversion"/>
  </si>
  <si>
    <t>封皮-土地估价报告编号</t>
    <phoneticPr fontId="248" type="noConversion"/>
  </si>
  <si>
    <t>致函-地价定义-规划</t>
    <phoneticPr fontId="237" type="noConversion"/>
  </si>
  <si>
    <t>致函-地价定义-用途-1</t>
    <phoneticPr fontId="237" type="noConversion"/>
  </si>
  <si>
    <t>致函-地价定义-用途-2</t>
    <phoneticPr fontId="237" type="noConversion"/>
  </si>
  <si>
    <t>致函-地价定义-开发程度-1</t>
    <phoneticPr fontId="237" type="noConversion"/>
  </si>
  <si>
    <t>致函-地价定义-开发程度-2</t>
    <phoneticPr fontId="237" type="noConversion"/>
  </si>
  <si>
    <t>致函-地价定义-年限-1</t>
    <phoneticPr fontId="237" type="noConversion"/>
  </si>
  <si>
    <t>致函-地价定义-年限-2</t>
    <phoneticPr fontId="237" type="noConversion"/>
  </si>
  <si>
    <t>致函-地价定义-1</t>
    <phoneticPr fontId="237" type="noConversion"/>
  </si>
  <si>
    <t>致函-地价定义-2</t>
    <phoneticPr fontId="237" type="noConversion"/>
  </si>
  <si>
    <t>致函-地价定义-3</t>
    <phoneticPr fontId="237" type="noConversion"/>
  </si>
  <si>
    <t>致函-地价定义-4</t>
    <phoneticPr fontId="237" type="noConversion"/>
  </si>
  <si>
    <t>致函-估价结果</t>
    <phoneticPr fontId="237" type="noConversion"/>
  </si>
  <si>
    <t>致函-估价结果-表-1</t>
    <phoneticPr fontId="237" type="noConversion"/>
  </si>
  <si>
    <t>致函-估价结果-表-2</t>
  </si>
  <si>
    <t>致函-限定条件-1</t>
    <phoneticPr fontId="248" type="noConversion"/>
  </si>
  <si>
    <t>致函-限定条件-2</t>
  </si>
  <si>
    <t>致函-限定条件-3</t>
  </si>
  <si>
    <t>致函-其他事项-1</t>
    <phoneticPr fontId="237" type="noConversion"/>
  </si>
  <si>
    <t>致函-其他事项-2</t>
  </si>
  <si>
    <t>致函-其他事项-优先受偿-1</t>
    <phoneticPr fontId="237" type="noConversion"/>
  </si>
  <si>
    <t>致函-其他事项-优先受偿</t>
    <phoneticPr fontId="237" type="noConversion"/>
  </si>
  <si>
    <t>致函-其他事项-优先受偿-2</t>
  </si>
  <si>
    <t>致函-其他事项-优先受偿-3</t>
  </si>
  <si>
    <t>致函-其他事项-优先受偿-4</t>
  </si>
  <si>
    <t>致函-其他事项-4</t>
    <phoneticPr fontId="237" type="noConversion"/>
  </si>
  <si>
    <t>致函-其他事项-5</t>
  </si>
  <si>
    <t>致函-估价师签字-1</t>
    <phoneticPr fontId="237" type="noConversion"/>
  </si>
  <si>
    <t>致函-估价师签字-2</t>
    <phoneticPr fontId="237" type="noConversion"/>
  </si>
  <si>
    <t>致函-出具日期</t>
    <phoneticPr fontId="237"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</si>
  <si>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</si>
  <si>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</si>
  <si>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</si>
  <si>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</si>
  <si>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</si>
  <si>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</si>
  <si>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</si>
  <si>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</si>
  <si>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</si>
  <si>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1" type="noConversion"/>
  </si>
  <si>
    <t xml:space="preserve">  年   月   日</t>
    <phoneticPr fontId="141" type="noConversion"/>
  </si>
  <si>
    <t xml:space="preserve">  年   月   日</t>
    <phoneticPr fontId="141" type="noConversion"/>
  </si>
  <si>
    <t>致函-委托事项</t>
    <phoneticPr fontId="248" type="noConversion"/>
  </si>
  <si>
    <r>
      <t>金融机构</t>
    </r>
    <r>
      <rPr>
        <sz val="10"/>
        <color indexed="8"/>
        <rFont val="仿宋_GB2312"/>
        <family val="3"/>
        <charset val="134"/>
      </rPr>
      <t>(贷款方)</t>
    </r>
    <phoneticPr fontId="7" type="noConversion"/>
  </si>
  <si>
    <t>借款方</t>
    <phoneticPr fontId="10" type="noConversion"/>
  </si>
  <si>
    <t>致函-估价目的</t>
    <phoneticPr fontId="237" type="noConversion"/>
  </si>
  <si>
    <t>致函-估价结果-表-使用者</t>
    <phoneticPr fontId="248" type="noConversion"/>
  </si>
  <si>
    <t>致函-估价结果-表-地号</t>
    <phoneticPr fontId="248" type="noConversion"/>
  </si>
  <si>
    <t>致函-估价结果-表-权属证号</t>
    <phoneticPr fontId="248" type="noConversion"/>
  </si>
  <si>
    <t>致函-估价结果-表-用途-1</t>
    <phoneticPr fontId="248" type="noConversion"/>
  </si>
  <si>
    <t>致函-估价结果-表-用途-2</t>
  </si>
  <si>
    <t>致函-估价结果-表-用途-3</t>
  </si>
  <si>
    <t>致函-估价结果-表-容积率-1</t>
    <phoneticPr fontId="248" type="noConversion"/>
  </si>
  <si>
    <t>致函-估价结果-表-容积率-2</t>
  </si>
  <si>
    <t>致函-估价结果-表-容积率-3</t>
  </si>
  <si>
    <t>致函-估价结果-表-开发程度-1</t>
    <phoneticPr fontId="248" type="noConversion"/>
  </si>
  <si>
    <t>致函-估价结果-表-开发程度-2</t>
  </si>
  <si>
    <t>致函-估价结果-表-年限</t>
    <phoneticPr fontId="248" type="noConversion"/>
  </si>
  <si>
    <t>致函-估价结果-表-土地</t>
    <phoneticPr fontId="248" type="noConversion"/>
  </si>
  <si>
    <t>致函-估价结果-表-建筑</t>
    <phoneticPr fontId="248" type="noConversion"/>
  </si>
  <si>
    <t>致函-估价结果-表-地面价</t>
    <phoneticPr fontId="248" type="noConversion"/>
  </si>
  <si>
    <t>致函-估价结果-表-楼面价</t>
    <phoneticPr fontId="248" type="noConversion"/>
  </si>
  <si>
    <t>致函-估价结果-表-总额</t>
    <phoneticPr fontId="248" type="noConversion"/>
  </si>
  <si>
    <t>致函-估价结果-表-抵押</t>
    <phoneticPr fontId="248" type="noConversion"/>
  </si>
  <si>
    <t>致函-估价结果-表-已注</t>
    <phoneticPr fontId="248" type="noConversion"/>
  </si>
  <si>
    <t>致函-估价结果-表-净值</t>
    <phoneticPr fontId="248" type="noConversion"/>
  </si>
  <si>
    <t>致函-限定条件-4</t>
  </si>
  <si>
    <t>2.估价师知悉的法定优先受偿款</t>
  </si>
  <si>
    <r>
      <t>宗地编号</t>
    </r>
    <r>
      <rPr>
        <i/>
        <sz val="10.5"/>
        <color theme="9" tint="-0.249977111117893"/>
        <rFont val="仿宋_GB2312"/>
        <family val="3"/>
        <charset val="134"/>
      </rPr>
      <t>/不动产单元号</t>
    </r>
    <phoneticPr fontId="141" type="noConversion"/>
  </si>
  <si>
    <t>（剩余）土地使用年限/年</t>
    <phoneticPr fontId="141" type="noConversion"/>
  </si>
  <si>
    <t>致函-估价结果-表-使用者(标题）</t>
    <phoneticPr fontId="248" type="noConversion"/>
  </si>
  <si>
    <t>致函-估价结果-表-地号(标题）</t>
    <phoneticPr fontId="248" type="noConversion"/>
  </si>
  <si>
    <t>土地使用证编号/不动产权证书编号</t>
    <phoneticPr fontId="141" type="noConversion"/>
  </si>
  <si>
    <t>致函-估价结果-表-宗地名称</t>
    <phoneticPr fontId="248" type="noConversion"/>
  </si>
  <si>
    <t>致函-估价结果-表-权属证号(标题）</t>
    <phoneticPr fontId="248" type="noConversion"/>
  </si>
  <si>
    <t>致函-估价结果-表-年限(标题）</t>
    <phoneticPr fontId="248" type="noConversion"/>
  </si>
  <si>
    <t>致函-估价结果-表-土地(标题）</t>
    <phoneticPr fontId="248" type="noConversion"/>
  </si>
  <si>
    <t>致函-估价结果-表-建筑(标题）</t>
    <phoneticPr fontId="248" type="noConversion"/>
  </si>
  <si>
    <t>致函-估价结果-表-抵押（名称）</t>
    <phoneticPr fontId="248" type="noConversion"/>
  </si>
  <si>
    <t>致函-估价结果-表-已注（名称）</t>
    <phoneticPr fontId="248" type="noConversion"/>
  </si>
  <si>
    <t>致函-估价结果-表-净值（名称）</t>
    <phoneticPr fontId="248" type="noConversion"/>
  </si>
  <si>
    <r>
      <t>实际</t>
    </r>
    <r>
      <rPr>
        <i/>
        <sz val="10.5"/>
        <color theme="3" tint="0.39997558519241921"/>
        <rFont val="仿宋_GB2312"/>
        <family val="3"/>
        <charset val="134"/>
      </rPr>
      <t>（证载）</t>
    </r>
    <phoneticPr fontId="141" type="noConversion"/>
  </si>
  <si>
    <r>
      <t>实际</t>
    </r>
    <r>
      <rPr>
        <i/>
        <sz val="10.5"/>
        <color theme="3" tint="0.39997558519241921"/>
        <rFont val="仿宋_GB2312"/>
        <family val="3"/>
        <charset val="134"/>
      </rPr>
      <t>（工程规划）</t>
    </r>
    <phoneticPr fontId="141" type="noConversion"/>
  </si>
  <si>
    <t>（3）。</t>
    <phoneticPr fontId="141" type="noConversion"/>
  </si>
  <si>
    <t xml:space="preserve">简述项目推广名，项目类型（用途），估价对象分布，各用途面积明细情况：XX用途建筑面积XX平方米，XX用途建筑面积XX平方米，……。复杂面积清单需设‘附表’列示：抵押物清单详见附表。        </t>
    <phoneticPr fontId="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</si>
  <si>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1" type="noConversion"/>
  </si>
  <si>
    <t>本次估价对象国有建设用地使用权类型为储备，无土地使用年限限制。</t>
  </si>
  <si>
    <t>储备-补1</t>
    <phoneticPr fontId="24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</si>
  <si>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</si>
  <si>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</si>
  <si>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4" type="noConversion"/>
  </si>
  <si>
    <t>区域因素</t>
    <phoneticPr fontId="30" type="noConversion"/>
  </si>
  <si>
    <t>个别因素</t>
    <phoneticPr fontId="30" type="noConversion"/>
  </si>
  <si>
    <r>
      <rPr>
        <b/>
        <sz val="11"/>
        <color indexed="8"/>
        <rFont val="仿宋_GB2312"/>
        <family val="3"/>
        <charset val="134"/>
      </rPr>
      <t>用途</t>
    </r>
    <phoneticPr fontId="7" type="noConversion"/>
  </si>
  <si>
    <r>
      <rPr>
        <b/>
        <sz val="11"/>
        <color indexed="8"/>
        <rFont val="仿宋_GB2312"/>
        <family val="3"/>
        <charset val="134"/>
      </rPr>
      <t>土地使用年限（年）</t>
    </r>
    <phoneticPr fontId="7" type="noConversion"/>
  </si>
  <si>
    <r>
      <rPr>
        <b/>
        <sz val="11"/>
        <color indexed="8"/>
        <rFont val="仿宋_GB2312"/>
        <family val="3"/>
        <charset val="134"/>
      </rPr>
      <t>容积率</t>
    </r>
    <phoneticPr fontId="7" type="noConversion"/>
  </si>
  <si>
    <r>
      <rPr>
        <b/>
        <sz val="11"/>
        <color indexed="8"/>
        <rFont val="仿宋_GB2312"/>
        <family val="3"/>
        <charset val="134"/>
      </rPr>
      <t>配建</t>
    </r>
    <phoneticPr fontId="30"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</si>
  <si>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</si>
  <si>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商业多楼层</t>
    <phoneticPr fontId="129" type="noConversion"/>
  </si>
  <si>
    <t>楼层修正系数</t>
    <phoneticPr fontId="129" type="noConversion"/>
  </si>
  <si>
    <r>
      <t>商业R</t>
    </r>
    <r>
      <rPr>
        <sz val="10"/>
        <color indexed="8"/>
        <rFont val="仿宋_GB2312"/>
        <family val="3"/>
        <charset val="134"/>
      </rPr>
      <t>≥</t>
    </r>
    <r>
      <rPr>
        <sz val="10"/>
        <color indexed="8"/>
        <rFont val="宋体"/>
        <family val="3"/>
        <charset val="134"/>
      </rPr>
      <t>1</t>
    </r>
    <phoneticPr fontId="129" type="noConversion"/>
  </si>
  <si>
    <r>
      <rPr>
        <sz val="10"/>
        <rFont val="仿宋_GB2312"/>
        <family val="3"/>
        <charset val="134"/>
      </rPr>
      <t>估价对象级别</t>
    </r>
    <phoneticPr fontId="129" type="noConversion"/>
  </si>
  <si>
    <r>
      <rPr>
        <sz val="10"/>
        <rFont val="仿宋_GB2312"/>
        <family val="3"/>
        <charset val="134"/>
      </rPr>
      <t>容积率</t>
    </r>
    <phoneticPr fontId="129" type="noConversion"/>
  </si>
  <si>
    <r>
      <rPr>
        <sz val="10"/>
        <color theme="1"/>
        <rFont val="宋体"/>
        <family val="3"/>
        <charset val="134"/>
      </rPr>
      <t>一级</t>
    </r>
    <phoneticPr fontId="129" type="noConversion"/>
  </si>
  <si>
    <r>
      <rPr>
        <sz val="10"/>
        <color theme="1"/>
        <rFont val="宋体"/>
        <family val="3"/>
        <charset val="134"/>
      </rPr>
      <t>二级</t>
    </r>
    <phoneticPr fontId="129" type="noConversion"/>
  </si>
  <si>
    <r>
      <rPr>
        <sz val="10"/>
        <color theme="1"/>
        <rFont val="宋体"/>
        <family val="3"/>
        <charset val="134"/>
      </rPr>
      <t>三级</t>
    </r>
    <phoneticPr fontId="129" type="noConversion"/>
  </si>
  <si>
    <r>
      <rPr>
        <sz val="10"/>
        <color theme="1"/>
        <rFont val="宋体"/>
        <family val="3"/>
        <charset val="134"/>
      </rPr>
      <t>四级</t>
    </r>
    <phoneticPr fontId="129" type="noConversion"/>
  </si>
  <si>
    <r>
      <rPr>
        <sz val="10"/>
        <color theme="1"/>
        <rFont val="宋体"/>
        <family val="3"/>
        <charset val="134"/>
      </rPr>
      <t>五级</t>
    </r>
    <phoneticPr fontId="129" type="noConversion"/>
  </si>
  <si>
    <r>
      <rPr>
        <sz val="10"/>
        <color theme="1"/>
        <rFont val="宋体"/>
        <family val="3"/>
        <charset val="134"/>
      </rPr>
      <t>六级</t>
    </r>
    <phoneticPr fontId="129" type="noConversion"/>
  </si>
  <si>
    <r>
      <rPr>
        <sz val="10"/>
        <color theme="1"/>
        <rFont val="宋体"/>
        <family val="3"/>
        <charset val="134"/>
      </rPr>
      <t>七级</t>
    </r>
    <phoneticPr fontId="129" type="noConversion"/>
  </si>
  <si>
    <r>
      <rPr>
        <sz val="10"/>
        <color theme="1"/>
        <rFont val="宋体"/>
        <family val="3"/>
        <charset val="134"/>
      </rPr>
      <t>八级</t>
    </r>
    <phoneticPr fontId="129" type="noConversion"/>
  </si>
  <si>
    <r>
      <rPr>
        <sz val="10"/>
        <color theme="1"/>
        <rFont val="宋体"/>
        <family val="3"/>
        <charset val="134"/>
      </rPr>
      <t>九级</t>
    </r>
    <phoneticPr fontId="129" type="noConversion"/>
  </si>
  <si>
    <r>
      <rPr>
        <sz val="10"/>
        <color theme="1"/>
        <rFont val="宋体"/>
        <family val="3"/>
        <charset val="134"/>
      </rPr>
      <t>十级</t>
    </r>
    <phoneticPr fontId="129" type="noConversion"/>
  </si>
  <si>
    <r>
      <rPr>
        <sz val="10"/>
        <color theme="1"/>
        <rFont val="宋体"/>
        <family val="3"/>
        <charset val="134"/>
      </rPr>
      <t>十一级</t>
    </r>
    <phoneticPr fontId="129" type="noConversion"/>
  </si>
  <si>
    <r>
      <rPr>
        <sz val="10"/>
        <color theme="1"/>
        <rFont val="宋体"/>
        <family val="3"/>
        <charset val="134"/>
      </rPr>
      <t>十二级</t>
    </r>
    <phoneticPr fontId="129"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</si>
  <si>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9" type="noConversion"/>
  </si>
  <si>
    <r>
      <t>7</t>
    </r>
    <r>
      <rPr>
        <sz val="10"/>
        <color theme="1"/>
        <rFont val="宋体"/>
        <family val="3"/>
        <charset val="134"/>
      </rPr>
      <t>层及以上</t>
    </r>
    <phoneticPr fontId="129" type="noConversion"/>
  </si>
  <si>
    <r>
      <rPr>
        <sz val="10"/>
        <rFont val="仿宋_GB2312"/>
        <family val="3"/>
        <charset val="134"/>
      </rPr>
      <t>商业</t>
    </r>
    <r>
      <rPr>
        <sz val="10"/>
        <rFont val="Arial"/>
        <family val="2"/>
      </rPr>
      <t>R&lt;1</t>
    </r>
    <phoneticPr fontId="129"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</si>
  <si>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9" type="noConversion"/>
  </si>
  <si>
    <t>容积率             级别</t>
    <phoneticPr fontId="129" type="noConversion"/>
  </si>
  <si>
    <t>楼面熟地单价</t>
    <phoneticPr fontId="129" type="noConversion"/>
  </si>
  <si>
    <t>层面积</t>
    <phoneticPr fontId="129" type="noConversion"/>
  </si>
  <si>
    <t>总额</t>
    <phoneticPr fontId="129" type="noConversion"/>
  </si>
  <si>
    <t>致函-其他专业人员</t>
    <phoneticPr fontId="248" type="noConversion"/>
  </si>
  <si>
    <t>价值时点</t>
    <phoneticPr fontId="7" type="noConversion"/>
  </si>
  <si>
    <t>贷款利率</t>
    <phoneticPr fontId="7" type="noConversion"/>
  </si>
  <si>
    <t>贷款利率</t>
    <phoneticPr fontId="237" type="noConversion"/>
  </si>
  <si>
    <t>存款利率</t>
    <phoneticPr fontId="23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</si>
  <si>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</si>
  <si>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</si>
  <si>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</si>
  <si>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</si>
  <si>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</si>
  <si>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2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</si>
  <si>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</si>
  <si>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</si>
  <si>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</si>
  <si>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</si>
  <si>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</si>
  <si>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</si>
  <si>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</si>
  <si>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</si>
  <si>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</si>
  <si>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</si>
  <si>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</si>
  <si>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</si>
  <si>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</si>
  <si>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</si>
  <si>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</si>
  <si>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</si>
  <si>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</si>
  <si>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</si>
  <si>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</si>
  <si>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</si>
  <si>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</si>
  <si>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项目开发期</t>
    <phoneticPr fontId="237" type="noConversion"/>
  </si>
  <si>
    <t>1年期存款利率</t>
    <phoneticPr fontId="7" type="noConversion"/>
  </si>
  <si>
    <t>土地开发期</t>
    <phoneticPr fontId="237" type="noConversion"/>
  </si>
  <si>
    <t>不动产未来第一年净收益</t>
    <phoneticPr fontId="7" type="noConversion"/>
  </si>
  <si>
    <r>
      <t>建筑物重置价格（P</t>
    </r>
    <r>
      <rPr>
        <vertAlign val="subscript"/>
        <sz val="10"/>
        <color indexed="8"/>
        <rFont val="仿宋_GB2312"/>
        <family val="3"/>
        <charset val="134"/>
      </rPr>
      <t>建</t>
    </r>
    <r>
      <rPr>
        <sz val="10"/>
        <color indexed="8"/>
        <rFont val="仿宋_GB2312"/>
        <family val="3"/>
        <charset val="134"/>
      </rPr>
      <t>）</t>
    </r>
    <phoneticPr fontId="7" type="noConversion"/>
  </si>
  <si>
    <t>折现价格</t>
    <phoneticPr fontId="7" type="noConversion"/>
  </si>
  <si>
    <t>建筑物重置价格</t>
    <phoneticPr fontId="7" type="noConversion"/>
  </si>
  <si>
    <t>建筑物重置价格</t>
    <phoneticPr fontId="7" type="noConversion"/>
  </si>
  <si>
    <t>租约外不动产总价</t>
    <phoneticPr fontId="7" type="noConversion"/>
  </si>
  <si>
    <r>
      <t>P</t>
    </r>
    <r>
      <rPr>
        <b/>
        <vertAlign val="subscript"/>
        <sz val="11"/>
        <color indexed="8"/>
        <rFont val="仿宋_GB2312"/>
        <family val="3"/>
        <charset val="134"/>
      </rPr>
      <t>土</t>
    </r>
    <phoneticPr fontId="18" type="noConversion"/>
  </si>
  <si>
    <r>
      <t>P</t>
    </r>
    <r>
      <rPr>
        <b/>
        <vertAlign val="subscript"/>
        <sz val="11"/>
        <color indexed="8"/>
        <rFont val="仿宋_GB2312"/>
        <family val="3"/>
        <charset val="134"/>
      </rPr>
      <t>建</t>
    </r>
    <phoneticPr fontId="45" type="noConversion"/>
  </si>
  <si>
    <t>投资利润</t>
    <phoneticPr fontId="18" type="noConversion"/>
  </si>
  <si>
    <t>投资利润</t>
    <phoneticPr fontId="18" type="noConversion"/>
  </si>
  <si>
    <t>（10）</t>
    <phoneticPr fontId="19" type="noConversion"/>
  </si>
  <si>
    <t>管理费用</t>
    <phoneticPr fontId="18" type="noConversion"/>
  </si>
  <si>
    <t>购地税费</t>
    <phoneticPr fontId="18" type="noConversion"/>
  </si>
  <si>
    <t>投资利息</t>
    <phoneticPr fontId="18" type="noConversion"/>
  </si>
  <si>
    <r>
      <rPr>
        <b/>
        <sz val="10"/>
        <color indexed="8"/>
        <rFont val="楷体_GB2312"/>
        <family val="3"/>
        <charset val="134"/>
      </rPr>
      <t>销售费用</t>
    </r>
    <phoneticPr fontId="18"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</si>
  <si>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8" type="noConversion"/>
  </si>
  <si>
    <t>（1）-（5）项及销售费用产生的利息</t>
    <phoneticPr fontId="7"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</si>
  <si>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8" type="noConversion"/>
  </si>
  <si>
    <t>基准日地价指数</t>
    <phoneticPr fontId="7" type="noConversion"/>
  </si>
  <si>
    <t>所在季度地价指数</t>
    <phoneticPr fontId="7" type="noConversion"/>
  </si>
  <si>
    <t>此处对应不动产收益法中未来第一年总收益</t>
    <phoneticPr fontId="2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</si>
  <si>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</si>
  <si>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</si>
  <si>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</si>
  <si>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</si>
  <si>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</si>
  <si>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</si>
  <si>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</si>
  <si>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</si>
  <si>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</si>
  <si>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</si>
  <si>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</si>
  <si>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</si>
  <si>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</si>
  <si>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</si>
  <si>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</si>
  <si>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</si>
  <si>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</si>
  <si>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</si>
  <si>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</si>
  <si>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</si>
  <si>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</si>
  <si>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</si>
  <si>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</si>
  <si>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</si>
  <si>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</si>
  <si>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</si>
  <si>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7" type="noConversion"/>
  </si>
  <si>
    <t>楼面单价（元/平方米）</t>
    <phoneticPr fontId="237" type="noConversion"/>
  </si>
  <si>
    <t>项目名称</t>
    <phoneticPr fontId="237" type="noConversion"/>
  </si>
  <si>
    <t>重置成新价</t>
    <phoneticPr fontId="23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</si>
  <si>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</si>
  <si>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</si>
  <si>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</si>
  <si>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7"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</si>
  <si>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</si>
  <si>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</si>
  <si>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7" type="noConversion"/>
  </si>
  <si>
    <t>评估费</t>
  </si>
  <si>
    <t>拍卖费</t>
  </si>
  <si>
    <t>土地抵押价格</t>
    <phoneticPr fontId="12" type="noConversion"/>
  </si>
  <si>
    <t>个人非住宅</t>
  </si>
  <si>
    <r>
      <rPr>
        <sz val="10"/>
        <color indexed="8"/>
        <rFont val="仿宋_GB2312"/>
        <family val="3"/>
        <charset val="134"/>
      </rPr>
      <t>合计</t>
    </r>
    <phoneticPr fontId="12" type="noConversion"/>
  </si>
  <si>
    <r>
      <rPr>
        <sz val="10"/>
        <color indexed="8"/>
        <rFont val="仿宋_GB2312"/>
        <family val="3"/>
        <charset val="134"/>
      </rPr>
      <t>抵押净值</t>
    </r>
    <phoneticPr fontId="12" type="noConversion"/>
  </si>
  <si>
    <r>
      <rPr>
        <sz val="10"/>
        <color indexed="8"/>
        <rFont val="仿宋_GB2312"/>
        <family val="3"/>
        <charset val="134"/>
      </rPr>
      <t>抵押净值单价</t>
    </r>
    <phoneticPr fontId="12" type="noConversion"/>
  </si>
  <si>
    <r>
      <rPr>
        <b/>
        <sz val="10"/>
        <color indexed="8"/>
        <rFont val="仿宋_GB2312"/>
        <family val="3"/>
        <charset val="134"/>
      </rPr>
      <t>处置时需缴纳的相关税费</t>
    </r>
    <phoneticPr fontId="13" type="noConversion"/>
  </si>
  <si>
    <t>《国有土地使用证》[]</t>
    <phoneticPr fontId="10" type="noConversion"/>
  </si>
  <si>
    <t>《国有建设用地使用权出让合同》[]及附件、《北京市规划委员会关于同意XX项目的规划设计方案的规划意见复函》[]以及《建设工程规划许可证》[]</t>
    <phoneticPr fontId="10" type="noConversion"/>
  </si>
  <si>
    <t>《国有土地使用证》[]</t>
    <phoneticPr fontId="7" type="noConversion"/>
  </si>
  <si>
    <t>虚线以上为必填</t>
    <phoneticPr fontId="10" type="noConversion"/>
  </si>
  <si>
    <r>
      <rPr>
        <sz val="10"/>
        <color theme="1"/>
        <rFont val="楷体_GB2312"/>
        <family val="3"/>
        <charset val="134"/>
      </rPr>
      <t>范围：</t>
    </r>
    <r>
      <rPr>
        <sz val="10"/>
        <color theme="1"/>
        <rFont val="Arial"/>
        <family val="2"/>
      </rPr>
      <t>3%-5%</t>
    </r>
    <phoneticPr fontId="7" type="noConversion"/>
  </si>
  <si>
    <r>
      <rPr>
        <sz val="10"/>
        <color theme="1"/>
        <rFont val="楷体_GB2312"/>
        <family val="3"/>
        <charset val="134"/>
      </rPr>
      <t>范围：</t>
    </r>
    <r>
      <rPr>
        <sz val="10"/>
        <color theme="1"/>
        <rFont val="Arial"/>
        <family val="2"/>
      </rPr>
      <t>0-10%</t>
    </r>
    <phoneticPr fontId="7" type="noConversion"/>
  </si>
  <si>
    <r>
      <rPr>
        <sz val="10"/>
        <color theme="1"/>
        <rFont val="楷体_GB2312"/>
        <family val="3"/>
        <charset val="134"/>
      </rPr>
      <t>变化</t>
    </r>
    <phoneticPr fontId="7" type="noConversion"/>
  </si>
  <si>
    <r>
      <rPr>
        <sz val="10"/>
        <color theme="1"/>
        <rFont val="楷体_GB2312"/>
        <family val="3"/>
        <charset val="134"/>
      </rPr>
      <t>定值：</t>
    </r>
    <r>
      <rPr>
        <sz val="10"/>
        <color theme="1"/>
        <rFont val="Arial"/>
        <family val="2"/>
      </rPr>
      <t>1.5%</t>
    </r>
    <phoneticPr fontId="7" type="noConversion"/>
  </si>
  <si>
    <r>
      <rPr>
        <sz val="10"/>
        <color theme="1"/>
        <rFont val="楷体_GB2312"/>
        <family val="3"/>
        <charset val="134"/>
      </rPr>
      <t>范围：</t>
    </r>
    <r>
      <rPr>
        <sz val="10"/>
        <color theme="1"/>
        <rFont val="Arial"/>
        <family val="2"/>
      </rPr>
      <t>1%-3%</t>
    </r>
    <phoneticPr fontId="7"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</si>
  <si>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7" type="noConversion"/>
  </si>
  <si>
    <r>
      <rPr>
        <sz val="11"/>
        <color theme="1"/>
        <rFont val="楷体_GB2312"/>
        <family val="3"/>
        <charset val="134"/>
      </rPr>
      <t>北京：</t>
    </r>
    <r>
      <rPr>
        <sz val="11"/>
        <color theme="1"/>
        <rFont val="Arial"/>
        <family val="2"/>
      </rPr>
      <t>3%</t>
    </r>
    <phoneticPr fontId="7" type="noConversion"/>
  </si>
  <si>
    <r>
      <rPr>
        <sz val="11"/>
        <color theme="1"/>
        <rFont val="楷体_GB2312"/>
        <family val="3"/>
        <charset val="134"/>
      </rPr>
      <t>北京：</t>
    </r>
    <r>
      <rPr>
        <sz val="11"/>
        <color theme="1"/>
        <rFont val="Arial"/>
        <family val="2"/>
      </rPr>
      <t>2%</t>
    </r>
    <phoneticPr fontId="7" type="noConversion"/>
  </si>
  <si>
    <t>请录依据文件名称：</t>
    <phoneticPr fontId="7" type="noConversion"/>
  </si>
  <si>
    <r>
      <rPr>
        <sz val="11"/>
        <color indexed="8"/>
        <rFont val="楷体_GB2312"/>
        <family val="3"/>
        <charset val="134"/>
      </rPr>
      <t>北京：</t>
    </r>
    <r>
      <rPr>
        <sz val="11"/>
        <color indexed="8"/>
        <rFont val="Arial"/>
        <family val="2"/>
      </rPr>
      <t>3%</t>
    </r>
    <phoneticPr fontId="7" type="noConversion"/>
  </si>
  <si>
    <r>
      <rPr>
        <sz val="11"/>
        <color indexed="8"/>
        <rFont val="楷体_GB2312"/>
        <family val="3"/>
        <charset val="134"/>
      </rPr>
      <t>北京：</t>
    </r>
    <r>
      <rPr>
        <sz val="11"/>
        <color indexed="8"/>
        <rFont val="Arial"/>
        <family val="2"/>
      </rPr>
      <t>0.05%</t>
    </r>
    <phoneticPr fontId="7" type="noConversion"/>
  </si>
  <si>
    <t>北京</t>
    <phoneticPr fontId="7" type="noConversion"/>
  </si>
  <si>
    <t>其他省市请录依据文件名称：</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</si>
  <si>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</si>
  <si>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</si>
  <si>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</si>
  <si>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</si>
  <si>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</si>
  <si>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</si>
  <si>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</si>
  <si>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</si>
  <si>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</si>
  <si>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</si>
  <si>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r>
      <rPr>
        <sz val="11"/>
        <color theme="9" tint="-0.249977111117893"/>
        <rFont val="仿宋_GB2312"/>
        <family val="3"/>
        <charset val="134"/>
      </rPr>
      <t>估价对象所在区域基础设施水平</t>
    </r>
    <phoneticPr fontId="7" type="noConversion"/>
  </si>
  <si>
    <r>
      <rPr>
        <sz val="11"/>
        <color theme="9" tint="-0.249977111117893"/>
        <rFont val="仿宋_GB2312"/>
        <family val="3"/>
        <charset val="134"/>
      </rPr>
      <t>区域自然环境：；人文环境；综合评价环境状况一般</t>
    </r>
    <phoneticPr fontId="7" type="noConversion"/>
  </si>
  <si>
    <r>
      <rPr>
        <sz val="11"/>
        <color theme="9" tint="-0.249977111117893"/>
        <rFont val="仿宋_GB2312"/>
        <family val="3"/>
        <charset val="134"/>
      </rPr>
      <t>估价对象周边道路状况、公共交通通达情况、停车便捷程度，综合评价交通便捷度较好</t>
    </r>
    <phoneticPr fontId="7" type="noConversion"/>
  </si>
  <si>
    <r>
      <rPr>
        <sz val="11"/>
        <color theme="9" tint="-0.249977111117893"/>
        <rFont val="仿宋_GB2312"/>
        <family val="3"/>
        <charset val="134"/>
      </rPr>
      <t>估价对象所在区域公共配套设施齐备情况</t>
    </r>
    <phoneticPr fontId="7" type="noConversion"/>
  </si>
  <si>
    <r>
      <rPr>
        <sz val="11"/>
        <color theme="9" tint="-0.249977111117893"/>
        <rFont val="仿宋_GB2312"/>
        <family val="3"/>
        <charset val="134"/>
      </rPr>
      <t>估价对象周边居住用地比例、居住小区规模和社区发展完善程度，综合评价居住社区成熟度一般</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</si>
  <si>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</si>
  <si>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7" type="noConversion"/>
  </si>
  <si>
    <r>
      <rPr>
        <sz val="10"/>
        <color theme="9" tint="-0.249977111117893"/>
        <rFont val="楷体_GB2312"/>
        <family val="3"/>
        <charset val="134"/>
      </rPr>
      <t>修正项</t>
    </r>
    <r>
      <rPr>
        <sz val="10"/>
        <color theme="9" tint="-0.249977111117893"/>
        <rFont val="Arial"/>
        <family val="2"/>
      </rPr>
      <t>7</t>
    </r>
    <phoneticPr fontId="7" type="noConversion"/>
  </si>
  <si>
    <r>
      <rPr>
        <sz val="10"/>
        <color theme="9" tint="-0.249977111117893"/>
        <rFont val="楷体_GB2312"/>
        <family val="3"/>
        <charset val="134"/>
      </rPr>
      <t>修正项</t>
    </r>
    <r>
      <rPr>
        <sz val="10"/>
        <color theme="9" tint="-0.249977111117893"/>
        <rFont val="Arial"/>
        <family val="2"/>
      </rPr>
      <t>6</t>
    </r>
    <phoneticPr fontId="7" type="noConversion"/>
  </si>
  <si>
    <r>
      <rPr>
        <sz val="10"/>
        <color theme="9" tint="-0.249977111117893"/>
        <rFont val="楷体_GB2312"/>
        <family val="3"/>
        <charset val="134"/>
      </rPr>
      <t>修正项</t>
    </r>
    <r>
      <rPr>
        <sz val="10"/>
        <color theme="9" tint="-0.249977111117893"/>
        <rFont val="Arial"/>
        <family val="2"/>
      </rPr>
      <t>4</t>
    </r>
    <phoneticPr fontId="7" type="noConversion"/>
  </si>
  <si>
    <r>
      <rPr>
        <sz val="10"/>
        <color theme="9" tint="-0.249977111117893"/>
        <rFont val="楷体_GB2312"/>
        <family val="3"/>
        <charset val="134"/>
      </rPr>
      <t>修正项</t>
    </r>
    <r>
      <rPr>
        <sz val="10"/>
        <color theme="9" tint="-0.249977111117893"/>
        <rFont val="Arial"/>
        <family val="2"/>
      </rPr>
      <t>3</t>
    </r>
    <phoneticPr fontId="7" type="noConversion"/>
  </si>
  <si>
    <r>
      <rPr>
        <sz val="10"/>
        <color theme="9" tint="-0.249977111117893"/>
        <rFont val="楷体_GB2312"/>
        <family val="3"/>
        <charset val="134"/>
      </rPr>
      <t>修正项</t>
    </r>
    <r>
      <rPr>
        <sz val="10"/>
        <color theme="9" tint="-0.249977111117893"/>
        <rFont val="Arial"/>
        <family val="2"/>
      </rPr>
      <t>2</t>
    </r>
    <phoneticPr fontId="7" type="noConversion"/>
  </si>
  <si>
    <r>
      <rPr>
        <sz val="11"/>
        <color theme="9" tint="-0.249977111117893"/>
        <rFont val="仿宋_GB2312"/>
        <family val="3"/>
        <charset val="134"/>
      </rPr>
      <t>估价对象名称</t>
    </r>
    <phoneticPr fontId="7"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</si>
  <si>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</si>
  <si>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</si>
  <si>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7" type="noConversion"/>
  </si>
  <si>
    <r>
      <rPr>
        <sz val="11"/>
        <color theme="9" tint="-0.249977111117893"/>
        <rFont val="仿宋_GB2312"/>
        <family val="3"/>
        <charset val="134"/>
      </rPr>
      <t>项目位置</t>
    </r>
    <phoneticPr fontId="7"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</si>
  <si>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</si>
  <si>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</si>
  <si>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宗地形状不规则，但对宗地利用影响较小</t>
  </si>
  <si>
    <t>宽度XX米，深度XX米,临街宽度及深度比例适宜程度？对土地利用的影响？</t>
    <phoneticPr fontId="7" type="noConversion"/>
  </si>
  <si>
    <t>宽度XX米，深度XX米,临街宽度及深度比例适宜程度？对土地利用的影响？</t>
    <phoneticPr fontId="7" type="noConversion"/>
  </si>
  <si>
    <r>
      <rPr>
        <sz val="10"/>
        <color theme="9" tint="-0.249977111117893"/>
        <rFont val="楷体_GB2312"/>
        <family val="3"/>
        <charset val="134"/>
      </rPr>
      <t>修正项</t>
    </r>
    <r>
      <rPr>
        <sz val="10"/>
        <color theme="9" tint="-0.249977111117893"/>
        <rFont val="Arial"/>
        <family val="2"/>
      </rPr>
      <t>5</t>
    </r>
    <phoneticPr fontId="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</si>
  <si>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</si>
  <si>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1.用途</t>
    <phoneticPr fontId="7" type="noConversion"/>
  </si>
  <si>
    <t>残值率</t>
    <phoneticPr fontId="7" type="noConversion"/>
  </si>
  <si>
    <t>2017A-006</t>
    <phoneticPr fontId="141" type="noConversion"/>
  </si>
  <si>
    <t>总价</t>
  </si>
  <si>
    <t>万元</t>
  </si>
  <si>
    <t>汇总建筑面积</t>
  </si>
  <si>
    <t>楼面单价</t>
  </si>
  <si>
    <t>估价结果</t>
  </si>
  <si>
    <t>建筑面积</t>
  </si>
  <si>
    <t>基准地价（汇总）</t>
    <phoneticPr fontId="7" type="noConversion"/>
  </si>
  <si>
    <t>本次评估所采用的基准地价系数修正法</t>
    <phoneticPr fontId="237" type="noConversion"/>
  </si>
  <si>
    <t>基准地价</t>
  </si>
  <si>
    <t>土地面积</t>
    <phoneticPr fontId="237" type="noConversion"/>
  </si>
  <si>
    <t>单位面积地价</t>
    <phoneticPr fontId="237" type="noConversion"/>
  </si>
  <si>
    <t>汇总土地面积</t>
    <phoneticPr fontId="237" type="noConversion"/>
  </si>
  <si>
    <t>基准地价（汇总）</t>
    <phoneticPr fontId="18" type="noConversion"/>
  </si>
  <si>
    <t>综合</t>
    <phoneticPr fontId="7" type="noConversion"/>
  </si>
  <si>
    <t>商服</t>
    <phoneticPr fontId="7" type="noConversion"/>
  </si>
  <si>
    <t>商服</t>
    <phoneticPr fontId="7" type="noConversion"/>
  </si>
  <si>
    <t>住宅</t>
    <phoneticPr fontId="7" type="noConversion"/>
  </si>
  <si>
    <r>
      <rPr>
        <sz val="11"/>
        <color indexed="8"/>
        <rFont val="楷体_GB2312"/>
        <family val="3"/>
        <charset val="134"/>
      </rPr>
      <t>工业</t>
    </r>
    <phoneticPr fontId="7" type="noConversion"/>
  </si>
  <si>
    <t>地下商业不考虑路线价修正</t>
    <phoneticPr fontId="7" type="noConversion"/>
  </si>
  <si>
    <t>建筑物资本化率</t>
    <phoneticPr fontId="65" type="noConversion"/>
  </si>
  <si>
    <t>收益还原法</t>
    <phoneticPr fontId="18" type="noConversion"/>
  </si>
  <si>
    <r>
      <rPr>
        <sz val="10"/>
        <color indexed="8"/>
        <rFont val="仿宋_GB2312"/>
        <family val="3"/>
        <charset val="134"/>
      </rPr>
      <t>收益年期</t>
    </r>
    <r>
      <rPr>
        <sz val="10"/>
        <color indexed="8"/>
        <rFont val="Arial"/>
        <family val="2"/>
      </rPr>
      <t>(n)</t>
    </r>
    <phoneticPr fontId="7" type="noConversion"/>
  </si>
  <si>
    <t>收益年期(n)</t>
    <phoneticPr fontId="7"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</si>
  <si>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7" type="noConversion"/>
  </si>
  <si>
    <t>2017-4</t>
    <phoneticPr fontId="7"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</si>
  <si>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3" type="noConversion"/>
  </si>
  <si>
    <t>本行不参与计算</t>
    <phoneticPr fontId="2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</si>
  <si>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7" type="noConversion"/>
  </si>
  <si>
    <t>2017-3</t>
    <phoneticPr fontId="7" type="noConversion"/>
  </si>
  <si>
    <t>前8项之和</t>
    <phoneticPr fontId="19" type="noConversion"/>
  </si>
  <si>
    <t>(1-2-3)/[(1+（(1+利率）^建设期-1）+利润）*（1+契税及印花税率）]</t>
    <phoneticPr fontId="18" type="noConversion"/>
  </si>
  <si>
    <t>押金*一年期存款利率</t>
    <phoneticPr fontId="7" type="noConversion"/>
  </si>
  <si>
    <t>押金*一年期存款利率</t>
    <phoneticPr fontId="7" type="noConversion"/>
  </si>
  <si>
    <t>2018-2</t>
    <phoneticPr fontId="7" type="noConversion"/>
  </si>
  <si>
    <t>2018-1</t>
    <phoneticPr fontId="7" type="noConversion"/>
  </si>
  <si>
    <t>核定资产</t>
  </si>
  <si>
    <t>市场价格</t>
  </si>
  <si>
    <t>平房</t>
  </si>
  <si>
    <t>平房</t>
    <phoneticPr fontId="18" type="noConversion"/>
  </si>
  <si>
    <r>
      <t>2</t>
    </r>
    <r>
      <rPr>
        <sz val="11"/>
        <color theme="1"/>
        <rFont val="宋体"/>
        <family val="3"/>
        <charset val="134"/>
      </rPr>
      <t>层</t>
    </r>
    <phoneticPr fontId="18" type="noConversion"/>
  </si>
  <si>
    <r>
      <t>4</t>
    </r>
    <r>
      <rPr>
        <sz val="11"/>
        <color theme="1"/>
        <rFont val="宋体"/>
        <family val="3"/>
        <charset val="134"/>
      </rPr>
      <t>层</t>
    </r>
    <phoneticPr fontId="18" type="noConversion"/>
  </si>
  <si>
    <r>
      <t>5</t>
    </r>
    <r>
      <rPr>
        <sz val="11"/>
        <color theme="1"/>
        <rFont val="宋体"/>
        <family val="3"/>
        <charset val="134"/>
      </rPr>
      <t>层</t>
    </r>
    <phoneticPr fontId="18" type="noConversion"/>
  </si>
  <si>
    <r>
      <t>3</t>
    </r>
    <r>
      <rPr>
        <sz val="11"/>
        <color theme="1"/>
        <rFont val="宋体"/>
        <family val="3"/>
        <charset val="134"/>
      </rPr>
      <t>层</t>
    </r>
    <phoneticPr fontId="18" type="noConversion"/>
  </si>
  <si>
    <r>
      <t>6</t>
    </r>
    <r>
      <rPr>
        <sz val="11"/>
        <color theme="1"/>
        <rFont val="宋体"/>
        <family val="3"/>
        <charset val="134"/>
      </rPr>
      <t>层</t>
    </r>
    <phoneticPr fontId="18" type="noConversion"/>
  </si>
  <si>
    <t>地上</t>
  </si>
  <si>
    <t>2层</t>
  </si>
  <si>
    <t>3层</t>
  </si>
  <si>
    <t>4层</t>
  </si>
  <si>
    <t>5层</t>
  </si>
  <si>
    <t>6层</t>
  </si>
  <si>
    <t>地下</t>
  </si>
  <si>
    <t>戊类库房</t>
  </si>
  <si>
    <t>平房</t>
    <phoneticPr fontId="11" type="noConversion"/>
  </si>
  <si>
    <t>2层</t>
    <phoneticPr fontId="11" type="noConversion"/>
  </si>
  <si>
    <t>3层</t>
    <phoneticPr fontId="11" type="noConversion"/>
  </si>
  <si>
    <t>4层</t>
    <phoneticPr fontId="11" type="noConversion"/>
  </si>
  <si>
    <r>
      <t>5</t>
    </r>
    <r>
      <rPr>
        <sz val="11"/>
        <color indexed="8"/>
        <rFont val="宋体"/>
        <family val="3"/>
        <charset val="134"/>
      </rPr>
      <t>层</t>
    </r>
    <phoneticPr fontId="11" type="noConversion"/>
  </si>
  <si>
    <r>
      <t>6</t>
    </r>
    <r>
      <rPr>
        <sz val="11"/>
        <color indexed="8"/>
        <rFont val="宋体"/>
        <family val="3"/>
        <charset val="134"/>
      </rPr>
      <t>层</t>
    </r>
    <phoneticPr fontId="11" type="noConversion"/>
  </si>
  <si>
    <t>地下</t>
    <phoneticPr fontId="11" type="noConversion"/>
  </si>
  <si>
    <t>工业用地</t>
  </si>
  <si>
    <t>七通一平</t>
  </si>
  <si>
    <t>一致</t>
  </si>
  <si>
    <t>按公示增长率计算</t>
  </si>
  <si>
    <t>成新度</t>
  </si>
  <si>
    <t>出让</t>
  </si>
  <si>
    <t>容积率修正</t>
  </si>
  <si>
    <t>不动产收益法平</t>
  </si>
  <si>
    <t>不动产收益法平</t>
    <phoneticPr fontId="18" type="noConversion"/>
  </si>
  <si>
    <t>平</t>
    <phoneticPr fontId="7" type="noConversion"/>
  </si>
  <si>
    <r>
      <rPr>
        <sz val="11"/>
        <color theme="1"/>
        <rFont val="宋体"/>
        <family val="3"/>
        <charset val="134"/>
      </rPr>
      <t>不动产收益法</t>
    </r>
    <r>
      <rPr>
        <sz val="11"/>
        <color theme="1"/>
        <rFont val="Arial"/>
        <family val="2"/>
      </rPr>
      <t>2</t>
    </r>
    <phoneticPr fontId="18" type="noConversion"/>
  </si>
  <si>
    <r>
      <rPr>
        <sz val="11"/>
        <color theme="1"/>
        <rFont val="宋体"/>
        <family val="3"/>
        <charset val="134"/>
      </rPr>
      <t>不动产收益法</t>
    </r>
    <r>
      <rPr>
        <sz val="11"/>
        <color theme="1"/>
        <rFont val="Arial"/>
        <family val="2"/>
      </rPr>
      <t>3</t>
    </r>
    <r>
      <rPr>
        <sz val="11"/>
        <color theme="1"/>
        <rFont val="宋体"/>
        <family val="2"/>
        <charset val="134"/>
        <scheme val="minor"/>
      </rPr>
      <t/>
    </r>
  </si>
  <si>
    <r>
      <rPr>
        <sz val="11"/>
        <color theme="1"/>
        <rFont val="宋体"/>
        <family val="3"/>
        <charset val="134"/>
      </rPr>
      <t>不动产收益法</t>
    </r>
    <r>
      <rPr>
        <sz val="11"/>
        <color theme="1"/>
        <rFont val="Arial"/>
        <family val="2"/>
      </rPr>
      <t>4</t>
    </r>
    <r>
      <rPr>
        <sz val="11"/>
        <color theme="1"/>
        <rFont val="宋体"/>
        <family val="2"/>
        <charset val="134"/>
        <scheme val="minor"/>
      </rPr>
      <t/>
    </r>
  </si>
  <si>
    <r>
      <rPr>
        <sz val="11"/>
        <color theme="1"/>
        <rFont val="宋体"/>
        <family val="3"/>
        <charset val="134"/>
      </rPr>
      <t>不动产收益法</t>
    </r>
    <r>
      <rPr>
        <sz val="11"/>
        <color theme="1"/>
        <rFont val="Arial"/>
        <family val="2"/>
      </rPr>
      <t>5</t>
    </r>
    <r>
      <rPr>
        <sz val="11"/>
        <color theme="1"/>
        <rFont val="宋体"/>
        <family val="2"/>
        <charset val="134"/>
        <scheme val="minor"/>
      </rPr>
      <t/>
    </r>
  </si>
  <si>
    <r>
      <rPr>
        <sz val="11"/>
        <color theme="1"/>
        <rFont val="宋体"/>
        <family val="3"/>
        <charset val="134"/>
      </rPr>
      <t>不动产收益法</t>
    </r>
    <r>
      <rPr>
        <sz val="11"/>
        <color theme="1"/>
        <rFont val="Arial"/>
        <family val="2"/>
      </rPr>
      <t>6</t>
    </r>
    <r>
      <rPr>
        <sz val="11"/>
        <color theme="1"/>
        <rFont val="宋体"/>
        <family val="2"/>
        <charset val="134"/>
        <scheme val="minor"/>
      </rPr>
      <t/>
    </r>
  </si>
  <si>
    <t>不动产收益法2</t>
  </si>
  <si>
    <t>不动产收益法3</t>
  </si>
  <si>
    <t>不动产收益法4</t>
  </si>
  <si>
    <t>不动产收益法5</t>
  </si>
  <si>
    <t>不动产收益法6</t>
  </si>
  <si>
    <t>砖混</t>
  </si>
  <si>
    <t>按租金收入计税</t>
  </si>
  <si>
    <t>钢混</t>
  </si>
  <si>
    <r>
      <rPr>
        <b/>
        <sz val="12"/>
        <color theme="1"/>
        <rFont val="宋体"/>
        <family val="3"/>
        <charset val="134"/>
      </rPr>
      <t>序号</t>
    </r>
    <phoneticPr fontId="281" type="noConversion"/>
  </si>
  <si>
    <r>
      <rPr>
        <b/>
        <sz val="12"/>
        <color theme="1"/>
        <rFont val="宋体"/>
        <family val="3"/>
        <charset val="134"/>
      </rPr>
      <t>树木种类</t>
    </r>
    <phoneticPr fontId="281" type="noConversion"/>
  </si>
  <si>
    <t>胸径（cm）</t>
    <phoneticPr fontId="281" type="noConversion"/>
  </si>
  <si>
    <t>单价（元）</t>
    <phoneticPr fontId="281" type="noConversion"/>
  </si>
  <si>
    <r>
      <rPr>
        <b/>
        <sz val="12"/>
        <color theme="1"/>
        <rFont val="宋体"/>
        <family val="3"/>
        <charset val="134"/>
      </rPr>
      <t>数量</t>
    </r>
    <phoneticPr fontId="281" type="noConversion"/>
  </si>
  <si>
    <t>总价（元）</t>
    <phoneticPr fontId="281" type="noConversion"/>
  </si>
  <si>
    <r>
      <t>20</t>
    </r>
    <r>
      <rPr>
        <sz val="12"/>
        <color theme="1"/>
        <rFont val="宋体"/>
        <family val="3"/>
        <charset val="134"/>
      </rPr>
      <t>以下</t>
    </r>
    <phoneticPr fontId="281" type="noConversion"/>
  </si>
  <si>
    <r>
      <rPr>
        <sz val="12"/>
        <color theme="1"/>
        <rFont val="宋体"/>
        <family val="3"/>
        <charset val="134"/>
      </rPr>
      <t>柏树</t>
    </r>
    <phoneticPr fontId="281" type="noConversion"/>
  </si>
  <si>
    <t>20-50</t>
    <phoneticPr fontId="281" type="noConversion"/>
  </si>
  <si>
    <r>
      <rPr>
        <sz val="12"/>
        <color theme="1"/>
        <rFont val="宋体"/>
        <family val="3"/>
        <charset val="134"/>
      </rPr>
      <t>椿树</t>
    </r>
    <phoneticPr fontId="281" type="noConversion"/>
  </si>
  <si>
    <r>
      <t>50</t>
    </r>
    <r>
      <rPr>
        <sz val="12"/>
        <color theme="1"/>
        <rFont val="宋体"/>
        <family val="3"/>
        <charset val="134"/>
      </rPr>
      <t>以上</t>
    </r>
    <phoneticPr fontId="281" type="noConversion"/>
  </si>
  <si>
    <r>
      <rPr>
        <sz val="12"/>
        <color theme="1"/>
        <rFont val="宋体"/>
        <family val="3"/>
        <charset val="134"/>
      </rPr>
      <t>海棠树</t>
    </r>
    <phoneticPr fontId="281" type="noConversion"/>
  </si>
  <si>
    <r>
      <rPr>
        <sz val="12"/>
        <color theme="1"/>
        <rFont val="宋体"/>
        <family val="3"/>
        <charset val="134"/>
      </rPr>
      <t>槐树</t>
    </r>
    <phoneticPr fontId="281" type="noConversion"/>
  </si>
  <si>
    <r>
      <rPr>
        <sz val="12"/>
        <color theme="1"/>
        <rFont val="宋体"/>
        <family val="3"/>
        <charset val="134"/>
      </rPr>
      <t>柳树</t>
    </r>
    <phoneticPr fontId="281" type="noConversion"/>
  </si>
  <si>
    <r>
      <rPr>
        <sz val="12"/>
        <color theme="1"/>
        <rFont val="宋体"/>
        <family val="3"/>
        <charset val="134"/>
      </rPr>
      <t>龙抓槐</t>
    </r>
    <phoneticPr fontId="281" type="noConversion"/>
  </si>
  <si>
    <r>
      <rPr>
        <sz val="12"/>
        <color theme="1"/>
        <rFont val="宋体"/>
        <family val="3"/>
        <charset val="134"/>
      </rPr>
      <t>桑树</t>
    </r>
    <phoneticPr fontId="281" type="noConversion"/>
  </si>
  <si>
    <r>
      <rPr>
        <sz val="12"/>
        <color theme="1"/>
        <rFont val="宋体"/>
        <family val="3"/>
        <charset val="134"/>
      </rPr>
      <t>山楂树</t>
    </r>
    <phoneticPr fontId="281" type="noConversion"/>
  </si>
  <si>
    <r>
      <rPr>
        <sz val="12"/>
        <color theme="1"/>
        <rFont val="宋体"/>
        <family val="3"/>
        <charset val="134"/>
      </rPr>
      <t>柿子树</t>
    </r>
    <phoneticPr fontId="281" type="noConversion"/>
  </si>
  <si>
    <r>
      <rPr>
        <sz val="12"/>
        <color theme="1"/>
        <rFont val="宋体"/>
        <family val="3"/>
        <charset val="134"/>
      </rPr>
      <t>松树</t>
    </r>
    <phoneticPr fontId="281" type="noConversion"/>
  </si>
  <si>
    <r>
      <rPr>
        <sz val="12"/>
        <color theme="1"/>
        <rFont val="宋体"/>
        <family val="3"/>
        <charset val="134"/>
      </rPr>
      <t>桃树</t>
    </r>
    <phoneticPr fontId="281" type="noConversion"/>
  </si>
  <si>
    <r>
      <rPr>
        <sz val="12"/>
        <color theme="1"/>
        <rFont val="宋体"/>
        <family val="3"/>
        <charset val="134"/>
      </rPr>
      <t>梧桐树</t>
    </r>
    <phoneticPr fontId="281" type="noConversion"/>
  </si>
  <si>
    <r>
      <rPr>
        <sz val="12"/>
        <color theme="1"/>
        <rFont val="宋体"/>
        <family val="3"/>
        <charset val="134"/>
      </rPr>
      <t>雪松</t>
    </r>
    <phoneticPr fontId="281" type="noConversion"/>
  </si>
  <si>
    <r>
      <rPr>
        <sz val="12"/>
        <color theme="1"/>
        <rFont val="宋体"/>
        <family val="3"/>
        <charset val="134"/>
      </rPr>
      <t>紫藤萝</t>
    </r>
    <phoneticPr fontId="281" type="noConversion"/>
  </si>
  <si>
    <r>
      <rPr>
        <sz val="12"/>
        <color theme="1"/>
        <rFont val="宋体"/>
        <family val="3"/>
        <charset val="134"/>
      </rPr>
      <t>蔟</t>
    </r>
    <phoneticPr fontId="281" type="noConversion"/>
  </si>
  <si>
    <r>
      <rPr>
        <sz val="12"/>
        <color theme="1"/>
        <rFont val="宋体"/>
        <family val="3"/>
        <charset val="134"/>
      </rPr>
      <t>小叶黄杨</t>
    </r>
    <phoneticPr fontId="281" type="noConversion"/>
  </si>
  <si>
    <r>
      <t>1m</t>
    </r>
    <r>
      <rPr>
        <sz val="12"/>
        <color theme="1"/>
        <rFont val="宋体"/>
        <family val="3"/>
        <charset val="134"/>
      </rPr>
      <t>圆</t>
    </r>
    <phoneticPr fontId="281" type="noConversion"/>
  </si>
  <si>
    <r>
      <t>100x1</t>
    </r>
    <r>
      <rPr>
        <sz val="12"/>
        <color theme="1"/>
        <rFont val="宋体"/>
        <family val="3"/>
        <charset val="134"/>
      </rPr>
      <t>㎡</t>
    </r>
    <phoneticPr fontId="281" type="noConversion"/>
  </si>
  <si>
    <r>
      <rPr>
        <sz val="12"/>
        <color theme="1"/>
        <rFont val="宋体"/>
        <family val="3"/>
        <charset val="134"/>
      </rPr>
      <t>杨树</t>
    </r>
    <phoneticPr fontId="281" type="noConversion"/>
  </si>
  <si>
    <r>
      <rPr>
        <sz val="12"/>
        <color theme="1"/>
        <rFont val="宋体"/>
        <family val="3"/>
        <charset val="134"/>
      </rPr>
      <t>银杏树</t>
    </r>
    <phoneticPr fontId="281" type="noConversion"/>
  </si>
  <si>
    <r>
      <rPr>
        <sz val="12"/>
        <color theme="1"/>
        <rFont val="宋体"/>
        <family val="3"/>
        <charset val="134"/>
      </rPr>
      <t>榆树</t>
    </r>
    <phoneticPr fontId="281" type="noConversion"/>
  </si>
  <si>
    <r>
      <rPr>
        <sz val="12"/>
        <color theme="1"/>
        <rFont val="宋体"/>
        <family val="3"/>
        <charset val="134"/>
      </rPr>
      <t>玉兰树</t>
    </r>
    <phoneticPr fontId="281" type="noConversion"/>
  </si>
  <si>
    <r>
      <rPr>
        <sz val="12"/>
        <color theme="1"/>
        <rFont val="宋体"/>
        <family val="3"/>
        <charset val="134"/>
      </rPr>
      <t>紫玉兰</t>
    </r>
    <phoneticPr fontId="281" type="noConversion"/>
  </si>
  <si>
    <t>01-04</t>
    <phoneticPr fontId="237" type="noConversion"/>
  </si>
  <si>
    <t>01-02</t>
    <phoneticPr fontId="237" type="noConversion"/>
  </si>
  <si>
    <t>01-05</t>
    <phoneticPr fontId="237" type="noConversion"/>
  </si>
  <si>
    <t>01-03</t>
    <phoneticPr fontId="237" type="noConversion"/>
  </si>
  <si>
    <t>01-06</t>
    <phoneticPr fontId="237" type="noConversion"/>
  </si>
  <si>
    <r>
      <rPr>
        <sz val="9"/>
        <color theme="1"/>
        <rFont val="宋体"/>
        <family val="3"/>
        <charset val="134"/>
      </rPr>
      <t>结构</t>
    </r>
  </si>
  <si>
    <r>
      <rPr>
        <sz val="9"/>
        <color theme="1"/>
        <rFont val="宋体"/>
        <family val="3"/>
        <charset val="134"/>
      </rPr>
      <t>用途</t>
    </r>
  </si>
  <si>
    <r>
      <rPr>
        <sz val="9"/>
        <color theme="1"/>
        <rFont val="宋体"/>
        <family val="3"/>
        <charset val="134"/>
      </rPr>
      <t>幢号</t>
    </r>
  </si>
  <si>
    <r>
      <rPr>
        <sz val="9"/>
        <color theme="1"/>
        <rFont val="宋体"/>
        <family val="3"/>
        <charset val="134"/>
      </rPr>
      <t>所在层次</t>
    </r>
    <phoneticPr fontId="237" type="noConversion"/>
  </si>
  <si>
    <r>
      <rPr>
        <sz val="9"/>
        <color theme="1"/>
        <rFont val="宋体"/>
        <family val="3"/>
        <charset val="134"/>
      </rPr>
      <t>建筑面积（㎡）</t>
    </r>
  </si>
  <si>
    <r>
      <rPr>
        <sz val="9"/>
        <color theme="1"/>
        <rFont val="宋体"/>
        <family val="3"/>
        <charset val="134"/>
      </rPr>
      <t>重置现价评估总值（万元）</t>
    </r>
  </si>
  <si>
    <r>
      <rPr>
        <sz val="11"/>
        <color theme="1"/>
        <rFont val="宋体"/>
        <family val="3"/>
        <charset val="134"/>
      </rPr>
      <t>混合</t>
    </r>
    <phoneticPr fontId="237" type="noConversion"/>
  </si>
  <si>
    <r>
      <rPr>
        <sz val="11"/>
        <color theme="1"/>
        <rFont val="宋体"/>
        <family val="3"/>
        <charset val="134"/>
      </rPr>
      <t>平</t>
    </r>
    <phoneticPr fontId="237" type="noConversion"/>
  </si>
  <si>
    <r>
      <rPr>
        <sz val="11"/>
        <color theme="1"/>
        <rFont val="宋体"/>
        <family val="3"/>
        <charset val="134"/>
      </rPr>
      <t>砖木</t>
    </r>
    <phoneticPr fontId="237" type="noConversion"/>
  </si>
  <si>
    <r>
      <rPr>
        <sz val="11"/>
        <color theme="1"/>
        <rFont val="宋体"/>
        <family val="3"/>
        <charset val="134"/>
      </rPr>
      <t>钢混</t>
    </r>
    <phoneticPr fontId="237" type="noConversion"/>
  </si>
  <si>
    <r>
      <rPr>
        <sz val="11"/>
        <color theme="1"/>
        <rFont val="宋体"/>
        <family val="3"/>
        <charset val="134"/>
      </rPr>
      <t>地下室</t>
    </r>
    <phoneticPr fontId="237"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</si>
  <si>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</si>
  <si>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</si>
  <si>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</si>
  <si>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</si>
  <si>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</si>
  <si>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</si>
  <si>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</si>
  <si>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</si>
  <si>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</si>
  <si>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</si>
  <si>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投资利润</t>
    <phoneticPr fontId="237" type="noConversion"/>
  </si>
  <si>
    <t>办公楼</t>
    <phoneticPr fontId="237" type="noConversion"/>
  </si>
  <si>
    <t>食堂</t>
    <phoneticPr fontId="237" type="noConversion"/>
  </si>
  <si>
    <t>浴室</t>
    <phoneticPr fontId="237" type="noConversion"/>
  </si>
  <si>
    <t>宿舍楼</t>
    <phoneticPr fontId="237" type="noConversion"/>
  </si>
  <si>
    <t>仓库</t>
    <phoneticPr fontId="237" type="noConversion"/>
  </si>
  <si>
    <t>销售办公室</t>
    <phoneticPr fontId="237" type="noConversion"/>
  </si>
  <si>
    <t>小车库</t>
    <phoneticPr fontId="237" type="noConversion"/>
  </si>
  <si>
    <t>休息室</t>
    <phoneticPr fontId="237" type="noConversion"/>
  </si>
  <si>
    <r>
      <rPr>
        <sz val="11"/>
        <color theme="1"/>
        <rFont val="宋体"/>
        <family val="3"/>
        <charset val="134"/>
      </rPr>
      <t>包装</t>
    </r>
    <r>
      <rPr>
        <sz val="11"/>
        <color theme="1"/>
        <rFont val="Arial"/>
        <family val="2"/>
      </rPr>
      <t>+</t>
    </r>
    <r>
      <rPr>
        <sz val="11"/>
        <color theme="1"/>
        <rFont val="宋体"/>
        <family val="3"/>
        <charset val="134"/>
      </rPr>
      <t>酒库</t>
    </r>
    <phoneticPr fontId="237" type="noConversion"/>
  </si>
  <si>
    <t>大车库</t>
    <phoneticPr fontId="237" type="noConversion"/>
  </si>
  <si>
    <t>包材库</t>
    <phoneticPr fontId="237" type="noConversion"/>
  </si>
  <si>
    <t>叉车修理间</t>
    <phoneticPr fontId="237" type="noConversion"/>
  </si>
  <si>
    <t>水泵房</t>
    <phoneticPr fontId="237" type="noConversion"/>
  </si>
  <si>
    <t>配电室</t>
    <phoneticPr fontId="237" type="noConversion"/>
  </si>
  <si>
    <t>发芽</t>
    <phoneticPr fontId="237" type="noConversion"/>
  </si>
  <si>
    <t>空压冷冻</t>
    <phoneticPr fontId="237" type="noConversion"/>
  </si>
  <si>
    <t>加工间</t>
    <phoneticPr fontId="237" type="noConversion"/>
  </si>
  <si>
    <t>工程部</t>
    <phoneticPr fontId="237" type="noConversion"/>
  </si>
  <si>
    <t>卸麦间（铁路）</t>
    <phoneticPr fontId="237" type="noConversion"/>
  </si>
  <si>
    <t>化工库</t>
    <phoneticPr fontId="237" type="noConversion"/>
  </si>
  <si>
    <t>机修车间</t>
    <phoneticPr fontId="237" type="noConversion"/>
  </si>
  <si>
    <t>备件库</t>
    <phoneticPr fontId="237" type="noConversion"/>
  </si>
  <si>
    <t>锅炉房</t>
    <phoneticPr fontId="237" type="noConversion"/>
  </si>
  <si>
    <t>糖化</t>
    <phoneticPr fontId="237" type="noConversion"/>
  </si>
  <si>
    <t>单方重置现价（元）</t>
    <phoneticPr fontId="237" type="noConversion"/>
  </si>
  <si>
    <t>合计</t>
    <phoneticPr fontId="237" type="noConversion"/>
  </si>
  <si>
    <t>白皮松（松）</t>
    <phoneticPr fontId="281" type="noConversion"/>
  </si>
  <si>
    <t>http://bj.58.com/fangchan/33805538417467x.shtml?psid=112471133200141147762811969&amp;ClickID=3&amp;cookie=|||c5/nn1sCbOFuBgk6KXsWAg==&amp;PGTID=0d30576d-0047-7322-be2b-a7da41451f03&amp;apptype=0&amp;entinfo=33805538417467_0&amp;fzbref=0&amp;iuType=gz_2&amp;key=&amp;pubid=31315306&amp;params=busitime15jxpc^desc&amp;local=1143&amp;trackkey=33805538417467_5c85f8ec-a6bf-41c2-92ca-340b0eab794b_20180522102350_1526955830467&amp;fcinfotype=gz</t>
    <phoneticPr fontId="237" type="noConversion"/>
  </si>
  <si>
    <t>http://bj.58.com/fangchan/34007820244421x.shtml?psid=112471133200141147762811969&amp;ClickID=5&amp;cookie=|||c5/nn1sCbOFuBgk6KXsWAg==&amp;PGTID=0d30576d-0047-7322-be2b-a7da41451f03&amp;apptype=0&amp;entinfo=34007820244421_0&amp;fzbref=0&amp;iuType=gz_2&amp;key=&amp;pubid=33738209&amp;params=busitime15jxpc^desc&amp;local=1143&amp;trackkey=34007820244421_43564fbb-2fd5-4293-b605-edffbdb62a9f_20180522102405_1526955845906&amp;fcinfotype=gz</t>
    <phoneticPr fontId="237" type="noConversion"/>
  </si>
  <si>
    <t>用于生产经营的非住宅房屋的月租金</t>
    <phoneticPr fontId="237" type="noConversion"/>
  </si>
  <si>
    <t>合计</t>
    <phoneticPr fontId="237" type="noConversion"/>
  </si>
  <si>
    <t>合计（万元）</t>
    <phoneticPr fontId="237" type="noConversion"/>
  </si>
  <si>
    <t>天数（天）</t>
    <phoneticPr fontId="237" type="noConversion"/>
  </si>
  <si>
    <t>面积（平方米）</t>
    <phoneticPr fontId="237" type="noConversion"/>
  </si>
  <si>
    <t>日租金（元/平方米）</t>
    <phoneticPr fontId="237" type="noConversion"/>
  </si>
  <si>
    <r>
      <t>2</t>
    </r>
    <r>
      <rPr>
        <sz val="11"/>
        <color theme="1"/>
        <rFont val="宋体"/>
        <family val="3"/>
        <charset val="134"/>
        <scheme val="minor"/>
      </rPr>
      <t>017年净利润</t>
    </r>
    <phoneticPr fontId="237" type="noConversion"/>
  </si>
  <si>
    <t>月净利润</t>
    <phoneticPr fontId="237" type="noConversion"/>
  </si>
  <si>
    <t>年度</t>
    <phoneticPr fontId="237" type="noConversion"/>
  </si>
  <si>
    <t>月度</t>
    <phoneticPr fontId="237" type="noConversion"/>
  </si>
  <si>
    <t>——</t>
    <phoneticPr fontId="237" type="noConversion"/>
  </si>
  <si>
    <t>修正系数</t>
    <phoneticPr fontId="237" type="noConversion"/>
  </si>
  <si>
    <t>合计（万元）</t>
    <phoneticPr fontId="237" type="noConversion"/>
  </si>
  <si>
    <r>
      <t>前12个月</t>
    </r>
    <r>
      <rPr>
        <sz val="11"/>
        <color theme="1"/>
        <rFont val="宋体"/>
        <family val="3"/>
        <charset val="134"/>
        <scheme val="minor"/>
      </rPr>
      <t>平均净利润</t>
    </r>
    <phoneticPr fontId="237" type="noConversion"/>
  </si>
  <si>
    <t>员工月生活补助</t>
    <phoneticPr fontId="237" type="noConversion"/>
  </si>
  <si>
    <t>人数</t>
    <phoneticPr fontId="237" type="noConversion"/>
  </si>
  <si>
    <t>补偿金额(元/月）</t>
    <phoneticPr fontId="237" type="noConversion"/>
  </si>
  <si>
    <t>停产停业补偿期限</t>
    <phoneticPr fontId="237" type="noConversion"/>
  </si>
  <si>
    <t>期限（月）</t>
    <phoneticPr fontId="237" type="noConversion"/>
  </si>
  <si>
    <t>被征收房屋容积率小于0.5的修正</t>
    <phoneticPr fontId="237" type="noConversion"/>
  </si>
  <si>
    <t>搬迁费</t>
    <phoneticPr fontId="237" type="noConversion"/>
  </si>
  <si>
    <t>建筑面积</t>
    <phoneticPr fontId="237" type="noConversion"/>
  </si>
  <si>
    <t>补偿标准（元/平方米）</t>
    <phoneticPr fontId="237" type="noConversion"/>
  </si>
  <si>
    <t>合计（万元）</t>
    <phoneticPr fontId="237" type="noConversion"/>
  </si>
  <si>
    <t>征收补偿安置费</t>
  </si>
  <si>
    <t>停产停业补助费</t>
  </si>
  <si>
    <t>搬迁补助费</t>
  </si>
  <si>
    <t>评估结果一览表</t>
    <phoneticPr fontId="237" type="noConversion"/>
  </si>
  <si>
    <t>序号</t>
    <phoneticPr fontId="237" type="noConversion"/>
  </si>
  <si>
    <t>项目名称</t>
    <phoneticPr fontId="237" type="noConversion"/>
  </si>
  <si>
    <t>附属物</t>
    <phoneticPr fontId="237" type="noConversion"/>
  </si>
  <si>
    <t>建筑物</t>
    <phoneticPr fontId="237" type="noConversion"/>
  </si>
  <si>
    <t>价格（万元）</t>
    <phoneticPr fontId="237" type="noConversion"/>
  </si>
  <si>
    <t>合计</t>
    <phoneticPr fontId="237" type="noConversion"/>
  </si>
  <si>
    <t>项目名称</t>
    <phoneticPr fontId="237" type="noConversion"/>
  </si>
  <si>
    <t>规划用途</t>
    <phoneticPr fontId="237" type="noConversion"/>
  </si>
  <si>
    <t>市政条件</t>
    <phoneticPr fontId="237" type="noConversion"/>
  </si>
  <si>
    <t>卸煤间</t>
    <phoneticPr fontId="237" type="noConversion"/>
  </si>
  <si>
    <t>砖混</t>
    <phoneticPr fontId="237" type="noConversion"/>
  </si>
  <si>
    <t>1</t>
    <phoneticPr fontId="237" type="noConversion"/>
  </si>
  <si>
    <t>3</t>
    <phoneticPr fontId="237" type="noConversion"/>
  </si>
  <si>
    <t>框架</t>
    <phoneticPr fontId="237" type="noConversion"/>
  </si>
  <si>
    <t>营业室</t>
    <phoneticPr fontId="237" type="noConversion"/>
  </si>
  <si>
    <t>油库及附属设施</t>
    <phoneticPr fontId="237" type="noConversion"/>
  </si>
  <si>
    <t>钢架瓦楞铁</t>
    <phoneticPr fontId="237" type="noConversion"/>
  </si>
  <si>
    <t>合计</t>
    <phoneticPr fontId="237" type="noConversion"/>
  </si>
  <si>
    <t>污水处理厂</t>
    <phoneticPr fontId="237" type="noConversion"/>
  </si>
  <si>
    <t>砖混</t>
    <phoneticPr fontId="237" type="noConversion"/>
  </si>
  <si>
    <t>1</t>
    <phoneticPr fontId="237" type="noConversion"/>
  </si>
  <si>
    <t>地磅房（中衡）</t>
    <phoneticPr fontId="237" type="noConversion"/>
  </si>
  <si>
    <t>序号</t>
    <phoneticPr fontId="237" type="noConversion"/>
  </si>
  <si>
    <t>日期</t>
    <phoneticPr fontId="237" type="noConversion"/>
  </si>
  <si>
    <t>土地面积</t>
    <phoneticPr fontId="237" type="noConversion"/>
  </si>
  <si>
    <t>土地开发补偿费</t>
    <phoneticPr fontId="237" type="noConversion"/>
  </si>
  <si>
    <t>昌平区北七家镇[中心起步区（海鶄落新村建设）项目一期]HQL-02、04、07、08、12、13、14、16、17、18地块F1住宅混合公建、A33基础教育、U17邮政设施、R2二类居住、F81绿隔产业用地（配建“限价商品住房”）项目</t>
    <phoneticPr fontId="237" type="noConversion"/>
  </si>
  <si>
    <t>单价</t>
    <phoneticPr fontId="237" type="noConversion"/>
  </si>
  <si>
    <t>七通一平</t>
    <phoneticPr fontId="237" type="noConversion"/>
  </si>
  <si>
    <t>坐落</t>
    <phoneticPr fontId="237" type="noConversion"/>
  </si>
  <si>
    <t>翡翠家园</t>
    <phoneticPr fontId="237" type="noConversion"/>
  </si>
  <si>
    <t>国瑞熙墅</t>
    <phoneticPr fontId="237" type="noConversion"/>
  </si>
  <si>
    <t>国瑞熙院</t>
    <phoneticPr fontId="237" type="noConversion"/>
  </si>
  <si>
    <t>昌平区北七家镇GTZ-05-1、GTZ-07、GTZ-09地块（沟自头寸储备开发项目西侧地块）R2二类居住、A33基础教育、B4综合性商业金融服务业用地（配建“限价商品住房”）</t>
    <phoneticPr fontId="237" type="noConversion"/>
  </si>
  <si>
    <t>R2二类居住、B4综合性商业金融服务业用地</t>
    <phoneticPr fontId="237" type="noConversion"/>
  </si>
  <si>
    <t>R2二类居住、A33基础教育、B4综合性商业金融服务业用地</t>
    <phoneticPr fontId="237" type="noConversion"/>
  </si>
  <si>
    <t>F1住宅混合公建、R2二类居住、F81绿隔产业用地</t>
    <phoneticPr fontId="237" type="noConversion"/>
  </si>
  <si>
    <t>未来融尚家园</t>
    <phoneticPr fontId="237" type="noConversion"/>
  </si>
  <si>
    <t>昌平区北七家镇GTZ-05-2、GTZ-04、GTZ-03、GTZ-10、GTZ-11、GTZ-12地块（沟自头寸储备开发项目东侧地块）R2二类居住、B4综合性商业金融服务业用地、U17邮政设施、A33基础教育、A61机构养老设施及A51医院用地（配建“限价商品住房”及“人才公共租赁住房”）</t>
    <phoneticPr fontId="237" type="noConversion"/>
  </si>
  <si>
    <t>昌平区北七家镇（未来科技城南区）CP07-0600-0049、0062地块F1住宅混合公建用地（配建“人才公共租赁住房”）</t>
    <phoneticPr fontId="237" type="noConversion"/>
  </si>
  <si>
    <t>F1住宅混合公建用地</t>
    <phoneticPr fontId="237" type="noConversion"/>
  </si>
  <si>
    <t>成本逼近法</t>
  </si>
  <si>
    <t>一般</t>
  </si>
  <si>
    <t>较好</t>
  </si>
  <si>
    <t>较差</t>
  </si>
  <si>
    <t>好</t>
  </si>
  <si>
    <t>土地使用权(出让）</t>
    <phoneticPr fontId="237" type="noConversion"/>
  </si>
  <si>
    <t>土地使用权(划拨）</t>
    <phoneticPr fontId="237" type="noConversion"/>
  </si>
  <si>
    <t>有规证</t>
    <phoneticPr fontId="237" type="noConversion"/>
  </si>
  <si>
    <t>01-02</t>
    <phoneticPr fontId="237" type="noConversion"/>
  </si>
  <si>
    <t>易拉罐暂存库</t>
    <phoneticPr fontId="237" type="noConversion"/>
  </si>
  <si>
    <t>彩钢</t>
    <phoneticPr fontId="237" type="noConversion"/>
  </si>
  <si>
    <t>1</t>
    <phoneticPr fontId="237" type="noConversion"/>
  </si>
  <si>
    <t>成品麦芽暂存库</t>
    <phoneticPr fontId="237" type="noConversion"/>
  </si>
  <si>
    <t>酒库大棚</t>
    <phoneticPr fontId="237" type="noConversion"/>
  </si>
  <si>
    <t>钢架</t>
    <phoneticPr fontId="237" type="noConversion"/>
  </si>
  <si>
    <t>1</t>
    <phoneticPr fontId="237" type="noConversion"/>
  </si>
  <si>
    <t>冷冻简易房</t>
    <phoneticPr fontId="237" type="noConversion"/>
  </si>
  <si>
    <t>彩钢</t>
    <phoneticPr fontId="237" type="noConversion"/>
  </si>
  <si>
    <t>易拉罐空罐库</t>
    <phoneticPr fontId="237" type="noConversion"/>
  </si>
  <si>
    <t>易拉罐杀菌机房</t>
    <phoneticPr fontId="237" type="noConversion"/>
  </si>
  <si>
    <t>洗瓶场（棚，未封）</t>
    <phoneticPr fontId="237" type="noConversion"/>
  </si>
  <si>
    <t>扎啤空桶库</t>
    <phoneticPr fontId="237" type="noConversion"/>
  </si>
  <si>
    <t>扎啤车间</t>
    <phoneticPr fontId="237" type="noConversion"/>
  </si>
  <si>
    <t>砖混</t>
    <phoneticPr fontId="237" type="noConversion"/>
  </si>
  <si>
    <t>扎啤成品库</t>
    <phoneticPr fontId="237" type="noConversion"/>
  </si>
  <si>
    <t>5升桶生产车间</t>
    <phoneticPr fontId="237" type="noConversion"/>
  </si>
  <si>
    <t>油库及附属设施</t>
    <phoneticPr fontId="237" type="noConversion"/>
  </si>
  <si>
    <t>销售办公房</t>
    <phoneticPr fontId="237" type="noConversion"/>
  </si>
  <si>
    <t>警队休息室</t>
    <phoneticPr fontId="237" type="noConversion"/>
  </si>
  <si>
    <t>绿化队休息室</t>
    <phoneticPr fontId="237" type="noConversion"/>
  </si>
  <si>
    <t>基建库房</t>
    <phoneticPr fontId="237" type="noConversion"/>
  </si>
  <si>
    <t>西门岗</t>
    <phoneticPr fontId="237" type="noConversion"/>
  </si>
  <si>
    <t>传达室</t>
    <phoneticPr fontId="237" type="noConversion"/>
  </si>
  <si>
    <t>自行车棚（内）</t>
    <phoneticPr fontId="237" type="noConversion"/>
  </si>
  <si>
    <t>扎啤临时库房</t>
    <phoneticPr fontId="237" type="noConversion"/>
  </si>
  <si>
    <t>包材库办公室</t>
    <phoneticPr fontId="237" type="noConversion"/>
  </si>
  <si>
    <t>酒糟干燥车间</t>
    <phoneticPr fontId="237" type="noConversion"/>
  </si>
  <si>
    <t>铁道值班室</t>
    <phoneticPr fontId="237" type="noConversion"/>
  </si>
  <si>
    <t>浴室旁地泵房东</t>
    <phoneticPr fontId="237" type="noConversion"/>
  </si>
  <si>
    <t>浴室旁地泵房西</t>
    <phoneticPr fontId="237" type="noConversion"/>
  </si>
  <si>
    <t>包装休息室</t>
    <phoneticPr fontId="237" type="noConversion"/>
  </si>
  <si>
    <t>硅土压力间</t>
    <phoneticPr fontId="237" type="noConversion"/>
  </si>
  <si>
    <t>销售办公室对面</t>
    <phoneticPr fontId="237" type="noConversion"/>
  </si>
  <si>
    <t>临建</t>
    <phoneticPr fontId="237" type="noConversion"/>
  </si>
  <si>
    <t>没证没规划</t>
    <phoneticPr fontId="237" type="noConversion"/>
  </si>
  <si>
    <t>建筑物（有房产证）</t>
    <phoneticPr fontId="237" type="noConversion"/>
  </si>
  <si>
    <t>建筑物（无房产证，有规证）</t>
    <phoneticPr fontId="237" type="noConversion"/>
  </si>
  <si>
    <t>建筑物（无房产证，无规证）</t>
    <phoneticPr fontId="237" type="noConversion"/>
  </si>
  <si>
    <t>划拨土地面积</t>
    <phoneticPr fontId="237" type="noConversion"/>
  </si>
  <si>
    <t>企业所得税</t>
    <phoneticPr fontId="237" type="noConversion"/>
  </si>
  <si>
    <t>1季度</t>
    <phoneticPr fontId="237" type="noConversion"/>
  </si>
  <si>
    <t>2季度</t>
    <phoneticPr fontId="237" type="noConversion"/>
  </si>
  <si>
    <t>3季度</t>
    <phoneticPr fontId="237" type="noConversion"/>
  </si>
  <si>
    <t>4季度</t>
    <phoneticPr fontId="237" type="noConversion"/>
  </si>
  <si>
    <t>——</t>
    <phoneticPr fontId="237" type="noConversion"/>
  </si>
  <si>
    <t>自定义容积率</t>
  </si>
  <si>
    <t>名称</t>
    <phoneticPr fontId="237" type="noConversion"/>
  </si>
  <si>
    <t>序号</t>
    <phoneticPr fontId="237" type="noConversion"/>
  </si>
  <si>
    <t>围墙（砖）</t>
    <phoneticPr fontId="237" type="noConversion"/>
  </si>
  <si>
    <t>单位</t>
    <phoneticPr fontId="237" type="noConversion"/>
  </si>
  <si>
    <t>米</t>
    <phoneticPr fontId="237" type="noConversion"/>
  </si>
  <si>
    <t>平方米</t>
    <phoneticPr fontId="237" type="noConversion"/>
  </si>
  <si>
    <t>返回索引页</t>
  </si>
  <si>
    <t>返回</t>
  </si>
  <si>
    <r>
      <t>固定资产</t>
    </r>
    <r>
      <rPr>
        <sz val="18"/>
        <rFont val="Times New Roman"/>
        <family val="1"/>
      </rPr>
      <t>—</t>
    </r>
    <r>
      <rPr>
        <sz val="18"/>
        <rFont val="黑体"/>
        <family val="3"/>
        <charset val="134"/>
      </rPr>
      <t>管道和沟槽评估明细表</t>
    </r>
    <r>
      <rPr>
        <sz val="10"/>
        <rFont val="Times New Roman"/>
        <family val="1"/>
      </rPr>
      <t/>
    </r>
    <phoneticPr fontId="7" type="noConversion"/>
  </si>
  <si>
    <r>
      <t>表</t>
    </r>
    <r>
      <rPr>
        <sz val="10"/>
        <rFont val="Times New Roman"/>
        <family val="1"/>
      </rPr>
      <t>4-6-3</t>
    </r>
    <phoneticPr fontId="7" type="noConversion"/>
  </si>
  <si>
    <t>金额单位：人民币元</t>
    <phoneticPr fontId="7" type="noConversion"/>
  </si>
  <si>
    <t>序号</t>
    <phoneticPr fontId="7" type="noConversion"/>
  </si>
  <si>
    <r>
      <t xml:space="preserve"> </t>
    </r>
    <r>
      <rPr>
        <sz val="10"/>
        <rFont val="宋体"/>
        <family val="3"/>
        <charset val="134"/>
      </rPr>
      <t>名称</t>
    </r>
    <phoneticPr fontId="7" type="noConversion"/>
  </si>
  <si>
    <t>使用单位</t>
    <phoneticPr fontId="7" type="noConversion"/>
  </si>
  <si>
    <t>对应房屋建筑物楼号或栋号</t>
    <phoneticPr fontId="281" type="noConversion"/>
  </si>
  <si>
    <r>
      <t xml:space="preserve">长度
</t>
    </r>
    <r>
      <rPr>
        <sz val="10"/>
        <rFont val="Times New Roman"/>
        <family val="1"/>
      </rPr>
      <t>(m)</t>
    </r>
    <phoneticPr fontId="7" type="noConversion"/>
  </si>
  <si>
    <r>
      <t xml:space="preserve">漕深
</t>
    </r>
    <r>
      <rPr>
        <sz val="10"/>
        <rFont val="Times New Roman"/>
        <family val="1"/>
      </rPr>
      <t>(m)</t>
    </r>
    <phoneticPr fontId="7" type="noConversion"/>
  </si>
  <si>
    <r>
      <t>沟宽</t>
    </r>
    <r>
      <rPr>
        <sz val="10"/>
        <rFont val="Times New Roman"/>
        <family val="1"/>
      </rPr>
      <t>*</t>
    </r>
    <r>
      <rPr>
        <sz val="10"/>
        <rFont val="宋体"/>
        <family val="3"/>
        <charset val="134"/>
      </rPr>
      <t>沟厚</t>
    </r>
    <r>
      <rPr>
        <sz val="10"/>
        <rFont val="Times New Roman"/>
        <family val="1"/>
      </rPr>
      <t>(mm*mm)/</t>
    </r>
    <r>
      <rPr>
        <sz val="10"/>
        <rFont val="宋体"/>
        <family val="3"/>
        <charset val="134"/>
      </rPr>
      <t>管径</t>
    </r>
    <r>
      <rPr>
        <sz val="10"/>
        <rFont val="Times New Roman"/>
        <family val="1"/>
      </rPr>
      <t>*</t>
    </r>
    <r>
      <rPr>
        <sz val="10"/>
        <rFont val="宋体"/>
        <family val="3"/>
        <charset val="134"/>
      </rPr>
      <t>壁厚</t>
    </r>
    <r>
      <rPr>
        <sz val="10"/>
        <rFont val="Times New Roman"/>
        <family val="1"/>
      </rPr>
      <t>(mm*mm)/</t>
    </r>
    <r>
      <rPr>
        <sz val="10"/>
        <rFont val="宋体"/>
        <family val="3"/>
        <charset val="134"/>
      </rPr>
      <t>面积（</t>
    </r>
    <r>
      <rPr>
        <sz val="10"/>
        <rFont val="Times New Roman"/>
        <family val="1"/>
      </rPr>
      <t>m2</t>
    </r>
    <r>
      <rPr>
        <sz val="10"/>
        <rFont val="宋体"/>
        <family val="3"/>
        <charset val="134"/>
      </rPr>
      <t>）</t>
    </r>
    <phoneticPr fontId="7" type="noConversion"/>
  </si>
  <si>
    <t>材质</t>
    <phoneticPr fontId="7" type="noConversion"/>
  </si>
  <si>
    <t>绝缘方式</t>
    <phoneticPr fontId="7" type="noConversion"/>
  </si>
  <si>
    <t>建成年月</t>
    <phoneticPr fontId="7" type="noConversion"/>
  </si>
  <si>
    <t>审计前账面值</t>
  </si>
  <si>
    <t>账面价值</t>
  </si>
  <si>
    <t>评估价值</t>
    <phoneticPr fontId="7" type="noConversion"/>
  </si>
  <si>
    <r>
      <t>增值率</t>
    </r>
    <r>
      <rPr>
        <sz val="10"/>
        <rFont val="Times New Roman"/>
        <family val="1"/>
      </rPr>
      <t>%</t>
    </r>
    <phoneticPr fontId="7" type="noConversion"/>
  </si>
  <si>
    <t>备注</t>
    <phoneticPr fontId="7" type="noConversion"/>
  </si>
  <si>
    <t>原值</t>
    <phoneticPr fontId="7" type="noConversion"/>
  </si>
  <si>
    <t>净值</t>
    <phoneticPr fontId="7" type="noConversion"/>
  </si>
  <si>
    <r>
      <t>成新率</t>
    </r>
    <r>
      <rPr>
        <sz val="10"/>
        <rFont val="Times New Roman"/>
        <family val="1"/>
      </rPr>
      <t>%</t>
    </r>
    <phoneticPr fontId="7" type="noConversion"/>
  </si>
  <si>
    <t>包装车间大瓶天窗通风</t>
  </si>
  <si>
    <t>包装部</t>
    <phoneticPr fontId="7" type="noConversion"/>
  </si>
  <si>
    <t>4#线车间钢窗改塑钢窗(311.43m2)</t>
  </si>
  <si>
    <t>框架结构</t>
  </si>
  <si>
    <t>4#天窗改造</t>
  </si>
  <si>
    <t>小瓶线地沟</t>
  </si>
  <si>
    <t>3#线车间钢窗改塑钢窗 (311.43m3)</t>
  </si>
  <si>
    <t>3#天窗改造</t>
  </si>
  <si>
    <t>清酒间墙面涂层(270m2)</t>
  </si>
  <si>
    <t>酿造部</t>
    <phoneticPr fontId="7" type="noConversion"/>
  </si>
  <si>
    <t>酒花库改造吊顶保温</t>
  </si>
  <si>
    <t>上水管 (3210m) 89</t>
  </si>
  <si>
    <t>公用工程</t>
    <phoneticPr fontId="7" type="noConversion"/>
  </si>
  <si>
    <t>铸铁管</t>
  </si>
  <si>
    <t>路 灯 (130个) 89</t>
  </si>
  <si>
    <t>暖气管 (10778m)</t>
  </si>
  <si>
    <t>砼</t>
  </si>
  <si>
    <t>污水管 (2917m)</t>
  </si>
  <si>
    <t>污水场进退管(880m)</t>
  </si>
  <si>
    <t>成品库屋面防水(6390m2)</t>
  </si>
  <si>
    <t>生产部</t>
    <phoneticPr fontId="7" type="noConversion"/>
  </si>
  <si>
    <t>西场地道路工程(588.4m2)</t>
  </si>
  <si>
    <t>甁箱车间</t>
    <phoneticPr fontId="7" type="noConversion"/>
  </si>
  <si>
    <t>混凝土</t>
  </si>
  <si>
    <t>西场地炉渣地面(15971.3m2)</t>
  </si>
  <si>
    <t>石灰焦渣</t>
  </si>
  <si>
    <t>西场地围栏 (204m)</t>
  </si>
  <si>
    <t>钢结构</t>
  </si>
  <si>
    <t>西场地围墙 (93m)</t>
  </si>
  <si>
    <t>砖结构</t>
  </si>
  <si>
    <t>西场地炉渣地面</t>
  </si>
  <si>
    <t>瓶箱库北场围栏 (255m)</t>
  </si>
  <si>
    <t>钢管</t>
  </si>
  <si>
    <t>围墙(增殖) (140m)</t>
  </si>
  <si>
    <t>砖</t>
  </si>
  <si>
    <t>防雷工程</t>
  </si>
  <si>
    <t>道路 (44419m2)</t>
  </si>
  <si>
    <t>沥青</t>
  </si>
  <si>
    <t>围墙 (2020m)</t>
  </si>
  <si>
    <t>雨水管 (2294m)</t>
  </si>
  <si>
    <t>麦糟罐排水排污工程(12m)</t>
  </si>
  <si>
    <t>砼管</t>
  </si>
  <si>
    <t>金龙喷泉 (133m2)</t>
  </si>
  <si>
    <t>钢筋砼.雕塑</t>
  </si>
  <si>
    <t>厂区围墙工程 (44m)</t>
  </si>
  <si>
    <t>土地税房屋</t>
  </si>
  <si>
    <t>实验楼(东侧客房装修增值)</t>
  </si>
  <si>
    <t>品管部</t>
    <phoneticPr fontId="7" type="noConversion"/>
  </si>
  <si>
    <t>营业室电缆改造</t>
  </si>
  <si>
    <t>食品中心大厅装饰</t>
  </si>
  <si>
    <t>风机房</t>
  </si>
  <si>
    <t>工程部</t>
    <phoneticPr fontId="7" type="noConversion"/>
  </si>
  <si>
    <t>中间池</t>
  </si>
  <si>
    <r>
      <t>（14*8.8*4.5）m</t>
    </r>
    <r>
      <rPr>
        <sz val="9"/>
        <rFont val="宋体"/>
        <family val="3"/>
        <charset val="134"/>
      </rPr>
      <t>3</t>
    </r>
    <phoneticPr fontId="7" type="noConversion"/>
  </si>
  <si>
    <t>调节池</t>
  </si>
  <si>
    <t>工程部</t>
    <phoneticPr fontId="7" type="noConversion"/>
  </si>
  <si>
    <r>
      <t>（18*35*4/2）m</t>
    </r>
    <r>
      <rPr>
        <sz val="9"/>
        <rFont val="宋体"/>
        <family val="3"/>
        <charset val="134"/>
      </rPr>
      <t>3</t>
    </r>
    <phoneticPr fontId="7" type="noConversion"/>
  </si>
  <si>
    <t>事故池</t>
  </si>
  <si>
    <r>
      <t>（20*10.9*4.5）m</t>
    </r>
    <r>
      <rPr>
        <sz val="9"/>
        <rFont val="宋体"/>
        <family val="3"/>
        <charset val="134"/>
      </rPr>
      <t>3</t>
    </r>
    <phoneticPr fontId="7" type="noConversion"/>
  </si>
  <si>
    <t>二沉池</t>
  </si>
  <si>
    <t>初沉池</t>
  </si>
  <si>
    <t>雨水井</t>
  </si>
  <si>
    <r>
      <t>（4*4*5）</t>
    </r>
    <r>
      <rPr>
        <sz val="9"/>
        <rFont val="宋体"/>
        <family val="3"/>
        <charset val="134"/>
      </rPr>
      <t>m3</t>
    </r>
    <phoneticPr fontId="7" type="noConversion"/>
  </si>
  <si>
    <t>营业室改造</t>
    <phoneticPr fontId="7" type="noConversion"/>
  </si>
  <si>
    <t>生产部</t>
    <phoneticPr fontId="7" type="noConversion"/>
  </si>
  <si>
    <t>3号线地面改造</t>
    <phoneticPr fontId="7" type="noConversion"/>
  </si>
  <si>
    <t>包装部</t>
    <phoneticPr fontId="7" type="noConversion"/>
  </si>
  <si>
    <t>宿舍楼暖气改造</t>
    <phoneticPr fontId="7" type="noConversion"/>
  </si>
  <si>
    <t>人行部</t>
    <phoneticPr fontId="7" type="noConversion"/>
  </si>
  <si>
    <t>宿舍水管改造</t>
    <phoneticPr fontId="7" type="noConversion"/>
  </si>
  <si>
    <t>食堂装修改造</t>
    <phoneticPr fontId="7" type="noConversion"/>
  </si>
  <si>
    <t xml:space="preserve"> 实验室装修</t>
  </si>
  <si>
    <t>品管部</t>
    <phoneticPr fontId="7" type="noConversion"/>
  </si>
  <si>
    <t>办公区外墙粉刷工程</t>
    <phoneticPr fontId="7" type="noConversion"/>
  </si>
  <si>
    <t>公用工程</t>
    <phoneticPr fontId="7" type="noConversion"/>
  </si>
  <si>
    <t>1,37,2</t>
    <phoneticPr fontId="281" type="noConversion"/>
  </si>
  <si>
    <t>包装车间屋面粉刷</t>
    <phoneticPr fontId="7" type="noConversion"/>
  </si>
  <si>
    <t>酿造罐区屋面粉刷</t>
    <phoneticPr fontId="7" type="noConversion"/>
  </si>
  <si>
    <t>酿造部</t>
    <phoneticPr fontId="7" type="noConversion"/>
  </si>
  <si>
    <t>3#4#线地沟地面改造</t>
  </si>
  <si>
    <t>生产区外墙粉刷</t>
    <phoneticPr fontId="7" type="noConversion"/>
  </si>
  <si>
    <t>17,36,21,20</t>
    <phoneticPr fontId="281" type="noConversion"/>
  </si>
  <si>
    <r>
      <rPr>
        <sz val="10"/>
        <rFont val="宋体"/>
        <family val="3"/>
        <charset val="134"/>
      </rPr>
      <t>合</t>
    </r>
    <r>
      <rPr>
        <sz val="10"/>
        <rFont val="Times New Roman"/>
        <family val="1"/>
      </rPr>
      <t xml:space="preserve">         </t>
    </r>
    <r>
      <rPr>
        <sz val="10"/>
        <rFont val="宋体"/>
        <family val="3"/>
        <charset val="134"/>
      </rPr>
      <t>计</t>
    </r>
    <phoneticPr fontId="7" type="noConversion"/>
  </si>
  <si>
    <t>减：减值准备</t>
    <phoneticPr fontId="7" type="noConversion"/>
  </si>
  <si>
    <r>
      <t>合</t>
    </r>
    <r>
      <rPr>
        <sz val="10"/>
        <rFont val="Times New Roman"/>
        <family val="1"/>
      </rPr>
      <t xml:space="preserve">            </t>
    </r>
    <r>
      <rPr>
        <sz val="10"/>
        <rFont val="宋体"/>
        <family val="3"/>
        <charset val="134"/>
      </rPr>
      <t>计</t>
    </r>
    <phoneticPr fontId="7" type="noConversion"/>
  </si>
  <si>
    <t>成新率</t>
    <phoneticPr fontId="237" type="noConversion"/>
  </si>
  <si>
    <t>分值</t>
    <phoneticPr fontId="237" type="noConversion"/>
  </si>
  <si>
    <t>分数</t>
    <phoneticPr fontId="237" type="noConversion"/>
  </si>
  <si>
    <t>炉渣地面（石灰焦渣）</t>
    <phoneticPr fontId="237" type="noConversion"/>
  </si>
  <si>
    <t>合计</t>
    <phoneticPr fontId="237" type="noConversion"/>
  </si>
  <si>
    <t>金额（万元）</t>
    <phoneticPr fontId="237" type="noConversion"/>
  </si>
  <si>
    <t>年度</t>
    <phoneticPr fontId="7" type="noConversion"/>
  </si>
  <si>
    <t>项目名称</t>
  </si>
  <si>
    <t>开发主体</t>
  </si>
  <si>
    <t>项目类型</t>
  </si>
  <si>
    <t>规划用途</t>
  </si>
  <si>
    <t>市政条件</t>
  </si>
  <si>
    <t>土地面积（公顷）</t>
    <phoneticPr fontId="281" type="noConversion"/>
  </si>
  <si>
    <t>建筑规模  （万平方米）</t>
  </si>
  <si>
    <t>土地开发成本总价（万元）</t>
    <phoneticPr fontId="7" type="noConversion"/>
  </si>
  <si>
    <t>土地开发成本构成情况</t>
    <phoneticPr fontId="7" type="noConversion"/>
  </si>
  <si>
    <t>项目整体</t>
    <phoneticPr fontId="281" type="noConversion"/>
  </si>
  <si>
    <t>土地取得费</t>
    <phoneticPr fontId="281" type="noConversion"/>
  </si>
  <si>
    <t>征地补偿及相关税费</t>
    <phoneticPr fontId="291" type="noConversion"/>
  </si>
  <si>
    <t>拆迁补偿及相关费用</t>
    <phoneticPr fontId="291" type="noConversion"/>
  </si>
  <si>
    <t>征地拆迁不可预见费</t>
    <phoneticPr fontId="291" type="noConversion"/>
  </si>
  <si>
    <t>回迁安置房成本</t>
  </si>
  <si>
    <t>征地补偿及相关税费地面单价（元/平方米）</t>
    <phoneticPr fontId="291" type="noConversion"/>
  </si>
  <si>
    <t>拆迁补偿及相关费用地面单价（元/平方米）</t>
    <phoneticPr fontId="291" type="noConversion"/>
  </si>
  <si>
    <t>总用地</t>
  </si>
  <si>
    <t>建设用地</t>
  </si>
  <si>
    <t>名称</t>
    <phoneticPr fontId="281" type="noConversion"/>
  </si>
  <si>
    <t>过会年度</t>
    <phoneticPr fontId="281" type="noConversion"/>
  </si>
  <si>
    <t>土地开发成本总价（万元）</t>
    <phoneticPr fontId="281" type="noConversion"/>
  </si>
  <si>
    <t>总成本地面单价（元/平方米）</t>
    <phoneticPr fontId="281" type="noConversion"/>
  </si>
  <si>
    <t>土地取得费【征地补偿及相关税费、拆迁补偿及相关费用】（万元）</t>
    <phoneticPr fontId="281" type="noConversion"/>
  </si>
  <si>
    <t>取得费地面单价（元/平方米）</t>
    <phoneticPr fontId="281" type="noConversion"/>
  </si>
  <si>
    <t>c</t>
    <phoneticPr fontId="237" type="noConversion"/>
  </si>
  <si>
    <t>亚林西居住区土地一级开发项目二期（地块7）</t>
    <phoneticPr fontId="7" type="noConversion"/>
  </si>
  <si>
    <t>北京市土地整理储备中心、北京市土地整理储备中心丰台区分中心</t>
    <phoneticPr fontId="7" type="noConversion"/>
  </si>
  <si>
    <t>一级开发</t>
    <phoneticPr fontId="7" type="noConversion"/>
  </si>
  <si>
    <t>住宅混合公建、商业金融、教育配套用地</t>
    <phoneticPr fontId="7" type="noConversion"/>
  </si>
  <si>
    <t>七通一平（通路、通上水（自来水、中水）、通下水（雨水、污水）、通电（仅含管沟）、通讯（电信）、通燃气、通热力），以上工作由北京京投新兴投资有限公司负责于二级竞得人竣工验收前完成。</t>
    <phoneticPr fontId="7" type="noConversion"/>
  </si>
  <si>
    <t>一、经2013年第九期土地储备开发项目成本预审会审核，亚林西项目土地开发成本为1318636.34万元，其中，项目一期（地块1、地块5）土地开发成本为462183.93万元。本次经丰台区政府审核，该项目土地开发成本无变化。
二、本次审核的项目二期（地块7）土地开发成本为360883.63万元。
三、实物补偿：亚林西项目整体需提供162882平方米的商业及公建用房。其中，项目二期（地块7）的二级竞得人需提供57267平方米的（地上）商业及公建用房，其中：
（一）向西铁营村（北京西铁营投资管理公司）提供50050平方米的（地上）商业及公建用房（地下面积以规划指标配比为准），回购价格为6610元/平方米（含建安、出让金及相关税费等）；
（二）向万泉寺村（北京中阳盛锋投资管理公司）提供7217平方米的（地上）商业及公建用房（地下面积以规划指标配比为准），回购价格为6610元/平方米（含建安、出让金及相关税费等）。</t>
    <phoneticPr fontId="7" type="noConversion"/>
  </si>
  <si>
    <t>亚林西居住区土地一级开发项目</t>
    <phoneticPr fontId="281" type="noConversion"/>
  </si>
  <si>
    <t>2013年</t>
    <phoneticPr fontId="281" type="noConversion"/>
  </si>
  <si>
    <t>一、经丰台区政府审核，丰台区亚林西居住区项目土地开发成本为1318636.34万元，其中，前期费用25890.48万元，征地补偿费158871.53万元，拆迁补偿费780998.98万元，征地、拆迁不可预见费36685.19万元，市政基础设施建设费49935.05万元，其他费用1331.66万元，财务费用179049.89万元，利润81126.28万元，审计费、委托入市交易费、地价评估费4747.27万元。
二、本次审核的1地块（12.41公顷）土地开发成本为238142.03万元，5地块（9.52公顷）土地开发成本为224041.90万元。
三、依据区政府意见，亚林西项目整体需提供162882平方米的商业用房。其中，地块1的二级竞得人无偿向北京西铁营投资管理有限公司提供31477平方米地上商业用房；地块5的二级竞得人需向北京西铁营投资管理有限公司提供40950平方米地上商业用房（地下面积以规划指标配比为准），回购价格为6610元/平方米（含建安、出让金及相关税费等）。</t>
    <phoneticPr fontId="7" type="noConversion"/>
  </si>
  <si>
    <t>地铁九号线六里桥西站上盖土地一级开发项目</t>
    <phoneticPr fontId="7" type="noConversion"/>
  </si>
  <si>
    <t>北京市基础设施投资有限公司</t>
    <phoneticPr fontId="7" type="noConversion"/>
  </si>
  <si>
    <t>一级开发</t>
    <phoneticPr fontId="7" type="noConversion"/>
  </si>
  <si>
    <t>其他类多功能用地</t>
    <phoneticPr fontId="7" type="noConversion"/>
  </si>
  <si>
    <t>临时三通一平（通路、通临时用水、通临时用电），已全部完成。</t>
    <phoneticPr fontId="7" type="noConversion"/>
  </si>
  <si>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phoneticPr fontId="7" type="noConversion"/>
  </si>
  <si>
    <t>地铁九号线六里桥西站上盖土地一级开发项目</t>
    <phoneticPr fontId="281" type="noConversion"/>
  </si>
  <si>
    <t>2015年</t>
    <phoneticPr fontId="281" type="noConversion"/>
  </si>
  <si>
    <t>同前</t>
    <phoneticPr fontId="281" type="noConversion"/>
  </si>
  <si>
    <t>b</t>
    <phoneticPr fontId="237" type="noConversion"/>
  </si>
  <si>
    <t>城乡一体化槐房村和新宫村旧村改造项目3-6宗NY-35\NY-39\NY-49\NY-50\NY-53\NY-54\NY-55\NY-57\L-01</t>
    <phoneticPr fontId="7" type="noConversion"/>
  </si>
  <si>
    <t>北京中苑盛世投资管理公司</t>
    <phoneticPr fontId="7" type="noConversion"/>
  </si>
  <si>
    <t>一级开发</t>
    <phoneticPr fontId="7" type="noConversion"/>
  </si>
  <si>
    <t>R2\R5\C1\C3\C9</t>
    <phoneticPr fontId="7" type="noConversion"/>
  </si>
  <si>
    <t>该项目的市政情况为：“临时三通一平”（分别为除最终可保留地上物外的场地自然平整，通施工临时用水、通施工临时用电、通可供施工车辆通行的道路）。上述工作由开发主体负责于供地验收前完成。</t>
    <phoneticPr fontId="7" type="noConversion"/>
  </si>
  <si>
    <r>
      <t xml:space="preserve">    一、经</t>
    </r>
    <r>
      <rPr>
        <u/>
        <sz val="10"/>
        <color indexed="8"/>
        <rFont val="宋体"/>
        <family val="3"/>
        <charset val="134"/>
      </rPr>
      <t>丰台</t>
    </r>
    <r>
      <rPr>
        <sz val="10"/>
        <color indexed="8"/>
        <rFont val="宋体"/>
        <family val="3"/>
        <charset val="134"/>
      </rPr>
      <t>区政府审核，</t>
    </r>
    <r>
      <rPr>
        <u/>
        <sz val="10"/>
        <color indexed="8"/>
        <rFont val="宋体"/>
        <family val="3"/>
        <charset val="134"/>
      </rPr>
      <t>丰台区城乡一体化槐房村和新宫村旧村改造</t>
    </r>
    <r>
      <rPr>
        <sz val="10"/>
        <color indexed="8"/>
        <rFont val="宋体"/>
        <family val="3"/>
        <charset val="134"/>
      </rPr>
      <t>项目土地开发成本约为</t>
    </r>
    <r>
      <rPr>
        <u/>
        <sz val="10"/>
        <color indexed="8"/>
        <rFont val="宋体"/>
        <family val="3"/>
        <charset val="134"/>
      </rPr>
      <t>1760613.68</t>
    </r>
    <r>
      <rPr>
        <sz val="10"/>
        <color indexed="8"/>
        <rFont val="宋体"/>
        <family val="3"/>
        <charset val="134"/>
      </rPr>
      <t>万元，其中前期费用为</t>
    </r>
    <r>
      <rPr>
        <u/>
        <sz val="10"/>
        <color indexed="8"/>
        <rFont val="宋体"/>
        <family val="3"/>
        <charset val="134"/>
      </rPr>
      <t>1991.13</t>
    </r>
    <r>
      <rPr>
        <sz val="10"/>
        <color indexed="8"/>
        <rFont val="宋体"/>
        <family val="3"/>
        <charset val="134"/>
      </rPr>
      <t>万元，征地补偿及相关税费为</t>
    </r>
    <r>
      <rPr>
        <u/>
        <sz val="10"/>
        <color indexed="8"/>
        <rFont val="宋体"/>
        <family val="3"/>
        <charset val="134"/>
      </rPr>
      <t>243024.04</t>
    </r>
    <r>
      <rPr>
        <sz val="10"/>
        <color indexed="8"/>
        <rFont val="宋体"/>
        <family val="3"/>
        <charset val="134"/>
      </rPr>
      <t>万元，拆迁补偿及相关费用为</t>
    </r>
    <r>
      <rPr>
        <u/>
        <sz val="10"/>
        <color indexed="8"/>
        <rFont val="宋体"/>
        <family val="3"/>
        <charset val="134"/>
      </rPr>
      <t>1017473.19</t>
    </r>
    <r>
      <rPr>
        <sz val="10"/>
        <color indexed="8"/>
        <rFont val="宋体"/>
        <family val="3"/>
        <charset val="134"/>
      </rPr>
      <t>万元，市政基础设施建设费用为</t>
    </r>
    <r>
      <rPr>
        <u/>
        <sz val="10"/>
        <color indexed="8"/>
        <rFont val="宋体"/>
        <family val="3"/>
        <charset val="134"/>
      </rPr>
      <t>26805.75</t>
    </r>
    <r>
      <rPr>
        <sz val="10"/>
        <color indexed="8"/>
        <rFont val="宋体"/>
        <family val="3"/>
        <charset val="134"/>
      </rPr>
      <t>万元，回迁安置房成本</t>
    </r>
    <r>
      <rPr>
        <u/>
        <sz val="10"/>
        <color indexed="8"/>
        <rFont val="宋体"/>
        <family val="3"/>
        <charset val="134"/>
      </rPr>
      <t>80824.67</t>
    </r>
    <r>
      <rPr>
        <sz val="10"/>
        <color indexed="8"/>
        <rFont val="宋体"/>
        <family val="3"/>
        <charset val="134"/>
      </rPr>
      <t>万元，其他费用</t>
    </r>
    <r>
      <rPr>
        <u/>
        <sz val="10"/>
        <color indexed="8"/>
        <rFont val="宋体"/>
        <family val="3"/>
        <charset val="134"/>
      </rPr>
      <t>1788.39</t>
    </r>
    <r>
      <rPr>
        <sz val="10"/>
        <color indexed="8"/>
        <rFont val="宋体"/>
        <family val="3"/>
        <charset val="134"/>
      </rPr>
      <t>万元，财务费用</t>
    </r>
    <r>
      <rPr>
        <u/>
        <sz val="10"/>
        <color indexed="8"/>
        <rFont val="宋体"/>
        <family val="3"/>
        <charset val="134"/>
      </rPr>
      <t>201126.49</t>
    </r>
    <r>
      <rPr>
        <sz val="10"/>
        <color indexed="8"/>
        <rFont val="宋体"/>
        <family val="3"/>
        <charset val="134"/>
      </rPr>
      <t>万元，利润</t>
    </r>
    <r>
      <rPr>
        <u/>
        <sz val="10"/>
        <color indexed="8"/>
        <rFont val="宋体"/>
        <family val="3"/>
        <charset val="134"/>
      </rPr>
      <t>109752.57</t>
    </r>
    <r>
      <rPr>
        <sz val="10"/>
        <color indexed="8"/>
        <rFont val="宋体"/>
        <family val="3"/>
        <charset val="134"/>
      </rPr>
      <t>万元，审计费</t>
    </r>
    <r>
      <rPr>
        <u/>
        <sz val="10"/>
        <color indexed="8"/>
        <rFont val="宋体"/>
        <family val="3"/>
        <charset val="134"/>
      </rPr>
      <t>851</t>
    </r>
    <r>
      <rPr>
        <sz val="10"/>
        <color indexed="8"/>
        <rFont val="宋体"/>
        <family val="3"/>
        <charset val="134"/>
      </rPr>
      <t>万元，委托入市交易费</t>
    </r>
    <r>
      <rPr>
        <u/>
        <sz val="10"/>
        <color indexed="8"/>
        <rFont val="宋体"/>
        <family val="3"/>
        <charset val="134"/>
      </rPr>
      <t>196</t>
    </r>
    <r>
      <rPr>
        <sz val="10"/>
        <color indexed="8"/>
        <rFont val="宋体"/>
        <family val="3"/>
        <charset val="134"/>
      </rPr>
      <t>万元，两税两费</t>
    </r>
    <r>
      <rPr>
        <u/>
        <sz val="10"/>
        <color indexed="8"/>
        <rFont val="宋体"/>
        <family val="3"/>
        <charset val="134"/>
      </rPr>
      <t>76780.44</t>
    </r>
    <r>
      <rPr>
        <sz val="10"/>
        <color indexed="8"/>
        <rFont val="宋体"/>
        <family val="3"/>
        <charset val="134"/>
      </rPr>
      <t>万元
    二、本次审核的</t>
    </r>
    <r>
      <rPr>
        <u/>
        <sz val="10"/>
        <color indexed="8"/>
        <rFont val="宋体"/>
        <family val="3"/>
        <charset val="134"/>
      </rPr>
      <t>第三至第六宗（NY-35\NY-39\NY-49\NY-50\NY-53\NY-54\NY-55\NY-57\L-01）</t>
    </r>
    <r>
      <rPr>
        <sz val="10"/>
        <color indexed="8"/>
        <rFont val="宋体"/>
        <family val="3"/>
        <charset val="134"/>
      </rPr>
      <t>地块土地开发成本约为</t>
    </r>
    <r>
      <rPr>
        <u/>
        <sz val="10"/>
        <color indexed="8"/>
        <rFont val="宋体"/>
        <family val="3"/>
        <charset val="134"/>
      </rPr>
      <t>773077.49</t>
    </r>
    <r>
      <rPr>
        <sz val="10"/>
        <color indexed="8"/>
        <rFont val="宋体"/>
        <family val="3"/>
        <charset val="134"/>
      </rPr>
      <t>万元。
    三、实物补偿：本次提请审核地块不涉及实物补偿或回迁安置房回购问题事宜。</t>
    </r>
    <phoneticPr fontId="7" type="noConversion"/>
  </si>
  <si>
    <t>丰台区城乡一体化槐房村和新宫村旧村改造项目</t>
    <phoneticPr fontId="281" type="noConversion"/>
  </si>
  <si>
    <t>2015年</t>
    <phoneticPr fontId="281" type="noConversion"/>
  </si>
  <si>
    <t>653.95（含代拆405.94）</t>
    <phoneticPr fontId="281" type="noConversion"/>
  </si>
  <si>
    <t>同前</t>
    <phoneticPr fontId="281" type="noConversion"/>
  </si>
  <si>
    <t>北京丽泽金融商务区南区土地一级开发项目D-01、02、07、08、16、17、18地块</t>
    <phoneticPr fontId="7" type="noConversion"/>
  </si>
  <si>
    <t>北京丽泽开发建设有限公司</t>
    <phoneticPr fontId="7" type="noConversion"/>
  </si>
  <si>
    <t>商业金融、F3多功能</t>
    <phoneticPr fontId="7" type="noConversion"/>
  </si>
  <si>
    <t xml:space="preserve">临时三通一平（通施工临时用水、通施工临时用电、通可供施工车辆通行的道路，场地基本平整），以上工作由北京丽泽开发建设有限公司负责于项目入市前完成。
</t>
    <phoneticPr fontId="7"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</si>
  <si>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7" type="noConversion"/>
  </si>
  <si>
    <t>北京丽泽金融商务区南区土地一级开发项目</t>
    <phoneticPr fontId="281" type="noConversion"/>
  </si>
  <si>
    <t>2016年</t>
  </si>
  <si>
    <t>丰台区青龙湖郊野休闲社区项目（二期）</t>
    <phoneticPr fontId="7" type="noConversion"/>
  </si>
  <si>
    <t>北京新鸿基盛城置业集团有限公司</t>
    <phoneticPr fontId="7" type="noConversion"/>
  </si>
  <si>
    <t>居住及配套设施用地、机构养老设施用地、商业用地</t>
    <phoneticPr fontId="7" type="noConversion"/>
  </si>
  <si>
    <t>七通一平（通路、通上水（自来水、中水）、通下水（雨水、污水）、通电（仅含管沟）、通讯（电信）、通燃气、通热力，场地基本平整），以上工作由北京新鸿基盛城置业集团有限公司负责于二级竣工验收前完成。</t>
    <phoneticPr fontId="7" type="noConversion"/>
  </si>
  <si>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phoneticPr fontId="7" type="noConversion"/>
  </si>
  <si>
    <t>丰台区青龙湖郊野休闲社区项目（二期）</t>
    <phoneticPr fontId="281" type="noConversion"/>
  </si>
  <si>
    <t>丰台区城乡一体化大红门旧村改造项目DHM-07、DHM-09地块</t>
    <phoneticPr fontId="7" type="noConversion"/>
  </si>
  <si>
    <t>北京市土地整理储备中心丰台区分中心</t>
    <phoneticPr fontId="7" type="noConversion"/>
  </si>
  <si>
    <t>F2公建混合住宅用地、F3其他类多功能用地</t>
    <phoneticPr fontId="7" type="noConversion"/>
  </si>
  <si>
    <t>市政建设程度为临时三通（通施工临时用水、通施工临时用电、通可供施工车辆通行的道路）和场地基本平整，以上由北京鑫红海房地产开发有限公司负责于土地入市前完成。</t>
    <phoneticPr fontId="7"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</si>
  <si>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7" type="noConversion"/>
  </si>
  <si>
    <t>丰台区城乡一体化大红门旧村改造项目</t>
    <phoneticPr fontId="281" type="noConversion"/>
  </si>
  <si>
    <t>234.67（含代拆53）</t>
    <phoneticPr fontId="281" type="noConversion"/>
  </si>
  <si>
    <t>a</t>
    <phoneticPr fontId="237" type="noConversion"/>
  </si>
  <si>
    <t>丰台区城乡一体化周庄子村旧村改造项目ZZZ-01、L03、L04、L05、12、26地块</t>
    <phoneticPr fontId="281" type="noConversion"/>
  </si>
  <si>
    <t xml:space="preserve">北京市土地整理储备中心丰台区分中心
</t>
    <phoneticPr fontId="7" type="noConversion"/>
  </si>
  <si>
    <t>居住、绿隔产业、文化娱乐、市政设施、教育用地等</t>
    <phoneticPr fontId="7" type="noConversion"/>
  </si>
  <si>
    <t>市政建设程度为临时三通（通施工临时用水、通施工临时用电、通可供施工车辆通行的道路）和场地基本平整，由北京庄兴房地产开发有限公司负责于土地入市前完成。</t>
    <phoneticPr fontId="7" type="noConversion"/>
  </si>
  <si>
    <t>一、经丰台区政府审核，丰台区城乡一体化周庄子村旧村改造项目土地开发成本为368438.01万元，其中，前期费用4853.29万元，征地补偿及相关税费27401.06万元，拆迁补偿及相关费用258263.26万元，市政基础设施建设费1152.26万元，其他费用1796.65万元，财务费用63974.16万元，利润/管理费10369.33万元，审计费、委托入市交易费、地价评估费628.00万元。
二、扣除已收回成本0万元，剩余地块土地开发成本368438.01万元。
三、本次审核的ZZZ-01、L03、L04、L05、12、26地块土地开发成本为98018.04万元。其中，ZZZ-01地块土地开发成本为24904.63万元；ZZZ- L04地块土地开发成本为0万元；ZZZ- L03地块土地开发成本为1214.7万元；ZZZ- L05地块土地开发成本为51698.79万元；ZZZ- 12地块土地开发成本为19814.72万元；ZZZ- 26地块土地开发成本为385.20万元。
四、实物补偿：依据《征地安置补偿协议》及《征地结案表》，丰台区城乡一体化周庄子旧村改造项目整体需提供150000平方米的地上公建。其中，本次提请审核的ZZZ-01地块的二级竞得人需无偿向周庄子村村民委员会（北京市周庄子投资管理中心）提供21600平方米地上公建。</t>
    <phoneticPr fontId="7" type="noConversion"/>
  </si>
  <si>
    <t>丰台区城乡一体化周庄子村旧村改造项目</t>
    <phoneticPr fontId="281" type="noConversion"/>
  </si>
  <si>
    <t>附属物（树木）</t>
    <phoneticPr fontId="237" type="noConversion"/>
  </si>
  <si>
    <t>地块名称</t>
  </si>
  <si>
    <t>出让方式</t>
  </si>
  <si>
    <t>详细规划</t>
  </si>
  <si>
    <t>建设用地面积(㎡)</t>
  </si>
  <si>
    <t>规划建筑面积(㎡)</t>
  </si>
  <si>
    <t>成交日期</t>
  </si>
  <si>
    <t>成交价(万元)</t>
  </si>
  <si>
    <t>成交每亩价(万元/亩)</t>
  </si>
  <si>
    <t>成交楼面价(元/㎡)</t>
  </si>
  <si>
    <t>成交楼面价(除保障房)(元/㎡)</t>
  </si>
  <si>
    <t>溢价率</t>
  </si>
  <si>
    <t>出让年限</t>
  </si>
  <si>
    <t>竞报整体自持比例(%)</t>
  </si>
  <si>
    <t>竞报商品住房自持比例(%)</t>
  </si>
  <si>
    <t>竞报商办部分自持比例(%)</t>
  </si>
  <si>
    <t>顺义新城第14街区SY00-0014-6001M1一类工业用地项目</t>
  </si>
  <si>
    <t>挂牌</t>
  </si>
  <si>
    <t>M1一类工业用地</t>
  </si>
  <si>
    <t>2017-12-25</t>
  </si>
  <si>
    <t>50年</t>
  </si>
  <si>
    <t>W2普通仓储用地</t>
  </si>
  <si>
    <t>2017-05-04</t>
  </si>
  <si>
    <t>2017-04-21</t>
  </si>
  <si>
    <t>顺义区金马工业区D1-01-1地块</t>
  </si>
  <si>
    <t>2016-10-25</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</si>
  <si>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7" type="noConversion"/>
  </si>
  <si>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7" type="noConversion"/>
  </si>
  <si>
    <t>五星青岛啤酒厂</t>
    <phoneticPr fontId="32" type="noConversion"/>
  </si>
  <si>
    <t>正常</t>
  </si>
  <si>
    <t>工业</t>
    <phoneticPr fontId="32" type="noConversion"/>
  </si>
  <si>
    <t>仓储</t>
  </si>
  <si>
    <t>仓储</t>
    <phoneticPr fontId="32" type="noConversion"/>
  </si>
  <si>
    <t>估价对象位于海淀区，区域工业成熟度一般，产业集聚程度一般</t>
    <phoneticPr fontId="7" type="noConversion"/>
  </si>
  <si>
    <t>估价对象所在区域公共配套设施齐备情况好</t>
    <phoneticPr fontId="7" type="noConversion"/>
  </si>
  <si>
    <t>七通</t>
  </si>
  <si>
    <t>七通</t>
    <phoneticPr fontId="7" type="noConversion"/>
  </si>
  <si>
    <t>该区域内没有污染型企业，绿化情况教好，卫生条件教好，整体环境状况较好</t>
    <phoneticPr fontId="7" type="noConversion"/>
  </si>
  <si>
    <t>五通</t>
  </si>
  <si>
    <t>六通</t>
  </si>
  <si>
    <t>三通</t>
  </si>
  <si>
    <t>三通</t>
    <phoneticPr fontId="32" type="noConversion"/>
  </si>
  <si>
    <t>七通</t>
    <phoneticPr fontId="32" type="noConversion"/>
  </si>
  <si>
    <t>多面临街</t>
  </si>
  <si>
    <t>城市支路</t>
    <phoneticPr fontId="25" type="noConversion"/>
  </si>
  <si>
    <t>六级</t>
    <phoneticPr fontId="25" type="noConversion"/>
  </si>
  <si>
    <t>顺义新城第26街区南部</t>
    <phoneticPr fontId="7" type="noConversion"/>
  </si>
  <si>
    <t>城市快速路</t>
  </si>
  <si>
    <t>城市快速路</t>
    <phoneticPr fontId="32" type="noConversion"/>
  </si>
  <si>
    <t>主</t>
    <phoneticPr fontId="32" type="noConversion"/>
  </si>
  <si>
    <t>次</t>
    <phoneticPr fontId="32" type="noConversion"/>
  </si>
  <si>
    <t>支</t>
  </si>
  <si>
    <t>支</t>
    <phoneticPr fontId="32" type="noConversion"/>
  </si>
  <si>
    <t>六级</t>
    <phoneticPr fontId="32" type="noConversion"/>
  </si>
  <si>
    <t>八级</t>
    <phoneticPr fontId="32" type="noConversion"/>
  </si>
  <si>
    <t>较规则</t>
  </si>
  <si>
    <t>较规则</t>
    <phoneticPr fontId="32" type="noConversion"/>
  </si>
  <si>
    <t>差</t>
  </si>
  <si>
    <t>六通</t>
    <phoneticPr fontId="32" type="noConversion"/>
  </si>
  <si>
    <t>五通</t>
    <phoneticPr fontId="32" type="noConversion"/>
  </si>
  <si>
    <t>四通</t>
    <phoneticPr fontId="32" type="noConversion"/>
  </si>
  <si>
    <t>自然平整</t>
  </si>
  <si>
    <t>自然平整</t>
    <phoneticPr fontId="32"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</si>
  <si>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</si>
  <si>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道路（沥青）</t>
    <phoneticPr fontId="237" type="noConversion"/>
  </si>
  <si>
    <t>平方米</t>
    <phoneticPr fontId="237" type="noConversion"/>
  </si>
  <si>
    <t>基准地价法</t>
    <phoneticPr fontId="237" type="noConversion"/>
  </si>
  <si>
    <t>成本法</t>
    <phoneticPr fontId="237" type="noConversion"/>
  </si>
  <si>
    <t>比较法</t>
    <phoneticPr fontId="237" type="noConversion"/>
  </si>
  <si>
    <t>出让</t>
    <phoneticPr fontId="237" type="noConversion"/>
  </si>
  <si>
    <t>划拨</t>
    <phoneticPr fontId="237" type="noConversion"/>
  </si>
  <si>
    <t>出让土地面积</t>
    <phoneticPr fontId="237" type="noConversion"/>
  </si>
  <si>
    <t>建面</t>
    <phoneticPr fontId="237" type="noConversion"/>
  </si>
  <si>
    <t>楼面单价</t>
    <phoneticPr fontId="237" type="noConversion"/>
  </si>
  <si>
    <t>地面单价</t>
    <phoneticPr fontId="237" type="noConversion"/>
  </si>
  <si>
    <t>总价（万元）</t>
    <phoneticPr fontId="237" type="noConversion"/>
  </si>
  <si>
    <t>附属物（院墙院地喷泉）</t>
    <phoneticPr fontId="237" type="noConversion"/>
  </si>
  <si>
    <t>海淀区西三旗建材城中路2号</t>
    <phoneticPr fontId="10" type="noConversion"/>
  </si>
  <si>
    <t>顺义区赵全营镇SY19-0107-0001至0003(即SY10-0107-6003)地块</t>
    <phoneticPr fontId="237" type="noConversion"/>
  </si>
  <si>
    <t>算数平均</t>
    <phoneticPr fontId="237" type="noConversion"/>
  </si>
  <si>
    <t xml:space="preserve">永丰产业基地（新）园区土地一级开发项目H地块
</t>
    <phoneticPr fontId="281" type="noConversion"/>
  </si>
  <si>
    <t>土地总面积（公顷）</t>
    <phoneticPr fontId="281" type="noConversion"/>
  </si>
  <si>
    <t>土地取得费地面单价（元）</t>
    <phoneticPr fontId="291" type="noConversion"/>
  </si>
  <si>
    <t>成交地面</t>
    <phoneticPr fontId="237" type="noConversion"/>
  </si>
  <si>
    <t>划拨</t>
    <phoneticPr fontId="237" type="noConversion"/>
  </si>
  <si>
    <t>部分收储面积</t>
    <phoneticPr fontId="237" type="noConversion"/>
  </si>
  <si>
    <t>比例</t>
    <phoneticPr fontId="237" type="noConversion"/>
  </si>
  <si>
    <t>整体</t>
    <phoneticPr fontId="237" type="noConversion"/>
  </si>
  <si>
    <t>市场比较法</t>
    <phoneticPr fontId="237" type="noConversion"/>
  </si>
  <si>
    <t>部分</t>
    <phoneticPr fontId="237" type="noConversion"/>
  </si>
  <si>
    <t>出让（整体）</t>
    <phoneticPr fontId="237" type="noConversion"/>
  </si>
  <si>
    <t>出让（部分）</t>
    <phoneticPr fontId="237" type="noConversion"/>
  </si>
  <si>
    <t>合计（整体）</t>
    <phoneticPr fontId="237" type="noConversion"/>
  </si>
  <si>
    <t>合计</t>
    <phoneticPr fontId="237" type="noConversion"/>
  </si>
  <si>
    <t>1-5月</t>
    <phoneticPr fontId="237" type="noConversion"/>
  </si>
  <si>
    <t>2018年1-5月净利润</t>
    <phoneticPr fontId="237" type="noConversion"/>
  </si>
  <si>
    <t>金龙喷泉</t>
    <phoneticPr fontId="237" type="noConversion"/>
  </si>
  <si>
    <t>个</t>
    <phoneticPr fontId="237" type="noConversion"/>
  </si>
  <si>
    <t>围栏</t>
    <phoneticPr fontId="237" type="noConversion"/>
  </si>
  <si>
    <t>米</t>
    <phoneticPr fontId="237" type="noConversion"/>
  </si>
  <si>
    <t>道路（混凝土）</t>
    <phoneticPr fontId="237" type="noConversion"/>
  </si>
  <si>
    <t>平方米</t>
    <phoneticPr fontId="237" type="noConversion"/>
  </si>
  <si>
    <t>树木</t>
    <phoneticPr fontId="237" type="noConversion"/>
  </si>
  <si>
    <t>棵</t>
    <phoneticPr fontId="237" type="noConversion"/>
  </si>
  <si>
    <t>数量</t>
    <phoneticPr fontId="237" type="noConversion"/>
  </si>
  <si>
    <t>基准地价修正系数法、成本法</t>
    <phoneticPr fontId="237" type="noConversion"/>
  </si>
  <si>
    <t>搬迁补偿费用</t>
    <phoneticPr fontId="237" type="noConversion"/>
  </si>
  <si>
    <t>土地收购补偿价格</t>
    <phoneticPr fontId="237" type="noConversion"/>
  </si>
  <si>
    <t>补偿价格参照《房地产估价规范》[GB/T 50291-2015]、《北京市房屋重置成新价评估技术标准》[北估秘（2016）001号]进行评估。</t>
    <phoneticPr fontId="237" type="noConversion"/>
  </si>
  <si>
    <t>补偿价格参照《北京市房屋重置成新价评估技术标准》[北估秘（2016）001号]进行评估。</t>
    <phoneticPr fontId="237" type="noConversion"/>
  </si>
  <si>
    <t>无法恢复使用的设施设备应为委托估价方或不动产权利人提供的全部设备资料清单，于估价期日的重置成新价格。</t>
    <phoneticPr fontId="237" type="noConversion"/>
  </si>
  <si>
    <t>【1】至【6】项之和</t>
    <phoneticPr fontId="237" type="noConversion"/>
  </si>
  <si>
    <t>补偿费用参照《关于国有土地上房屋征收与补偿中有关事项的通
知》[京建法（2012）19号]确定。非住宅按50元/建筑平方米搬迁、临时安置补偿费确定，需要搬迁重新安装的空调、电话移机费。</t>
    <phoneticPr fontId="237"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</si>
  <si>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7" type="noConversion"/>
  </si>
  <si>
    <t>——</t>
    <phoneticPr fontId="237" type="noConversion"/>
  </si>
  <si>
    <t>合计</t>
    <phoneticPr fontId="237" type="noConversion"/>
  </si>
  <si>
    <t>序号</t>
    <phoneticPr fontId="237" type="noConversion"/>
  </si>
  <si>
    <t>项目</t>
    <phoneticPr fontId="237" type="noConversion"/>
  </si>
  <si>
    <t>备注</t>
    <phoneticPr fontId="237" type="noConversion"/>
  </si>
  <si>
    <t>基数</t>
    <phoneticPr fontId="237" type="noConversion"/>
  </si>
  <si>
    <t>建（构）筑物价格</t>
    <phoneticPr fontId="237" type="noConversion"/>
  </si>
  <si>
    <t>附属物价格</t>
    <phoneticPr fontId="237" type="noConversion"/>
  </si>
  <si>
    <t>无法恢复使用的设施设备补偿价</t>
    <phoneticPr fontId="237" type="noConversion"/>
  </si>
  <si>
    <t>因土地收购造成的停产停业损失补偿费用</t>
    <phoneticPr fontId="237" type="noConversion"/>
  </si>
  <si>
    <t>60473.5㎡</t>
    <phoneticPr fontId="237" type="noConversion"/>
  </si>
  <si>
    <t xml:space="preserve">永丰产业基地（新）园区土地一级开发项目G地块
</t>
    <phoneticPr fontId="281" type="noConversion"/>
  </si>
  <si>
    <t>安宁庄钢材市场及周边地区改造项目</t>
    <phoneticPr fontId="281" type="noConversion"/>
  </si>
  <si>
    <t>项目名称</t>
    <phoneticPr fontId="281" type="noConversion"/>
  </si>
  <si>
    <t>序号</t>
    <phoneticPr fontId="281" type="noConversion"/>
  </si>
  <si>
    <t>A</t>
    <phoneticPr fontId="281" type="noConversion"/>
  </si>
  <si>
    <t>B</t>
    <phoneticPr fontId="281" type="noConversion"/>
  </si>
  <si>
    <t>C</t>
    <phoneticPr fontId="281" type="noConversion"/>
  </si>
  <si>
    <t>土地取得费地面单价（元）</t>
    <phoneticPr fontId="291" type="noConversion"/>
  </si>
  <si>
    <t>序号</t>
    <phoneticPr fontId="237" type="noConversion"/>
  </si>
  <si>
    <t>项目名称</t>
    <phoneticPr fontId="237" type="noConversion"/>
  </si>
  <si>
    <t>土地总面积（公顷）</t>
    <phoneticPr fontId="237" type="noConversion"/>
  </si>
  <si>
    <t>土地取得费地面单价（元）</t>
    <phoneticPr fontId="237" type="noConversion"/>
  </si>
  <si>
    <t>安宁庄钢材市场及周边地区改造项目</t>
    <phoneticPr fontId="237" type="noConversion"/>
  </si>
  <si>
    <r>
      <rPr>
        <sz val="11"/>
        <color theme="1"/>
        <rFont val="宋体"/>
        <family val="3"/>
        <charset val="134"/>
      </rPr>
      <t>永丰产业基地（新）园区土地一级开发项目</t>
    </r>
    <r>
      <rPr>
        <sz val="11"/>
        <color theme="1"/>
        <rFont val="Arial"/>
        <family val="2"/>
      </rPr>
      <t>H</t>
    </r>
    <r>
      <rPr>
        <sz val="11"/>
        <color theme="1"/>
        <rFont val="宋体"/>
        <family val="3"/>
        <charset val="134"/>
      </rPr>
      <t>地块</t>
    </r>
    <phoneticPr fontId="237" type="noConversion"/>
  </si>
  <si>
    <r>
      <rPr>
        <sz val="11"/>
        <color theme="1"/>
        <rFont val="宋体"/>
        <family val="3"/>
        <charset val="134"/>
      </rPr>
      <t>永丰产业基地（新）园区土地一级开发项目</t>
    </r>
    <r>
      <rPr>
        <sz val="11"/>
        <color theme="1"/>
        <rFont val="Arial"/>
        <family val="2"/>
      </rPr>
      <t>G</t>
    </r>
    <r>
      <rPr>
        <sz val="11"/>
        <color theme="1"/>
        <rFont val="宋体"/>
        <family val="3"/>
        <charset val="134"/>
      </rPr>
      <t>地块</t>
    </r>
    <phoneticPr fontId="237" type="noConversion"/>
  </si>
  <si>
    <t>评估方法</t>
  </si>
  <si>
    <t>评估价格（万元）</t>
  </si>
  <si>
    <t>备注</t>
  </si>
  <si>
    <t>划拨</t>
  </si>
  <si>
    <t>基准地价系数修正法</t>
  </si>
  <si>
    <r>
      <t>征收拆迁补偿价格案例其中</t>
    </r>
    <r>
      <rPr>
        <sz val="12"/>
        <color theme="1"/>
        <rFont val="Arial"/>
        <family val="2"/>
      </rPr>
      <t>2</t>
    </r>
    <r>
      <rPr>
        <sz val="12"/>
        <color theme="1"/>
        <rFont val="仿宋_GB2312"/>
        <family val="3"/>
        <charset val="134"/>
      </rPr>
      <t>个位于海淀山后区，距离估价对象较远，个体差异较大，补偿价格偏低，建议土储提供近期或相近区域的征收拆迁补偿案例</t>
    </r>
  </si>
  <si>
    <t>瓶箱厕所</t>
    <phoneticPr fontId="237" type="noConversion"/>
  </si>
  <si>
    <t>陈颖</t>
  </si>
  <si>
    <t>停产停业损失补偿费=（用于生产经营的非住宅房屋的月租金+月净利润×修正系数+员工月生活补助）×停产停业补偿期限</t>
    <phoneticPr fontId="237" type="noConversion"/>
  </si>
  <si>
    <t>1-1</t>
    <phoneticPr fontId="237" type="noConversion"/>
  </si>
  <si>
    <t>1-2</t>
    <phoneticPr fontId="237" type="noConversion"/>
  </si>
  <si>
    <t>土地使用权价格（出让）</t>
    <phoneticPr fontId="237" type="noConversion"/>
  </si>
  <si>
    <t>土地使用权价格（划拨）</t>
    <phoneticPr fontId="237" type="noConversion"/>
  </si>
  <si>
    <r>
      <t>182153.37</t>
    </r>
    <r>
      <rPr>
        <sz val="11"/>
        <color theme="1"/>
        <rFont val="宋体"/>
        <family val="3"/>
        <charset val="134"/>
      </rPr>
      <t>㎡</t>
    </r>
    <phoneticPr fontId="237" type="noConversion"/>
  </si>
  <si>
    <r>
      <t>10879.7</t>
    </r>
    <r>
      <rPr>
        <sz val="11"/>
        <color theme="1"/>
        <rFont val="宋体"/>
        <family val="3"/>
        <charset val="134"/>
      </rPr>
      <t>㎡</t>
    </r>
    <phoneticPr fontId="237"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</si>
  <si>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7" type="noConversion"/>
  </si>
  <si>
    <t>被腾退人</t>
  </si>
  <si>
    <t>坐落</t>
  </si>
  <si>
    <t>确认宅基地面积（㎡）</t>
  </si>
  <si>
    <t>实测建筑面积
（㎡）</t>
  </si>
  <si>
    <t>房屋价款（元）</t>
  </si>
  <si>
    <t>装修、设备及附属物价款（元）</t>
  </si>
  <si>
    <t>定向安置</t>
  </si>
  <si>
    <t>货币补偿</t>
  </si>
  <si>
    <t>标准宅基地面积（㎡）</t>
  </si>
  <si>
    <t>宅基地补偿总价（元）</t>
  </si>
  <si>
    <t>定向房屋安置方式房屋腾退评估总价（元）</t>
  </si>
  <si>
    <t>货币腾退补偿价（元）</t>
  </si>
  <si>
    <t>货币补偿方式房屋腾退评估总价（元）</t>
  </si>
  <si>
    <t>总价（五星青岛）</t>
    <phoneticPr fontId="237" type="noConversion"/>
  </si>
  <si>
    <t>总价（双合盛）</t>
    <phoneticPr fontId="237" type="noConversion"/>
  </si>
  <si>
    <t>——</t>
    <phoneticPr fontId="237" type="noConversion"/>
  </si>
  <si>
    <r>
      <t>62715.37</t>
    </r>
    <r>
      <rPr>
        <sz val="11"/>
        <color theme="1"/>
        <rFont val="宋体"/>
        <family val="3"/>
        <charset val="134"/>
      </rPr>
      <t>㎡</t>
    </r>
    <phoneticPr fontId="237" type="noConversion"/>
  </si>
  <si>
    <r>
      <t>193033.07</t>
    </r>
    <r>
      <rPr>
        <sz val="11"/>
        <color theme="1"/>
        <rFont val="宋体"/>
        <family val="3"/>
        <charset val="134"/>
      </rPr>
      <t>㎡</t>
    </r>
    <phoneticPr fontId="237" type="noConversion"/>
  </si>
  <si>
    <t>杨红英</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</si>
</sst>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quot;￥&quot;#,##0.00_);[Red]\(&quot;￥&quot;#,##0.00\)"/>
    <numFmt numFmtId="197" formatCode="&quot;¥&quot;#,##0_);[Red]\(&quot;¥&quot;#,##0\)"/>
  </numFmts>
  <fonts count="302">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2"/>
      <color theme="1"/>
      <name val="宋体"/>
      <family val="3"/>
      <charset val="134"/>
    </font>
    <font>
      <sz val="9"/>
      <color theme="1"/>
      <name val="宋体"/>
      <family val="3"/>
      <charset val="134"/>
    </font>
    <font>
      <u/>
      <sz val="11"/>
      <color theme="10"/>
      <name val="宋体"/>
      <family val="3"/>
      <charset val="134"/>
      <scheme val="minor"/>
    </font>
    <font>
      <u/>
      <sz val="12"/>
      <color indexed="12"/>
      <name val="宋体"/>
      <family val="3"/>
      <charset val="134"/>
    </font>
    <font>
      <u/>
      <sz val="10"/>
      <color indexed="12"/>
      <name val="宋体"/>
      <family val="3"/>
      <charset val="134"/>
    </font>
    <font>
      <sz val="18"/>
      <name val="黑体"/>
      <family val="3"/>
      <charset val="134"/>
    </font>
    <font>
      <sz val="18"/>
      <name val="Times New Roman"/>
      <family val="1"/>
    </font>
    <font>
      <sz val="12"/>
      <name val="Times New Roman"/>
      <family val="1"/>
    </font>
    <font>
      <b/>
      <sz val="9"/>
      <name val="宋体"/>
      <family val="3"/>
      <charset val="134"/>
    </font>
    <font>
      <sz val="9"/>
      <name val="等线"/>
      <family val="3"/>
      <charset val="134"/>
    </font>
    <font>
      <u/>
      <sz val="10"/>
      <color indexed="8"/>
      <name val="宋体"/>
      <family val="3"/>
      <charset val="134"/>
    </font>
    <font>
      <sz val="11"/>
      <color theme="9" tint="-0.249977111117893"/>
      <name val="宋体"/>
      <family val="3"/>
      <charset val="134"/>
    </font>
    <font>
      <sz val="11"/>
      <color theme="1"/>
      <name val="宋体"/>
      <family val="3"/>
      <charset val="134"/>
      <scheme val="major"/>
    </font>
    <font>
      <sz val="10"/>
      <color indexed="8"/>
      <name val="宋体"/>
      <family val="3"/>
      <charset val="134"/>
      <scheme val="major"/>
    </font>
    <font>
      <sz val="9"/>
      <name val="宋体"/>
      <family val="3"/>
      <charset val="134"/>
      <scheme val="major"/>
    </font>
    <font>
      <b/>
      <sz val="12"/>
      <color theme="1"/>
      <name val="仿宋_GB2312"/>
      <family val="3"/>
      <charset val="134"/>
    </font>
    <font>
      <sz val="12"/>
      <name val="仿宋"/>
      <family val="3"/>
      <charset val="134"/>
    </font>
    <font>
      <b/>
      <sz val="10"/>
      <name val="MS Sans Serif"/>
      <family val="2"/>
      <charset val="134"/>
    </font>
    <font>
      <sz val="11"/>
      <color indexed="20"/>
      <name val="宋体"/>
      <family val="3"/>
      <charset val="134"/>
    </font>
    <font>
      <sz val="11"/>
      <color indexed="17"/>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indexed="15"/>
        <bgColor indexed="64"/>
      </patternFill>
    </fill>
    <fill>
      <patternFill patternType="solid">
        <fgColor rgb="FF00B0F0"/>
        <bgColor indexed="64"/>
      </patternFill>
    </fill>
    <fill>
      <patternFill patternType="solid">
        <fgColor indexed="45"/>
        <bgColor indexed="64"/>
      </patternFill>
    </fill>
    <fill>
      <patternFill patternType="solid">
        <fgColor indexed="42"/>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s>
  <cellStyleXfs count="33">
    <xf numFmtId="0" fontId="0" fillId="0" borderId="0">
      <alignment vertical="center"/>
    </xf>
    <xf numFmtId="0" fontId="149" fillId="0" borderId="0">
      <alignment vertical="center"/>
    </xf>
    <xf numFmtId="0" fontId="149" fillId="0" borderId="0">
      <alignment vertical="center"/>
    </xf>
    <xf numFmtId="0" fontId="149" fillId="0" borderId="0">
      <alignment vertical="center"/>
    </xf>
    <xf numFmtId="0" fontId="149" fillId="0" borderId="0"/>
    <xf numFmtId="0" fontId="149" fillId="0" borderId="0">
      <alignment vertical="center"/>
    </xf>
    <xf numFmtId="0" fontId="36" fillId="0" borderId="0"/>
    <xf numFmtId="0" fontId="149" fillId="0" borderId="0">
      <alignment vertical="center"/>
    </xf>
    <xf numFmtId="0" fontId="149" fillId="0" borderId="0"/>
    <xf numFmtId="0" fontId="149" fillId="0" borderId="0">
      <alignment vertical="center"/>
    </xf>
    <xf numFmtId="0" fontId="6" fillId="0" borderId="0">
      <alignment vertical="center"/>
    </xf>
    <xf numFmtId="9" fontId="36" fillId="0" borderId="0" applyFont="0" applyFill="0" applyBorder="0" applyAlignment="0" applyProtection="0">
      <alignment vertical="center"/>
    </xf>
    <xf numFmtId="0" fontId="149" fillId="0" borderId="0">
      <alignment vertical="center"/>
    </xf>
    <xf numFmtId="0" fontId="5" fillId="0" borderId="0">
      <alignment vertical="center"/>
    </xf>
    <xf numFmtId="0" fontId="265" fillId="0" borderId="0"/>
    <xf numFmtId="0" fontId="4" fillId="0" borderId="0">
      <alignment vertical="center"/>
    </xf>
    <xf numFmtId="0" fontId="284" fillId="0" borderId="0" applyNumberFormat="0" applyFill="0" applyBorder="0" applyAlignment="0" applyProtection="0">
      <alignment vertical="center"/>
    </xf>
    <xf numFmtId="0" fontId="3" fillId="0" borderId="0">
      <alignment vertical="center"/>
    </xf>
    <xf numFmtId="0" fontId="285" fillId="0" borderId="0" applyNumberFormat="0" applyFill="0" applyBorder="0" applyAlignment="0" applyProtection="0">
      <alignment vertical="top"/>
      <protection locked="0"/>
    </xf>
    <xf numFmtId="0" fontId="2" fillId="0" borderId="0">
      <alignment vertical="center"/>
    </xf>
    <xf numFmtId="0" fontId="289" fillId="0" borderId="0"/>
    <xf numFmtId="0" fontId="289" fillId="0" borderId="0"/>
    <xf numFmtId="0" fontId="36" fillId="0" borderId="0">
      <alignment vertical="center"/>
    </xf>
    <xf numFmtId="0" fontId="299" fillId="0" borderId="0" applyNumberFormat="0" applyFill="0" applyBorder="0" applyAlignment="0" applyProtection="0"/>
    <xf numFmtId="0" fontId="238" fillId="0" borderId="0" applyNumberFormat="0" applyFill="0" applyBorder="0" applyAlignment="0" applyProtection="0">
      <alignment vertical="center"/>
    </xf>
    <xf numFmtId="0" fontId="300" fillId="26" borderId="0" applyNumberFormat="0" applyBorder="0" applyAlignment="0" applyProtection="0">
      <alignment vertical="center"/>
    </xf>
    <xf numFmtId="0" fontId="300" fillId="26" borderId="0" applyNumberFormat="0" applyBorder="0" applyAlignment="0" applyProtection="0">
      <alignment vertical="center"/>
    </xf>
    <xf numFmtId="0" fontId="300" fillId="26" borderId="0" applyNumberFormat="0" applyBorder="0" applyAlignment="0" applyProtection="0">
      <alignment vertical="center"/>
    </xf>
    <xf numFmtId="0" fontId="300" fillId="26" borderId="0" applyNumberFormat="0" applyBorder="0" applyAlignment="0" applyProtection="0">
      <alignment vertical="center"/>
    </xf>
    <xf numFmtId="0" fontId="301" fillId="27" borderId="0" applyNumberFormat="0" applyBorder="0" applyAlignment="0" applyProtection="0">
      <alignment vertical="center"/>
    </xf>
    <xf numFmtId="0" fontId="301" fillId="27" borderId="0" applyNumberFormat="0" applyBorder="0" applyAlignment="0" applyProtection="0">
      <alignment vertical="center"/>
    </xf>
    <xf numFmtId="0" fontId="301" fillId="27" borderId="0" applyNumberFormat="0" applyBorder="0" applyAlignment="0" applyProtection="0">
      <alignment vertical="center"/>
    </xf>
    <xf numFmtId="0" fontId="301" fillId="27" borderId="0" applyNumberFormat="0" applyBorder="0" applyAlignment="0" applyProtection="0">
      <alignment vertical="center"/>
    </xf>
  </cellStyleXfs>
  <cellXfs count="3915">
    <xf numFmtId="0" fontId="0" fillId="0" borderId="0" xfId="0">
      <alignment vertical="center"/>
    </xf>
    <xf numFmtId="0" fontId="21" fillId="5" borderId="1" xfId="0" applyFont="1" applyFill="1" applyBorder="1" applyAlignment="1" applyProtection="1">
      <alignment horizontal="center" vertical="center" wrapText="1"/>
    </xf>
    <xf numFmtId="0" fontId="0" fillId="0" borderId="0" xfId="0" applyAlignment="1">
      <alignment vertical="center" wrapText="1"/>
    </xf>
    <xf numFmtId="0" fontId="152" fillId="0" borderId="2" xfId="0" applyFont="1" applyBorder="1" applyAlignment="1">
      <alignment vertical="center" wrapText="1"/>
    </xf>
    <xf numFmtId="0" fontId="152" fillId="0" borderId="2" xfId="0" applyFont="1" applyBorder="1" applyAlignment="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Alignment="1" applyProtection="1">
      <alignment horizontal="center" vertical="center" wrapText="1"/>
    </xf>
    <xf numFmtId="0" fontId="78" fillId="5" borderId="0" xfId="0" applyNumberFormat="1" applyFont="1" applyFill="1" applyBorder="1" applyAlignment="1" applyProtection="1">
      <alignment horizontal="center" vertical="center" wrapText="1"/>
    </xf>
    <xf numFmtId="0" fontId="153" fillId="0" borderId="2" xfId="0" applyFont="1" applyBorder="1" applyAlignment="1" applyProtection="1">
      <alignment horizontal="center" vertical="center"/>
      <protection locked="0"/>
    </xf>
    <xf numFmtId="0" fontId="153" fillId="5" borderId="0" xfId="0" applyFont="1" applyFill="1" applyAlignment="1" applyProtection="1">
      <alignment horizontal="center" vertical="center"/>
    </xf>
    <xf numFmtId="0" fontId="153" fillId="0" borderId="0" xfId="0" applyFont="1" applyAlignment="1" applyProtection="1">
      <alignment horizontal="center" vertical="center"/>
      <protection locked="0"/>
    </xf>
    <xf numFmtId="0" fontId="153" fillId="5" borderId="0" xfId="0" applyFont="1" applyFill="1" applyProtection="1">
      <alignment vertical="center"/>
    </xf>
    <xf numFmtId="0" fontId="80" fillId="0" borderId="2" xfId="0" applyFont="1" applyBorder="1" applyAlignment="1" applyProtection="1">
      <alignment horizontal="center" vertical="center" wrapText="1"/>
      <protection locked="0"/>
    </xf>
    <xf numFmtId="0" fontId="154" fillId="5" borderId="0" xfId="0" applyFont="1" applyFill="1" applyAlignment="1" applyProtection="1">
      <alignment horizontal="left" vertical="center"/>
    </xf>
    <xf numFmtId="0" fontId="75" fillId="5" borderId="0" xfId="0" applyFont="1" applyFill="1" applyAlignment="1" applyProtection="1">
      <alignment horizontal="center" vertical="center" wrapText="1"/>
    </xf>
    <xf numFmtId="0" fontId="75" fillId="0" borderId="0" xfId="0" applyFont="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0" borderId="0" xfId="0" applyFont="1" applyAlignment="1" applyProtection="1">
      <alignment horizontal="center" vertical="center" wrapText="1"/>
      <protection locked="0"/>
    </xf>
    <xf numFmtId="0" fontId="155" fillId="5" borderId="0" xfId="0" applyFont="1" applyFill="1" applyAlignment="1" applyProtection="1">
      <alignment horizontal="left" vertical="center"/>
    </xf>
    <xf numFmtId="0" fontId="80" fillId="5" borderId="4" xfId="0" applyFont="1" applyFill="1" applyBorder="1" applyAlignment="1" applyProtection="1">
      <alignment horizontal="center" vertical="center" wrapText="1"/>
    </xf>
    <xf numFmtId="180" fontId="80" fillId="0" borderId="2" xfId="0" applyNumberFormat="1" applyFont="1" applyBorder="1" applyAlignment="1" applyProtection="1">
      <alignment horizontal="center" vertical="center" wrapText="1"/>
      <protection locked="0"/>
    </xf>
    <xf numFmtId="180" fontId="156" fillId="5" borderId="2"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3" borderId="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wrapText="1"/>
      <protection locked="0"/>
    </xf>
    <xf numFmtId="0" fontId="80" fillId="5" borderId="5" xfId="0" applyFont="1" applyFill="1" applyBorder="1" applyAlignment="1" applyProtection="1">
      <alignment horizontal="left" vertical="center"/>
    </xf>
    <xf numFmtId="177" fontId="80" fillId="5" borderId="2" xfId="0" applyNumberFormat="1"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177" fontId="80" fillId="5" borderId="6" xfId="0" applyNumberFormat="1" applyFont="1" applyFill="1" applyBorder="1" applyAlignment="1" applyProtection="1">
      <alignment horizontal="center" vertical="center" wrapText="1"/>
    </xf>
    <xf numFmtId="177" fontId="80" fillId="5" borderId="7" xfId="0" applyNumberFormat="1" applyFont="1" applyFill="1" applyBorder="1" applyAlignment="1" applyProtection="1">
      <alignment horizontal="center" vertical="center" wrapText="1"/>
    </xf>
    <xf numFmtId="177" fontId="80" fillId="5" borderId="8" xfId="0" applyNumberFormat="1" applyFont="1" applyFill="1" applyBorder="1" applyAlignment="1" applyProtection="1">
      <alignment horizontal="center" vertical="center" wrapText="1"/>
    </xf>
    <xf numFmtId="177" fontId="80" fillId="5" borderId="9" xfId="0" applyNumberFormat="1" applyFont="1" applyFill="1" applyBorder="1" applyAlignment="1" applyProtection="1">
      <alignment horizontal="center" vertical="center" wrapText="1"/>
    </xf>
    <xf numFmtId="177" fontId="80" fillId="5" borderId="10" xfId="0" applyNumberFormat="1" applyFont="1" applyFill="1" applyBorder="1" applyAlignment="1" applyProtection="1">
      <alignment horizontal="center" vertical="center" wrapText="1"/>
    </xf>
    <xf numFmtId="177" fontId="80" fillId="5" borderId="5" xfId="0" applyNumberFormat="1" applyFont="1" applyFill="1" applyBorder="1" applyAlignment="1" applyProtection="1">
      <alignment horizontal="center" vertical="center" wrapText="1"/>
    </xf>
    <xf numFmtId="177" fontId="80" fillId="5" borderId="11" xfId="0" applyNumberFormat="1" applyFont="1" applyFill="1" applyBorder="1" applyAlignment="1" applyProtection="1">
      <alignment horizontal="center" vertical="center" wrapText="1"/>
    </xf>
    <xf numFmtId="177" fontId="80" fillId="5" borderId="12" xfId="0" applyNumberFormat="1" applyFont="1" applyFill="1" applyBorder="1" applyAlignment="1" applyProtection="1">
      <alignment horizontal="center" vertical="center" wrapText="1"/>
    </xf>
    <xf numFmtId="177" fontId="80" fillId="0" borderId="0" xfId="0" applyNumberFormat="1" applyFont="1" applyAlignment="1" applyProtection="1">
      <alignment horizontal="center" vertical="center" wrapText="1"/>
      <protection locked="0"/>
    </xf>
    <xf numFmtId="0" fontId="80" fillId="5" borderId="1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xf>
    <xf numFmtId="0" fontId="80" fillId="5" borderId="14"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xf>
    <xf numFmtId="0" fontId="80" fillId="5" borderId="15"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180" fontId="80" fillId="5" borderId="5" xfId="0" applyNumberFormat="1" applyFont="1" applyFill="1" applyBorder="1" applyAlignment="1" applyProtection="1">
      <alignment horizontal="left" vertical="center"/>
    </xf>
    <xf numFmtId="0" fontId="83" fillId="5" borderId="8" xfId="0" applyFont="1" applyFill="1" applyBorder="1" applyAlignment="1" applyProtection="1">
      <alignment horizontal="center" vertical="center"/>
    </xf>
    <xf numFmtId="180" fontId="80" fillId="5" borderId="8" xfId="0" applyNumberFormat="1" applyFont="1" applyFill="1" applyBorder="1" applyAlignment="1" applyProtection="1">
      <alignment horizontal="center" vertical="center"/>
    </xf>
    <xf numFmtId="180" fontId="80" fillId="5" borderId="9" xfId="0" applyNumberFormat="1" applyFont="1" applyFill="1" applyBorder="1" applyAlignment="1" applyProtection="1">
      <alignment horizontal="center" vertical="center"/>
    </xf>
    <xf numFmtId="0" fontId="80" fillId="5" borderId="8" xfId="0" applyFont="1" applyFill="1" applyBorder="1" applyAlignment="1" applyProtection="1">
      <alignment horizontal="left" vertical="center"/>
    </xf>
    <xf numFmtId="0" fontId="83" fillId="5" borderId="14"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16" xfId="0" applyFont="1" applyFill="1" applyBorder="1" applyAlignment="1" applyProtection="1">
      <alignment horizontal="center" vertical="center"/>
    </xf>
    <xf numFmtId="0" fontId="80" fillId="0" borderId="0" xfId="0" applyFont="1" applyAlignment="1" applyProtection="1">
      <alignment horizontal="center" vertical="center"/>
      <protection locked="0"/>
    </xf>
    <xf numFmtId="180" fontId="80" fillId="5" borderId="0" xfId="0" applyNumberFormat="1" applyFont="1" applyFill="1" applyBorder="1" applyAlignment="1" applyProtection="1">
      <alignment horizontal="center" vertical="center"/>
    </xf>
    <xf numFmtId="0" fontId="80" fillId="2" borderId="17" xfId="0" applyFont="1" applyFill="1" applyBorder="1" applyAlignment="1" applyProtection="1">
      <alignment horizontal="left" vertical="center"/>
      <protection locked="0"/>
    </xf>
    <xf numFmtId="0" fontId="83" fillId="5" borderId="8"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80" fillId="5" borderId="18" xfId="0" applyFont="1" applyFill="1" applyBorder="1" applyAlignment="1" applyProtection="1">
      <alignment horizontal="center" vertical="center"/>
    </xf>
    <xf numFmtId="180" fontId="80" fillId="5" borderId="17" xfId="0" applyNumberFormat="1" applyFont="1" applyFill="1" applyBorder="1" applyAlignment="1" applyProtection="1">
      <alignment horizontal="center" vertical="center"/>
    </xf>
    <xf numFmtId="0" fontId="83" fillId="5" borderId="19" xfId="0" applyFont="1" applyFill="1" applyBorder="1" applyAlignment="1" applyProtection="1">
      <alignment horizontal="center" vertical="center"/>
    </xf>
    <xf numFmtId="180" fontId="80" fillId="5" borderId="20" xfId="0" applyNumberFormat="1" applyFont="1" applyFill="1" applyBorder="1" applyAlignment="1" applyProtection="1">
      <alignment horizontal="center" vertical="center"/>
    </xf>
    <xf numFmtId="0" fontId="80" fillId="2" borderId="5" xfId="0" applyFont="1" applyFill="1" applyBorder="1" applyAlignment="1" applyProtection="1">
      <alignment horizontal="left" vertical="center"/>
      <protection locked="0"/>
    </xf>
    <xf numFmtId="180" fontId="80" fillId="5" borderId="18" xfId="0" applyNumberFormat="1"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2" borderId="8" xfId="0" applyFont="1" applyFill="1" applyBorder="1" applyAlignment="1" applyProtection="1">
      <alignment horizontal="left" vertical="center"/>
      <protection locked="0"/>
    </xf>
    <xf numFmtId="0" fontId="83" fillId="5" borderId="9" xfId="0" applyFont="1" applyFill="1" applyBorder="1" applyAlignment="1" applyProtection="1">
      <alignment horizontal="left" vertical="center"/>
    </xf>
    <xf numFmtId="0" fontId="80" fillId="5" borderId="17" xfId="0"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180" fontId="80" fillId="5" borderId="20" xfId="0" applyNumberFormat="1" applyFont="1" applyFill="1" applyBorder="1" applyAlignment="1" applyProtection="1">
      <alignment horizontal="center" vertical="center" wrapText="1"/>
    </xf>
    <xf numFmtId="180" fontId="80" fillId="5" borderId="21" xfId="0" applyNumberFormat="1" applyFont="1" applyFill="1" applyBorder="1" applyAlignment="1" applyProtection="1">
      <alignment horizontal="center" vertical="center" wrapText="1"/>
    </xf>
    <xf numFmtId="180" fontId="80" fillId="5" borderId="17" xfId="0" applyNumberFormat="1"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180" fontId="80" fillId="5" borderId="2" xfId="0" applyNumberFormat="1" applyFont="1" applyFill="1" applyBorder="1" applyAlignment="1" applyProtection="1">
      <alignment horizontal="center" vertical="center"/>
    </xf>
    <xf numFmtId="0" fontId="80" fillId="2" borderId="21" xfId="0" applyFont="1" applyFill="1" applyBorder="1" applyAlignment="1" applyProtection="1">
      <alignment horizontal="center" vertical="center" wrapText="1"/>
      <protection locked="0"/>
    </xf>
    <xf numFmtId="177" fontId="80" fillId="0" borderId="21" xfId="0" applyNumberFormat="1" applyFont="1" applyFill="1" applyBorder="1" applyAlignment="1" applyProtection="1">
      <alignment horizontal="center" vertical="center" wrapText="1"/>
      <protection locked="0"/>
    </xf>
    <xf numFmtId="177" fontId="80" fillId="5" borderId="21" xfId="0" applyNumberFormat="1" applyFont="1" applyFill="1" applyBorder="1" applyAlignment="1" applyProtection="1">
      <alignment horizontal="center" vertical="center" wrapText="1"/>
    </xf>
    <xf numFmtId="177" fontId="80" fillId="0" borderId="2" xfId="0" applyNumberFormat="1"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0" fontId="75" fillId="6" borderId="21" xfId="0" applyFont="1" applyFill="1" applyBorder="1" applyAlignment="1" applyProtection="1">
      <alignment horizontal="center" vertical="center" wrapText="1"/>
      <protection locked="0"/>
    </xf>
    <xf numFmtId="177" fontId="75" fillId="5" borderId="2" xfId="0" applyNumberFormat="1" applyFont="1" applyFill="1" applyBorder="1" applyAlignment="1" applyProtection="1">
      <alignment horizontal="center" vertical="center" wrapText="1"/>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177" fontId="75"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5" borderId="9" xfId="0"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177" fontId="75" fillId="0" borderId="0" xfId="0" applyNumberFormat="1" applyFont="1" applyFill="1" applyBorder="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84" fillId="0" borderId="0" xfId="0" applyFont="1" applyAlignment="1" applyProtection="1">
      <alignment horizontal="center" vertical="center"/>
      <protection locked="0"/>
    </xf>
    <xf numFmtId="0" fontId="154" fillId="5" borderId="0" xfId="0" applyFont="1" applyFill="1" applyProtection="1">
      <alignment vertical="center"/>
    </xf>
    <xf numFmtId="0" fontId="75" fillId="5" borderId="0" xfId="0" applyFont="1" applyFill="1" applyProtection="1">
      <alignment vertical="center"/>
    </xf>
    <xf numFmtId="177" fontId="87" fillId="5" borderId="2" xfId="2" applyNumberFormat="1" applyFont="1" applyFill="1" applyBorder="1" applyAlignment="1" applyProtection="1">
      <alignment horizontal="center" vertical="center"/>
    </xf>
    <xf numFmtId="0" fontId="79" fillId="5" borderId="10" xfId="0" applyFont="1" applyFill="1" applyBorder="1" applyAlignment="1" applyProtection="1">
      <alignment vertical="center"/>
    </xf>
    <xf numFmtId="0" fontId="79" fillId="5" borderId="6" xfId="0" applyFont="1" applyFill="1" applyBorder="1" applyAlignment="1" applyProtection="1">
      <alignment horizontal="center" vertical="center"/>
    </xf>
    <xf numFmtId="177" fontId="87" fillId="5" borderId="7" xfId="2" applyNumberFormat="1" applyFont="1" applyFill="1" applyBorder="1" applyAlignment="1" applyProtection="1">
      <alignment horizontal="center" vertical="center"/>
    </xf>
    <xf numFmtId="0" fontId="75" fillId="5" borderId="22" xfId="0" applyFont="1" applyFill="1" applyBorder="1" applyAlignment="1" applyProtection="1">
      <alignment vertical="center"/>
    </xf>
    <xf numFmtId="0" fontId="75" fillId="5" borderId="2" xfId="0" applyFont="1" applyFill="1" applyBorder="1" applyAlignment="1" applyProtection="1">
      <alignment vertical="center"/>
    </xf>
    <xf numFmtId="177" fontId="75" fillId="5" borderId="12" xfId="0" applyNumberFormat="1" applyFont="1" applyFill="1" applyBorder="1" applyAlignment="1" applyProtection="1">
      <alignment vertical="center"/>
    </xf>
    <xf numFmtId="0" fontId="75" fillId="5" borderId="23" xfId="0" applyFont="1" applyFill="1" applyBorder="1" applyAlignment="1" applyProtection="1">
      <alignment vertical="center"/>
    </xf>
    <xf numFmtId="177" fontId="79" fillId="5" borderId="7"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12" xfId="0" applyFont="1" applyFill="1" applyBorder="1" applyAlignment="1" applyProtection="1">
      <alignment vertical="center"/>
    </xf>
    <xf numFmtId="0" fontId="75" fillId="5" borderId="24" xfId="0" applyFont="1" applyFill="1" applyBorder="1" applyAlignment="1" applyProtection="1">
      <alignment vertical="center"/>
    </xf>
    <xf numFmtId="0" fontId="75" fillId="5" borderId="3" xfId="0" applyFont="1" applyFill="1" applyBorder="1" applyAlignment="1" applyProtection="1">
      <alignment vertical="center"/>
    </xf>
    <xf numFmtId="0" fontId="75" fillId="0" borderId="12" xfId="0" applyFont="1" applyFill="1" applyBorder="1" applyAlignment="1" applyProtection="1">
      <alignment vertical="center"/>
      <protection locked="0"/>
    </xf>
    <xf numFmtId="0" fontId="75" fillId="5" borderId="25" xfId="0" applyFont="1" applyFill="1" applyBorder="1" applyAlignment="1" applyProtection="1">
      <alignment vertical="center"/>
    </xf>
    <xf numFmtId="0" fontId="75" fillId="5" borderId="26" xfId="0" applyFont="1" applyFill="1" applyBorder="1" applyAlignment="1" applyProtection="1">
      <alignment vertical="center"/>
    </xf>
    <xf numFmtId="0" fontId="75" fillId="5" borderId="27" xfId="0" applyFont="1" applyFill="1" applyBorder="1" applyProtection="1">
      <alignment vertical="center"/>
    </xf>
    <xf numFmtId="0" fontId="75" fillId="5" borderId="28" xfId="0" applyFont="1" applyFill="1" applyBorder="1" applyAlignment="1" applyProtection="1">
      <alignment vertical="center"/>
    </xf>
    <xf numFmtId="177" fontId="87" fillId="5" borderId="29" xfId="2" applyNumberFormat="1" applyFont="1" applyFill="1" applyBorder="1" applyAlignment="1" applyProtection="1">
      <alignment horizontal="center" vertical="center"/>
    </xf>
    <xf numFmtId="177" fontId="87" fillId="5" borderId="30" xfId="2" applyNumberFormat="1" applyFont="1" applyFill="1" applyBorder="1" applyAlignment="1" applyProtection="1">
      <alignment horizontal="center" vertical="center"/>
    </xf>
    <xf numFmtId="0" fontId="79" fillId="5" borderId="5"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21" xfId="0" applyFont="1" applyFill="1" applyBorder="1" applyAlignment="1" applyProtection="1">
      <alignment vertical="center"/>
    </xf>
    <xf numFmtId="0" fontId="75" fillId="5" borderId="0" xfId="0"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180" fontId="75" fillId="5" borderId="2" xfId="0" applyNumberFormat="1" applyFont="1" applyFill="1" applyBorder="1" applyAlignment="1" applyProtection="1">
      <alignment horizontal="center" vertical="center"/>
    </xf>
    <xf numFmtId="0" fontId="75" fillId="5" borderId="31" xfId="0" applyFont="1" applyFill="1" applyBorder="1" applyProtection="1">
      <alignment vertical="center"/>
    </xf>
    <xf numFmtId="177" fontId="75" fillId="5" borderId="2" xfId="0" applyNumberFormat="1" applyFont="1" applyFill="1" applyBorder="1" applyAlignment="1" applyProtection="1">
      <alignment vertical="center"/>
    </xf>
    <xf numFmtId="0" fontId="80" fillId="3" borderId="9" xfId="0" applyFont="1" applyFill="1" applyBorder="1" applyProtection="1">
      <alignment vertical="center"/>
      <protection locked="0"/>
    </xf>
    <xf numFmtId="0" fontId="75" fillId="5" borderId="9" xfId="0" applyFont="1" applyFill="1" applyBorder="1" applyAlignment="1" applyProtection="1">
      <alignment vertical="center"/>
    </xf>
    <xf numFmtId="0" fontId="80" fillId="0" borderId="2" xfId="0" applyFont="1" applyBorder="1" applyAlignment="1" applyProtection="1">
      <alignment horizontal="center" vertical="center"/>
      <protection locked="0"/>
    </xf>
    <xf numFmtId="0" fontId="75" fillId="5" borderId="31" xfId="0" applyFont="1" applyFill="1" applyBorder="1" applyAlignment="1" applyProtection="1">
      <alignment vertical="center"/>
    </xf>
    <xf numFmtId="178" fontId="75" fillId="0" borderId="2" xfId="2" applyNumberFormat="1" applyFont="1" applyFill="1" applyBorder="1" applyAlignment="1" applyProtection="1">
      <alignment vertical="center"/>
      <protection locked="0"/>
    </xf>
    <xf numFmtId="0" fontId="75" fillId="3" borderId="32" xfId="0" applyFont="1" applyFill="1" applyBorder="1" applyProtection="1">
      <alignment vertical="center"/>
      <protection locked="0"/>
    </xf>
    <xf numFmtId="0" fontId="75" fillId="0" borderId="2" xfId="0" applyFont="1" applyBorder="1" applyAlignment="1" applyProtection="1">
      <alignment horizontal="center" vertical="center"/>
      <protection locked="0"/>
    </xf>
    <xf numFmtId="178" fontId="75" fillId="0" borderId="9" xfId="2" applyNumberFormat="1" applyFont="1" applyFill="1" applyBorder="1" applyAlignment="1" applyProtection="1">
      <alignment vertical="center"/>
      <protection locked="0"/>
    </xf>
    <xf numFmtId="177" fontId="75" fillId="5" borderId="2" xfId="0" applyNumberFormat="1" applyFont="1" applyFill="1" applyBorder="1" applyAlignment="1" applyProtection="1">
      <alignment horizontal="center" vertical="center"/>
    </xf>
    <xf numFmtId="0" fontId="75" fillId="5" borderId="9" xfId="0" applyFont="1" applyFill="1" applyBorder="1" applyProtection="1">
      <alignment vertical="center"/>
    </xf>
    <xf numFmtId="0" fontId="75" fillId="5" borderId="16" xfId="0" applyFont="1" applyFill="1" applyBorder="1" applyProtection="1">
      <alignment vertical="center"/>
    </xf>
    <xf numFmtId="0" fontId="75" fillId="5" borderId="25" xfId="0" applyFont="1" applyFill="1" applyBorder="1" applyProtection="1">
      <alignment vertical="center"/>
    </xf>
    <xf numFmtId="0" fontId="75" fillId="5" borderId="32" xfId="0" applyFont="1" applyFill="1" applyBorder="1" applyAlignment="1" applyProtection="1">
      <alignment horizontal="left" vertical="center"/>
    </xf>
    <xf numFmtId="0" fontId="154" fillId="5" borderId="0" xfId="0" applyFont="1" applyFill="1" applyAlignment="1" applyProtection="1">
      <alignment vertical="center" wrapText="1"/>
    </xf>
    <xf numFmtId="0" fontId="79" fillId="5" borderId="33" xfId="0" applyFont="1" applyFill="1" applyBorder="1" applyAlignment="1" applyProtection="1">
      <alignment vertical="center" wrapText="1"/>
    </xf>
    <xf numFmtId="0" fontId="79" fillId="5" borderId="35" xfId="0" applyFont="1" applyFill="1" applyBorder="1" applyAlignment="1" applyProtection="1">
      <alignment vertical="center" wrapText="1"/>
    </xf>
    <xf numFmtId="0" fontId="75" fillId="5" borderId="4" xfId="0" applyFont="1" applyFill="1" applyBorder="1" applyAlignment="1" applyProtection="1">
      <alignment horizontal="center" vertical="center"/>
    </xf>
    <xf numFmtId="0" fontId="75" fillId="5" borderId="36" xfId="0" applyFont="1" applyFill="1" applyBorder="1" applyAlignment="1" applyProtection="1">
      <alignment vertical="center"/>
    </xf>
    <xf numFmtId="0" fontId="75" fillId="5" borderId="37" xfId="0" applyFont="1" applyFill="1" applyBorder="1" applyAlignment="1" applyProtection="1">
      <alignment vertical="center"/>
    </xf>
    <xf numFmtId="0" fontId="75" fillId="5" borderId="38" xfId="0" applyFont="1" applyFill="1" applyBorder="1" applyAlignment="1" applyProtection="1">
      <alignment vertical="center"/>
    </xf>
    <xf numFmtId="0" fontId="75" fillId="5" borderId="39" xfId="0" applyFont="1" applyFill="1" applyBorder="1" applyAlignment="1" applyProtection="1">
      <alignment vertical="center"/>
    </xf>
    <xf numFmtId="0" fontId="75" fillId="5" borderId="6" xfId="2" applyFont="1" applyFill="1" applyBorder="1" applyAlignment="1" applyProtection="1">
      <alignment vertical="center" wrapText="1"/>
    </xf>
    <xf numFmtId="0" fontId="75" fillId="5" borderId="29" xfId="2" applyFont="1" applyFill="1" applyBorder="1" applyAlignment="1" applyProtection="1">
      <alignment vertical="center" wrapText="1"/>
    </xf>
    <xf numFmtId="181" fontId="88" fillId="5" borderId="1" xfId="2" applyNumberFormat="1"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180" fontId="75" fillId="5" borderId="6" xfId="0" applyNumberFormat="1" applyFont="1" applyFill="1" applyBorder="1" applyAlignment="1" applyProtection="1">
      <alignment horizontal="center" vertical="center" wrapText="1"/>
    </xf>
    <xf numFmtId="0" fontId="153" fillId="5" borderId="7" xfId="0" applyFont="1" applyFill="1" applyBorder="1" applyAlignment="1" applyProtection="1">
      <alignment horizontal="center" vertical="center" wrapText="1"/>
    </xf>
    <xf numFmtId="178" fontId="75" fillId="5" borderId="1" xfId="2" applyNumberFormat="1" applyFont="1" applyFill="1" applyBorder="1" applyAlignment="1" applyProtection="1">
      <alignment horizontal="center" vertical="center" wrapText="1"/>
    </xf>
    <xf numFmtId="0" fontId="75" fillId="5" borderId="6" xfId="2" applyFont="1" applyFill="1" applyBorder="1" applyAlignment="1" applyProtection="1">
      <alignment horizontal="center" vertical="center" wrapText="1"/>
    </xf>
    <xf numFmtId="180" fontId="75" fillId="5" borderId="6" xfId="2" applyNumberFormat="1" applyFont="1" applyFill="1" applyBorder="1" applyAlignment="1" applyProtection="1">
      <alignment horizontal="center" vertical="center" wrapText="1"/>
    </xf>
    <xf numFmtId="0" fontId="75" fillId="5" borderId="29" xfId="2" applyFont="1" applyFill="1" applyBorder="1" applyAlignment="1" applyProtection="1">
      <alignment horizontal="center" vertical="center" wrapText="1"/>
    </xf>
    <xf numFmtId="0" fontId="75" fillId="5" borderId="40" xfId="0" applyFont="1" applyFill="1" applyBorder="1" applyAlignment="1" applyProtection="1">
      <alignment horizontal="center" vertical="center" wrapText="1"/>
    </xf>
    <xf numFmtId="0" fontId="75" fillId="5" borderId="1" xfId="2" applyFont="1" applyFill="1" applyBorder="1" applyAlignment="1" applyProtection="1">
      <alignment horizontal="center" vertical="center" wrapText="1"/>
    </xf>
    <xf numFmtId="0" fontId="75" fillId="5" borderId="41" xfId="2"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0" fontId="75" fillId="5" borderId="7" xfId="0" applyFont="1" applyFill="1" applyBorder="1" applyAlignment="1" applyProtection="1">
      <alignment horizontal="center" vertical="center" wrapText="1"/>
    </xf>
    <xf numFmtId="0" fontId="75" fillId="5" borderId="42" xfId="0" applyFont="1" applyFill="1" applyBorder="1" applyAlignment="1" applyProtection="1">
      <alignment horizontal="center" vertical="center" wrapText="1"/>
    </xf>
    <xf numFmtId="0" fontId="75" fillId="5" borderId="29" xfId="0" applyFont="1" applyFill="1" applyBorder="1" applyAlignment="1" applyProtection="1">
      <alignment horizontal="center" vertical="center" wrapText="1"/>
    </xf>
    <xf numFmtId="178" fontId="75" fillId="2" borderId="5" xfId="2" applyNumberFormat="1" applyFont="1" applyFill="1" applyBorder="1" applyAlignment="1" applyProtection="1">
      <alignment vertical="center"/>
      <protection locked="0"/>
    </xf>
    <xf numFmtId="180" fontId="88" fillId="5" borderId="2" xfId="2" applyNumberFormat="1" applyFont="1" applyFill="1" applyBorder="1" applyAlignment="1" applyProtection="1">
      <alignment horizontal="center" vertical="center"/>
    </xf>
    <xf numFmtId="181" fontId="88" fillId="5" borderId="2" xfId="2" applyNumberFormat="1" applyFont="1" applyFill="1" applyBorder="1" applyAlignment="1" applyProtection="1">
      <alignment horizontal="center" vertical="center"/>
    </xf>
    <xf numFmtId="182" fontId="75" fillId="0" borderId="2" xfId="0" applyNumberFormat="1" applyFont="1" applyFill="1" applyBorder="1" applyAlignment="1" applyProtection="1">
      <alignment horizontal="center" vertical="center"/>
      <protection locked="0"/>
    </xf>
    <xf numFmtId="0" fontId="75" fillId="5" borderId="2" xfId="2"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center" vertical="center"/>
    </xf>
    <xf numFmtId="180" fontId="75" fillId="5" borderId="11" xfId="2" applyNumberFormat="1" applyFont="1" applyFill="1" applyBorder="1" applyAlignment="1" applyProtection="1">
      <alignment horizontal="center" vertical="center"/>
    </xf>
    <xf numFmtId="0" fontId="75" fillId="0" borderId="11" xfId="0" applyFont="1" applyBorder="1" applyAlignment="1" applyProtection="1">
      <alignment vertical="center"/>
      <protection locked="0"/>
    </xf>
    <xf numFmtId="182" fontId="75" fillId="0" borderId="2" xfId="0" applyNumberFormat="1" applyFont="1" applyBorder="1" applyAlignment="1" applyProtection="1">
      <alignment vertical="center"/>
      <protection locked="0"/>
    </xf>
    <xf numFmtId="182" fontId="75" fillId="0" borderId="12" xfId="0" applyNumberFormat="1" applyFont="1" applyBorder="1" applyAlignment="1" applyProtection="1">
      <alignment vertical="center"/>
      <protection locked="0"/>
    </xf>
    <xf numFmtId="0" fontId="75" fillId="0" borderId="9" xfId="0" applyFont="1" applyBorder="1" applyAlignment="1" applyProtection="1">
      <alignment vertical="center"/>
      <protection locked="0"/>
    </xf>
    <xf numFmtId="182" fontId="75" fillId="0" borderId="5" xfId="0" applyNumberFormat="1" applyFont="1" applyBorder="1" applyAlignment="1" applyProtection="1">
      <alignment vertical="center"/>
      <protection locked="0"/>
    </xf>
    <xf numFmtId="0" fontId="75" fillId="0" borderId="11"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3" fontId="75" fillId="0" borderId="2" xfId="0" applyNumberFormat="1" applyFont="1" applyBorder="1" applyAlignment="1" applyProtection="1">
      <alignment horizontal="center" vertical="center"/>
      <protection locked="0"/>
    </xf>
    <xf numFmtId="0" fontId="80" fillId="6" borderId="9" xfId="0"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0" fontId="75" fillId="0" borderId="9" xfId="0"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3" fontId="75" fillId="0" borderId="2" xfId="0" applyNumberFormat="1" applyFont="1" applyFill="1" applyBorder="1" applyAlignment="1" applyProtection="1">
      <alignment horizontal="center" vertical="center"/>
      <protection locked="0"/>
    </xf>
    <xf numFmtId="0" fontId="79" fillId="5" borderId="43" xfId="2" applyFont="1" applyFill="1" applyBorder="1" applyAlignment="1" applyProtection="1">
      <alignment vertical="center" wrapText="1"/>
    </xf>
    <xf numFmtId="0" fontId="79" fillId="5" borderId="44" xfId="2" applyFont="1" applyFill="1" applyBorder="1" applyAlignment="1" applyProtection="1">
      <alignment vertical="center"/>
    </xf>
    <xf numFmtId="0" fontId="79" fillId="5" borderId="45" xfId="2" applyFont="1" applyFill="1" applyBorder="1" applyAlignment="1" applyProtection="1">
      <alignment vertical="center"/>
    </xf>
    <xf numFmtId="0" fontId="79" fillId="5" borderId="43" xfId="2" applyFont="1" applyFill="1" applyBorder="1" applyAlignment="1" applyProtection="1">
      <alignment vertical="center"/>
    </xf>
    <xf numFmtId="0" fontId="79" fillId="5" borderId="44" xfId="2" applyFont="1" applyFill="1" applyBorder="1" applyAlignment="1" applyProtection="1">
      <alignment horizontal="center" vertical="center"/>
    </xf>
    <xf numFmtId="182" fontId="79" fillId="5" borderId="44" xfId="2" applyNumberFormat="1" applyFont="1" applyFill="1" applyBorder="1" applyAlignment="1" applyProtection="1">
      <alignment vertical="center"/>
    </xf>
    <xf numFmtId="0" fontId="79" fillId="5" borderId="46" xfId="2" applyFont="1" applyFill="1" applyBorder="1" applyAlignment="1" applyProtection="1">
      <alignment vertical="center"/>
    </xf>
    <xf numFmtId="177" fontId="75" fillId="5" borderId="43" xfId="0" applyNumberFormat="1" applyFont="1" applyFill="1" applyBorder="1" applyAlignment="1" applyProtection="1">
      <alignment horizontal="center" vertical="center"/>
    </xf>
    <xf numFmtId="0" fontId="75" fillId="5" borderId="44" xfId="2" applyNumberFormat="1" applyFont="1" applyFill="1" applyBorder="1" applyAlignment="1" applyProtection="1">
      <alignment horizontal="center" vertical="center"/>
    </xf>
    <xf numFmtId="10" fontId="75" fillId="5" borderId="44" xfId="2" applyNumberFormat="1" applyFont="1" applyFill="1" applyBorder="1" applyAlignment="1" applyProtection="1">
      <alignment horizontal="center" vertical="center"/>
    </xf>
    <xf numFmtId="9" fontId="75" fillId="5" borderId="45" xfId="0" applyNumberFormat="1" applyFont="1" applyFill="1" applyBorder="1" applyAlignment="1" applyProtection="1">
      <alignment horizontal="center" vertical="center"/>
    </xf>
    <xf numFmtId="180" fontId="75" fillId="5" borderId="47" xfId="2" applyNumberFormat="1" applyFont="1" applyFill="1" applyBorder="1" applyAlignment="1" applyProtection="1">
      <alignment horizontal="center" vertical="center"/>
    </xf>
    <xf numFmtId="0" fontId="75" fillId="5" borderId="48" xfId="2" applyNumberFormat="1" applyFont="1" applyFill="1" applyBorder="1" applyAlignment="1" applyProtection="1">
      <alignment horizontal="center" vertical="center"/>
    </xf>
    <xf numFmtId="0" fontId="75" fillId="5" borderId="43" xfId="0" applyFont="1" applyFill="1" applyBorder="1" applyAlignment="1" applyProtection="1">
      <alignment vertical="center"/>
    </xf>
    <xf numFmtId="0" fontId="75" fillId="5" borderId="44" xfId="0" applyFont="1" applyFill="1" applyBorder="1" applyAlignment="1" applyProtection="1">
      <alignment vertical="center"/>
    </xf>
    <xf numFmtId="0" fontId="75" fillId="5" borderId="46" xfId="0" applyFont="1" applyFill="1" applyBorder="1" applyAlignment="1" applyProtection="1">
      <alignment vertical="center"/>
    </xf>
    <xf numFmtId="0" fontId="75" fillId="5" borderId="47" xfId="0" applyFont="1" applyFill="1" applyBorder="1" applyAlignment="1" applyProtection="1">
      <alignment vertical="center"/>
    </xf>
    <xf numFmtId="0" fontId="75" fillId="5" borderId="45" xfId="0" applyFont="1" applyFill="1" applyBorder="1" applyAlignment="1" applyProtection="1">
      <alignment vertical="center"/>
    </xf>
    <xf numFmtId="0" fontId="89" fillId="0" borderId="0" xfId="0" applyFont="1" applyAlignment="1" applyProtection="1">
      <alignment vertical="center" wrapText="1"/>
      <protection locked="0"/>
    </xf>
    <xf numFmtId="177" fontId="88" fillId="5" borderId="1" xfId="2" applyNumberFormat="1" applyFont="1" applyFill="1" applyBorder="1" applyAlignment="1" applyProtection="1">
      <alignment vertical="center" wrapText="1"/>
    </xf>
    <xf numFmtId="177" fontId="88" fillId="0" borderId="7" xfId="2" applyNumberFormat="1" applyFont="1" applyFill="1" applyBorder="1" applyAlignment="1" applyProtection="1">
      <alignment horizontal="center" vertical="center"/>
      <protection locked="0"/>
    </xf>
    <xf numFmtId="177" fontId="88" fillId="5" borderId="11" xfId="2" applyNumberFormat="1" applyFont="1" applyFill="1" applyBorder="1" applyAlignment="1" applyProtection="1">
      <alignment vertical="center" wrapText="1"/>
    </xf>
    <xf numFmtId="177" fontId="75" fillId="0" borderId="12" xfId="2" applyNumberFormat="1" applyFont="1" applyFill="1" applyBorder="1" applyAlignment="1" applyProtection="1">
      <alignment horizontal="center" vertical="center"/>
      <protection locked="0"/>
    </xf>
    <xf numFmtId="177" fontId="75" fillId="5" borderId="11" xfId="2" applyNumberFormat="1" applyFont="1" applyFill="1" applyBorder="1" applyAlignment="1" applyProtection="1">
      <alignment vertical="center" wrapText="1"/>
    </xf>
    <xf numFmtId="177" fontId="88" fillId="5" borderId="12" xfId="2" applyNumberFormat="1" applyFont="1" applyFill="1" applyBorder="1" applyAlignment="1" applyProtection="1">
      <alignment horizontal="center" vertical="center"/>
    </xf>
    <xf numFmtId="177" fontId="88" fillId="5" borderId="43" xfId="2" applyNumberFormat="1" applyFont="1" applyFill="1" applyBorder="1" applyAlignment="1" applyProtection="1">
      <alignment vertical="center" wrapText="1"/>
    </xf>
    <xf numFmtId="177" fontId="88" fillId="5" borderId="46" xfId="2" applyNumberFormat="1" applyFont="1" applyFill="1" applyBorder="1" applyAlignment="1" applyProtection="1">
      <alignment horizontal="center" vertical="center"/>
    </xf>
    <xf numFmtId="0" fontId="75" fillId="5" borderId="49" xfId="0" applyFont="1" applyFill="1" applyBorder="1" applyAlignment="1" applyProtection="1">
      <alignment horizontal="center" vertical="center"/>
    </xf>
    <xf numFmtId="0" fontId="75" fillId="5" borderId="1" xfId="0" applyFont="1" applyFill="1" applyBorder="1" applyAlignment="1" applyProtection="1">
      <alignment vertical="center" wrapText="1"/>
    </xf>
    <xf numFmtId="0" fontId="90" fillId="0" borderId="7" xfId="2" applyNumberFormat="1" applyFont="1" applyFill="1" applyBorder="1" applyAlignment="1" applyProtection="1">
      <alignment horizontal="center" vertical="center"/>
      <protection locked="0"/>
    </xf>
    <xf numFmtId="0" fontId="75" fillId="5" borderId="11" xfId="0" applyFont="1" applyFill="1" applyBorder="1" applyAlignment="1" applyProtection="1">
      <alignment vertical="center" wrapText="1"/>
    </xf>
    <xf numFmtId="0" fontId="90" fillId="0" borderId="12" xfId="2" applyNumberFormat="1" applyFont="1" applyFill="1" applyBorder="1" applyAlignment="1" applyProtection="1">
      <alignment horizontal="center" vertical="center"/>
      <protection locked="0"/>
    </xf>
    <xf numFmtId="0" fontId="88" fillId="5" borderId="12" xfId="2" applyNumberFormat="1" applyFont="1" applyFill="1" applyBorder="1" applyAlignment="1" applyProtection="1">
      <alignment horizontal="center" vertical="center"/>
    </xf>
    <xf numFmtId="0" fontId="75" fillId="5" borderId="43" xfId="0" applyFont="1" applyFill="1" applyBorder="1" applyAlignment="1" applyProtection="1">
      <alignment vertical="center" wrapText="1"/>
    </xf>
    <xf numFmtId="0" fontId="90" fillId="0" borderId="46" xfId="2" applyNumberFormat="1" applyFont="1" applyFill="1" applyBorder="1" applyAlignment="1" applyProtection="1">
      <alignment horizontal="center" vertical="center"/>
      <protection locked="0"/>
    </xf>
    <xf numFmtId="182" fontId="80" fillId="0" borderId="12" xfId="0" applyNumberFormat="1" applyFont="1" applyFill="1" applyBorder="1" applyAlignment="1" applyProtection="1">
      <alignment horizontal="center" vertical="center"/>
      <protection locked="0"/>
    </xf>
    <xf numFmtId="182" fontId="80" fillId="0" borderId="46" xfId="0" applyNumberFormat="1" applyFont="1" applyFill="1" applyBorder="1" applyAlignment="1" applyProtection="1">
      <alignment horizontal="center" vertical="center"/>
      <protection locked="0"/>
    </xf>
    <xf numFmtId="0" fontId="75" fillId="5" borderId="50" xfId="0" applyFont="1" applyFill="1" applyBorder="1" applyAlignment="1" applyProtection="1">
      <alignment vertical="center" wrapText="1"/>
    </xf>
    <xf numFmtId="182" fontId="80" fillId="0" borderId="51" xfId="0" applyNumberFormat="1" applyFont="1" applyFill="1" applyBorder="1" applyAlignment="1" applyProtection="1">
      <alignment horizontal="center" vertical="center"/>
      <protection locked="0"/>
    </xf>
    <xf numFmtId="0" fontId="75" fillId="5" borderId="22" xfId="0" applyFont="1" applyFill="1" applyBorder="1" applyAlignment="1" applyProtection="1">
      <alignment vertical="center" wrapText="1"/>
    </xf>
    <xf numFmtId="10" fontId="75" fillId="5" borderId="7" xfId="0" applyNumberFormat="1" applyFont="1" applyFill="1" applyBorder="1" applyAlignment="1" applyProtection="1">
      <alignment horizontal="center" vertical="center"/>
    </xf>
    <xf numFmtId="0" fontId="75" fillId="5" borderId="22" xfId="0" applyFont="1" applyFill="1" applyBorder="1" applyAlignment="1" applyProtection="1">
      <alignment horizontal="right" vertical="center" wrapText="1"/>
    </xf>
    <xf numFmtId="10" fontId="75" fillId="0" borderId="25" xfId="0" applyNumberFormat="1" applyFont="1" applyFill="1" applyBorder="1" applyAlignment="1" applyProtection="1">
      <alignment horizontal="center" vertical="center"/>
      <protection locked="0"/>
    </xf>
    <xf numFmtId="183" fontId="75" fillId="5" borderId="25" xfId="0" applyNumberFormat="1" applyFont="1" applyFill="1" applyBorder="1" applyAlignment="1" applyProtection="1">
      <alignment horizontal="center" vertical="center"/>
    </xf>
    <xf numFmtId="10" fontId="75" fillId="2" borderId="25" xfId="0" applyNumberFormat="1" applyFont="1" applyFill="1" applyBorder="1" applyAlignment="1" applyProtection="1">
      <alignment horizontal="center" vertical="center"/>
      <protection locked="0"/>
    </xf>
    <xf numFmtId="0" fontId="75" fillId="5" borderId="43" xfId="0" applyFont="1" applyFill="1" applyBorder="1" applyAlignment="1" applyProtection="1">
      <alignment horizontal="right" vertical="center" wrapText="1"/>
    </xf>
    <xf numFmtId="10" fontId="75" fillId="0" borderId="46" xfId="0" applyNumberFormat="1" applyFont="1" applyFill="1" applyBorder="1" applyAlignment="1" applyProtection="1">
      <alignment horizontal="center" vertical="center"/>
      <protection locked="0"/>
    </xf>
    <xf numFmtId="0" fontId="75" fillId="5" borderId="24" xfId="0" applyFont="1" applyFill="1" applyBorder="1" applyAlignment="1" applyProtection="1">
      <alignment vertical="center" wrapText="1"/>
    </xf>
    <xf numFmtId="10" fontId="75" fillId="0" borderId="52" xfId="0" applyNumberFormat="1" applyFont="1" applyFill="1" applyBorder="1" applyAlignment="1" applyProtection="1">
      <alignment horizontal="center" vertical="center"/>
      <protection locked="0"/>
    </xf>
    <xf numFmtId="0" fontId="75" fillId="5" borderId="53" xfId="0" applyFont="1" applyFill="1" applyBorder="1" applyAlignment="1" applyProtection="1">
      <alignment vertical="center" wrapText="1"/>
    </xf>
    <xf numFmtId="10" fontId="75" fillId="5" borderId="41" xfId="0" applyNumberFormat="1" applyFont="1" applyFill="1" applyBorder="1" applyAlignment="1" applyProtection="1">
      <alignment horizontal="center" vertical="center"/>
    </xf>
    <xf numFmtId="10" fontId="75" fillId="5" borderId="46" xfId="0" applyNumberFormat="1" applyFont="1" applyFill="1" applyBorder="1" applyAlignment="1" applyProtection="1">
      <alignment horizontal="center" vertical="center"/>
    </xf>
    <xf numFmtId="179" fontId="75" fillId="5" borderId="41" xfId="0" applyNumberFormat="1" applyFont="1" applyFill="1" applyBorder="1" applyAlignment="1" applyProtection="1">
      <alignment horizontal="center" vertical="center"/>
    </xf>
    <xf numFmtId="0" fontId="75" fillId="2" borderId="12" xfId="0" applyFont="1" applyFill="1" applyBorder="1" applyAlignment="1" applyProtection="1">
      <alignment horizontal="center" vertical="center"/>
      <protection locked="0"/>
    </xf>
    <xf numFmtId="0" fontId="75" fillId="0" borderId="46" xfId="0" applyFont="1" applyBorder="1" applyAlignment="1" applyProtection="1">
      <alignment vertical="center"/>
      <protection locked="0"/>
    </xf>
    <xf numFmtId="0" fontId="80" fillId="0" borderId="0" xfId="0" applyFont="1" applyAlignment="1" applyProtection="1">
      <alignment vertical="center" wrapText="1"/>
      <protection locked="0"/>
    </xf>
    <xf numFmtId="0" fontId="75" fillId="5" borderId="7"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center" vertical="center" wrapText="1"/>
    </xf>
    <xf numFmtId="0" fontId="80" fillId="0" borderId="0" xfId="0" applyFont="1" applyProtection="1">
      <alignment vertical="center"/>
      <protection locked="0"/>
    </xf>
    <xf numFmtId="0" fontId="75" fillId="5" borderId="10" xfId="0" applyFont="1" applyFill="1" applyBorder="1" applyAlignment="1" applyProtection="1">
      <alignment vertical="center" wrapText="1"/>
    </xf>
    <xf numFmtId="0" fontId="75" fillId="5" borderId="10" xfId="0" applyFont="1" applyFill="1" applyBorder="1" applyAlignment="1" applyProtection="1">
      <alignment horizontal="center" vertical="center" wrapText="1"/>
    </xf>
    <xf numFmtId="0" fontId="153" fillId="2" borderId="10" xfId="0" applyFont="1" applyFill="1" applyBorder="1" applyAlignment="1" applyProtection="1">
      <alignment horizontal="center" vertical="center"/>
      <protection locked="0"/>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 xfId="0" applyFont="1" applyFill="1" applyBorder="1" applyAlignment="1" applyProtection="1">
      <alignment vertical="center" wrapText="1"/>
    </xf>
    <xf numFmtId="0" fontId="79" fillId="5" borderId="5" xfId="0" applyFont="1" applyFill="1" applyBorder="1" applyAlignment="1" applyProtection="1">
      <alignment horizontal="right" vertical="center"/>
    </xf>
    <xf numFmtId="0" fontId="75" fillId="5" borderId="21" xfId="0" applyFont="1" applyFill="1" applyBorder="1" applyAlignment="1" applyProtection="1">
      <alignment horizontal="center" vertical="center"/>
    </xf>
    <xf numFmtId="0" fontId="79" fillId="5" borderId="13" xfId="0" applyFont="1" applyFill="1" applyBorder="1" applyAlignment="1" applyProtection="1">
      <alignment horizontal="right" vertical="center"/>
    </xf>
    <xf numFmtId="180" fontId="75" fillId="5" borderId="10" xfId="0" applyNumberFormat="1" applyFont="1" applyFill="1" applyBorder="1" applyAlignment="1" applyProtection="1">
      <alignment horizontal="center" vertical="center"/>
    </xf>
    <xf numFmtId="0" fontId="79" fillId="5" borderId="26" xfId="0" applyFont="1" applyFill="1" applyBorder="1" applyAlignment="1" applyProtection="1">
      <alignment vertical="center"/>
    </xf>
    <xf numFmtId="0" fontId="75" fillId="5" borderId="6" xfId="0" applyFont="1" applyFill="1" applyBorder="1" applyAlignment="1" applyProtection="1">
      <alignment vertical="center"/>
    </xf>
    <xf numFmtId="0" fontId="153" fillId="5" borderId="6" xfId="0" applyFont="1" applyFill="1" applyBorder="1" applyAlignment="1" applyProtection="1">
      <alignment horizontal="center" vertical="center"/>
    </xf>
    <xf numFmtId="0" fontId="153" fillId="5" borderId="29" xfId="0" applyFont="1" applyFill="1" applyBorder="1" applyAlignment="1" applyProtection="1">
      <alignment horizontal="center" vertical="center"/>
    </xf>
    <xf numFmtId="0" fontId="75" fillId="5" borderId="40" xfId="0" applyFont="1" applyFill="1" applyBorder="1" applyAlignment="1" applyProtection="1">
      <alignment horizontal="right" vertical="center"/>
    </xf>
    <xf numFmtId="0" fontId="80" fillId="5" borderId="39" xfId="0" applyFont="1" applyFill="1" applyBorder="1" applyAlignment="1" applyProtection="1">
      <alignment vertical="center"/>
    </xf>
    <xf numFmtId="0" fontId="79" fillId="5" borderId="31" xfId="0" applyFont="1" applyFill="1" applyBorder="1" applyAlignment="1" applyProtection="1">
      <alignment vertical="center"/>
    </xf>
    <xf numFmtId="0" fontId="75" fillId="5" borderId="2" xfId="0" applyFont="1" applyFill="1" applyBorder="1" applyProtection="1">
      <alignment vertical="center"/>
    </xf>
    <xf numFmtId="0" fontId="153" fillId="5" borderId="2" xfId="0" applyFont="1" applyFill="1" applyBorder="1" applyAlignment="1" applyProtection="1">
      <alignment horizontal="center" vertical="center"/>
    </xf>
    <xf numFmtId="0" fontId="153" fillId="5" borderId="5" xfId="0" applyFont="1" applyFill="1" applyBorder="1" applyAlignment="1" applyProtection="1">
      <alignment horizontal="center" vertical="center"/>
    </xf>
    <xf numFmtId="0" fontId="75" fillId="5" borderId="5" xfId="0" applyFont="1" applyFill="1" applyBorder="1" applyAlignment="1" applyProtection="1">
      <alignment horizontal="right" vertical="center"/>
    </xf>
    <xf numFmtId="0" fontId="80" fillId="5" borderId="16" xfId="0" applyFont="1" applyFill="1" applyBorder="1" applyAlignment="1" applyProtection="1">
      <alignment vertical="center"/>
    </xf>
    <xf numFmtId="0" fontId="75" fillId="5" borderId="10" xfId="0" applyFont="1" applyFill="1" applyBorder="1" applyProtection="1">
      <alignment vertical="center"/>
    </xf>
    <xf numFmtId="0" fontId="75" fillId="5" borderId="10" xfId="0" applyFont="1" applyFill="1" applyBorder="1" applyAlignment="1" applyProtection="1">
      <alignment horizontal="center" vertical="center"/>
    </xf>
    <xf numFmtId="0" fontId="75" fillId="5" borderId="8" xfId="0" applyFont="1" applyFill="1" applyBorder="1" applyAlignment="1" applyProtection="1">
      <alignment horizontal="right" vertical="center"/>
    </xf>
    <xf numFmtId="182" fontId="92" fillId="5" borderId="8" xfId="0" applyNumberFormat="1" applyFont="1" applyFill="1" applyBorder="1" applyAlignment="1" applyProtection="1">
      <alignment horizontal="center" vertical="center"/>
    </xf>
    <xf numFmtId="0" fontId="79" fillId="5" borderId="54" xfId="0" applyFont="1" applyFill="1" applyBorder="1" applyAlignment="1" applyProtection="1">
      <alignment vertical="center"/>
    </xf>
    <xf numFmtId="0" fontId="75" fillId="5" borderId="55" xfId="0" applyFont="1" applyFill="1" applyBorder="1" applyProtection="1">
      <alignment vertical="center"/>
    </xf>
    <xf numFmtId="0" fontId="80" fillId="5" borderId="56" xfId="0" applyFont="1" applyFill="1" applyBorder="1" applyAlignment="1" applyProtection="1">
      <alignment horizontal="right" vertical="center"/>
    </xf>
    <xf numFmtId="0" fontId="80" fillId="5" borderId="48" xfId="0" applyFont="1" applyFill="1" applyBorder="1" applyAlignment="1" applyProtection="1">
      <alignment horizontal="left"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16" xfId="0" applyFont="1" applyFill="1" applyBorder="1" applyAlignment="1" applyProtection="1">
      <alignment horizontal="center" vertical="center"/>
    </xf>
    <xf numFmtId="0" fontId="80" fillId="0" borderId="0" xfId="0" applyFont="1" applyFill="1" applyProtection="1">
      <alignment vertical="center"/>
      <protection locked="0"/>
    </xf>
    <xf numFmtId="0" fontId="157" fillId="0" borderId="11" xfId="0" applyFont="1" applyBorder="1" applyAlignment="1" applyProtection="1">
      <alignment horizontal="center" vertical="center"/>
      <protection locked="0"/>
    </xf>
    <xf numFmtId="0" fontId="157" fillId="0" borderId="2" xfId="0" applyFont="1" applyFill="1" applyBorder="1" applyAlignment="1" applyProtection="1">
      <alignment horizontal="center" vertical="center"/>
      <protection locked="0"/>
    </xf>
    <xf numFmtId="0" fontId="157" fillId="0" borderId="12" xfId="0" applyFont="1" applyFill="1" applyBorder="1" applyAlignment="1" applyProtection="1">
      <alignment horizontal="center" vertical="center"/>
      <protection locked="0"/>
    </xf>
    <xf numFmtId="0" fontId="75" fillId="5" borderId="42" xfId="0" applyFont="1" applyFill="1" applyBorder="1" applyAlignment="1" applyProtection="1">
      <alignment horizontal="left" vertical="center"/>
    </xf>
    <xf numFmtId="0" fontId="79" fillId="0" borderId="7" xfId="0" applyFont="1" applyFill="1" applyBorder="1" applyAlignment="1" applyProtection="1">
      <alignment horizontal="center" vertical="center"/>
      <protection locked="0"/>
    </xf>
    <xf numFmtId="0" fontId="93" fillId="5" borderId="31" xfId="0" applyFont="1" applyFill="1" applyBorder="1" applyAlignment="1" applyProtection="1">
      <alignment vertical="center"/>
    </xf>
    <xf numFmtId="0" fontId="79" fillId="0" borderId="12" xfId="0" applyFont="1" applyFill="1" applyBorder="1" applyAlignment="1" applyProtection="1">
      <alignment horizontal="center" vertical="center"/>
      <protection locked="0"/>
    </xf>
    <xf numFmtId="0" fontId="94" fillId="5" borderId="31" xfId="0" applyFont="1" applyFill="1" applyBorder="1" applyAlignment="1" applyProtection="1">
      <alignment horizontal="right" vertical="center"/>
    </xf>
    <xf numFmtId="0" fontId="75" fillId="5" borderId="47" xfId="0" applyFont="1" applyFill="1" applyBorder="1" applyAlignment="1" applyProtection="1">
      <alignment horizontal="left" vertical="center"/>
    </xf>
    <xf numFmtId="0" fontId="80" fillId="5" borderId="14" xfId="0" applyFont="1" applyFill="1" applyBorder="1" applyAlignment="1" applyProtection="1">
      <alignment horizontal="right" vertical="center"/>
    </xf>
    <xf numFmtId="0" fontId="79" fillId="5" borderId="35" xfId="0" applyFont="1" applyFill="1" applyBorder="1" applyAlignment="1" applyProtection="1">
      <alignment vertical="center"/>
    </xf>
    <xf numFmtId="0" fontId="157" fillId="0" borderId="1" xfId="0" applyFont="1" applyFill="1" applyBorder="1" applyAlignment="1" applyProtection="1">
      <alignment horizontal="center" vertical="center"/>
      <protection locked="0"/>
    </xf>
    <xf numFmtId="0" fontId="157" fillId="0" borderId="6"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protection locked="0"/>
    </xf>
    <xf numFmtId="0" fontId="157" fillId="0" borderId="11" xfId="0" applyFont="1" applyFill="1" applyBorder="1" applyAlignment="1" applyProtection="1">
      <alignment horizontal="center" vertical="center"/>
      <protection locked="0"/>
    </xf>
    <xf numFmtId="0" fontId="157" fillId="0" borderId="43" xfId="0" applyFont="1" applyFill="1" applyBorder="1" applyAlignment="1" applyProtection="1">
      <alignment horizontal="center" vertical="center"/>
      <protection locked="0"/>
    </xf>
    <xf numFmtId="0" fontId="157" fillId="0" borderId="44" xfId="0" applyFont="1" applyFill="1" applyBorder="1" applyAlignment="1" applyProtection="1">
      <alignment horizontal="center" vertical="center"/>
      <protection locked="0"/>
    </xf>
    <xf numFmtId="0" fontId="157" fillId="0" borderId="46" xfId="0" applyFont="1" applyFill="1" applyBorder="1" applyAlignment="1" applyProtection="1">
      <alignment horizontal="center" vertical="center"/>
      <protection locked="0"/>
    </xf>
    <xf numFmtId="0" fontId="80" fillId="5" borderId="0" xfId="0" applyFont="1" applyFill="1" applyProtection="1">
      <alignment vertical="center"/>
    </xf>
    <xf numFmtId="0" fontId="74" fillId="5" borderId="26" xfId="0" applyFont="1" applyFill="1" applyBorder="1" applyAlignment="1" applyProtection="1">
      <alignment horizontal="center" vertical="center"/>
    </xf>
    <xf numFmtId="0" fontId="74" fillId="5" borderId="58" xfId="0" applyFont="1" applyFill="1" applyBorder="1" applyAlignment="1" applyProtection="1">
      <alignment horizontal="center" vertical="center"/>
    </xf>
    <xf numFmtId="0" fontId="158" fillId="5" borderId="40"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89" fillId="5" borderId="2" xfId="0" applyFont="1" applyFill="1" applyBorder="1" applyAlignment="1" applyProtection="1">
      <alignment horizontal="right" vertical="center"/>
    </xf>
    <xf numFmtId="0" fontId="89" fillId="5" borderId="12" xfId="0" applyFont="1" applyFill="1" applyBorder="1" applyAlignment="1" applyProtection="1">
      <alignment horizontal="right" vertical="center"/>
    </xf>
    <xf numFmtId="0" fontId="157" fillId="5" borderId="0" xfId="0" applyFont="1" applyFill="1" applyBorder="1" applyAlignment="1" applyProtection="1">
      <alignment horizontal="center" vertical="center"/>
    </xf>
    <xf numFmtId="0" fontId="79" fillId="5" borderId="45" xfId="0" applyFont="1" applyFill="1" applyBorder="1" applyAlignment="1" applyProtection="1">
      <alignment horizontal="right" vertical="center"/>
    </xf>
    <xf numFmtId="0" fontId="159" fillId="0" borderId="13" xfId="0" applyFont="1" applyBorder="1" applyAlignment="1" applyProtection="1">
      <alignment horizontal="left" vertical="center"/>
    </xf>
    <xf numFmtId="0" fontId="98" fillId="6" borderId="0" xfId="0" applyFont="1" applyFill="1" applyBorder="1" applyAlignment="1" applyProtection="1">
      <alignment horizontal="left" vertical="center" wrapText="1"/>
      <protection locked="0"/>
    </xf>
    <xf numFmtId="0" fontId="80" fillId="0" borderId="0"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protection locked="0"/>
    </xf>
    <xf numFmtId="0" fontId="80" fillId="0" borderId="32" xfId="0" applyFont="1" applyBorder="1" applyProtection="1">
      <alignment vertical="center"/>
      <protection locked="0"/>
    </xf>
    <xf numFmtId="0" fontId="80" fillId="0" borderId="13" xfId="0" applyFont="1" applyBorder="1" applyAlignment="1" applyProtection="1">
      <alignment horizontal="left" vertical="center" wrapText="1"/>
      <protection locked="0"/>
    </xf>
    <xf numFmtId="0" fontId="80" fillId="0" borderId="0" xfId="0" applyFont="1" applyBorder="1" applyAlignment="1" applyProtection="1">
      <alignment horizontal="left" vertical="center" wrapText="1"/>
      <protection locked="0"/>
    </xf>
    <xf numFmtId="0" fontId="80" fillId="0" borderId="0" xfId="0" applyFont="1" applyFill="1" applyBorder="1" applyAlignment="1" applyProtection="1">
      <alignment horizontal="center" vertical="center"/>
      <protection locked="0"/>
    </xf>
    <xf numFmtId="0" fontId="80" fillId="0" borderId="18" xfId="0" applyFont="1" applyBorder="1" applyProtection="1">
      <alignment vertical="center"/>
      <protection locked="0"/>
    </xf>
    <xf numFmtId="0" fontId="80" fillId="0" borderId="17" xfId="0" applyFont="1" applyBorder="1" applyAlignment="1" applyProtection="1">
      <alignment horizontal="left" vertical="center" wrapText="1"/>
      <protection locked="0"/>
    </xf>
    <xf numFmtId="0" fontId="80" fillId="0" borderId="19" xfId="0" applyFont="1" applyBorder="1" applyAlignment="1" applyProtection="1">
      <alignment horizontal="left" vertical="center" wrapText="1"/>
      <protection locked="0"/>
    </xf>
    <xf numFmtId="0" fontId="80" fillId="0" borderId="19" xfId="0" applyFont="1" applyFill="1" applyBorder="1" applyAlignment="1" applyProtection="1">
      <alignment horizontal="center" vertical="center" wrapText="1"/>
      <protection locked="0"/>
    </xf>
    <xf numFmtId="0" fontId="80" fillId="0" borderId="19" xfId="0" applyFont="1" applyFill="1" applyBorder="1" applyAlignment="1" applyProtection="1">
      <alignment horizontal="center" vertical="center"/>
      <protection locked="0"/>
    </xf>
    <xf numFmtId="0" fontId="80" fillId="0" borderId="20" xfId="0" applyFont="1" applyBorder="1" applyProtection="1">
      <alignment vertical="center"/>
      <protection locked="0"/>
    </xf>
    <xf numFmtId="0" fontId="89" fillId="0" borderId="19" xfId="0" applyFont="1" applyBorder="1" applyAlignment="1" applyProtection="1">
      <alignment horizontal="left" vertical="center"/>
      <protection locked="0"/>
    </xf>
    <xf numFmtId="0" fontId="80" fillId="0" borderId="19" xfId="0" applyFont="1" applyBorder="1" applyProtection="1">
      <alignment vertical="center"/>
      <protection locked="0"/>
    </xf>
    <xf numFmtId="0" fontId="80" fillId="0" borderId="19" xfId="0" applyFont="1" applyBorder="1" applyAlignment="1" applyProtection="1">
      <alignment horizontal="right" vertical="center"/>
      <protection locked="0"/>
    </xf>
    <xf numFmtId="0" fontId="89" fillId="0" borderId="0" xfId="0" applyFont="1" applyAlignment="1" applyProtection="1">
      <alignment horizontal="left" vertical="center"/>
      <protection locked="0"/>
    </xf>
    <xf numFmtId="2" fontId="80" fillId="0" borderId="0" xfId="0" applyNumberFormat="1" applyFont="1" applyAlignment="1" applyProtection="1">
      <alignment vertical="center" wrapText="1"/>
      <protection locked="0"/>
    </xf>
    <xf numFmtId="0" fontId="80" fillId="5" borderId="10" xfId="0" applyFont="1" applyFill="1" applyBorder="1" applyAlignment="1" applyProtection="1">
      <alignment vertical="center"/>
    </xf>
    <xf numFmtId="9" fontId="80" fillId="6" borderId="14" xfId="0" applyNumberFormat="1" applyFont="1" applyFill="1" applyBorder="1" applyAlignment="1" applyProtection="1">
      <alignment horizontal="center" vertical="center"/>
      <protection locked="0"/>
    </xf>
    <xf numFmtId="0" fontId="80" fillId="5" borderId="32" xfId="0" applyFont="1" applyFill="1" applyBorder="1" applyProtection="1">
      <alignment vertical="center"/>
    </xf>
    <xf numFmtId="0" fontId="89" fillId="5" borderId="31" xfId="0" applyFont="1" applyFill="1" applyBorder="1" applyAlignment="1" applyProtection="1">
      <alignment horizontal="left" vertical="center" wrapText="1"/>
    </xf>
    <xf numFmtId="0" fontId="89" fillId="5" borderId="19" xfId="0" applyFont="1" applyFill="1" applyBorder="1" applyAlignment="1" applyProtection="1">
      <alignment horizontal="left" vertical="center" wrapText="1"/>
    </xf>
    <xf numFmtId="0" fontId="89" fillId="5" borderId="20" xfId="0" applyFont="1" applyFill="1" applyBorder="1" applyAlignment="1" applyProtection="1">
      <alignment horizontal="left" vertical="center" wrapText="1"/>
    </xf>
    <xf numFmtId="0" fontId="80" fillId="5" borderId="17" xfId="0" applyFont="1" applyFill="1" applyBorder="1" applyAlignment="1" applyProtection="1">
      <alignment horizontal="center" vertical="center"/>
    </xf>
    <xf numFmtId="0" fontId="89" fillId="5" borderId="2" xfId="0" applyFont="1" applyFill="1" applyBorder="1" applyAlignment="1" applyProtection="1">
      <alignment horizontal="left" vertical="center" wrapText="1"/>
    </xf>
    <xf numFmtId="9" fontId="80" fillId="5" borderId="12" xfId="0" applyNumberFormat="1" applyFont="1" applyFill="1" applyBorder="1" applyAlignment="1" applyProtection="1">
      <alignment horizontal="center" vertical="center"/>
    </xf>
    <xf numFmtId="10" fontId="80" fillId="5" borderId="21" xfId="0" applyNumberFormat="1" applyFont="1" applyFill="1" applyBorder="1" applyAlignment="1" applyProtection="1">
      <alignment horizontal="center" vertical="center"/>
    </xf>
    <xf numFmtId="0" fontId="83" fillId="0" borderId="12" xfId="0" applyFont="1" applyFill="1" applyBorder="1" applyAlignment="1" applyProtection="1">
      <alignment vertical="center" wrapText="1"/>
      <protection locked="0"/>
    </xf>
    <xf numFmtId="0" fontId="80" fillId="5" borderId="22" xfId="0" applyFont="1" applyFill="1" applyBorder="1" applyAlignment="1" applyProtection="1">
      <alignment horizontal="right" vertical="center" wrapText="1"/>
    </xf>
    <xf numFmtId="0" fontId="80" fillId="5" borderId="4" xfId="0" applyFont="1" applyFill="1" applyBorder="1" applyAlignment="1" applyProtection="1">
      <alignment vertical="center"/>
    </xf>
    <xf numFmtId="0" fontId="80" fillId="5" borderId="24" xfId="0" applyFont="1" applyFill="1" applyBorder="1" applyAlignment="1" applyProtection="1">
      <alignment horizontal="right" vertical="center" wrapText="1"/>
    </xf>
    <xf numFmtId="0" fontId="80" fillId="5" borderId="13" xfId="0" applyFont="1" applyFill="1" applyBorder="1" applyAlignment="1" applyProtection="1">
      <alignment vertical="center"/>
    </xf>
    <xf numFmtId="0" fontId="80" fillId="5" borderId="18" xfId="0" applyFont="1" applyFill="1" applyBorder="1" applyProtection="1">
      <alignment vertical="center"/>
    </xf>
    <xf numFmtId="0" fontId="80" fillId="5" borderId="50" xfId="0" applyFont="1" applyFill="1" applyBorder="1" applyAlignment="1" applyProtection="1">
      <alignment horizontal="right" vertical="center" wrapText="1"/>
    </xf>
    <xf numFmtId="0" fontId="80" fillId="5" borderId="17" xfId="0" applyFont="1" applyFill="1" applyBorder="1" applyAlignment="1" applyProtection="1">
      <alignment vertical="center"/>
    </xf>
    <xf numFmtId="0" fontId="80" fillId="5" borderId="11" xfId="0" applyFont="1" applyFill="1" applyBorder="1" applyAlignment="1" applyProtection="1">
      <alignment horizontal="right" vertical="center" wrapText="1"/>
    </xf>
    <xf numFmtId="10" fontId="80" fillId="5" borderId="2" xfId="0" applyNumberFormat="1" applyFont="1" applyFill="1" applyBorder="1" applyAlignment="1" applyProtection="1">
      <alignment horizontal="center" vertical="center"/>
    </xf>
    <xf numFmtId="0" fontId="80" fillId="5" borderId="12" xfId="0" applyFont="1" applyFill="1" applyBorder="1" applyProtection="1">
      <alignment vertical="center"/>
    </xf>
    <xf numFmtId="0" fontId="80" fillId="5" borderId="5" xfId="0" applyFont="1" applyFill="1" applyBorder="1" applyAlignment="1" applyProtection="1">
      <alignment horizontal="right" vertical="center"/>
    </xf>
    <xf numFmtId="0" fontId="80" fillId="2" borderId="9" xfId="0" applyFont="1" applyFill="1" applyBorder="1" applyAlignment="1" applyProtection="1">
      <alignment horizontal="center" vertical="center" wrapText="1"/>
      <protection locked="0"/>
    </xf>
    <xf numFmtId="0" fontId="80" fillId="5" borderId="4" xfId="0" applyFont="1" applyFill="1" applyBorder="1" applyAlignment="1" applyProtection="1">
      <alignment horizontal="right" vertical="center"/>
    </xf>
    <xf numFmtId="0" fontId="80" fillId="5" borderId="2" xfId="0" applyFont="1" applyFill="1" applyBorder="1" applyProtection="1">
      <alignment vertical="center"/>
    </xf>
    <xf numFmtId="0" fontId="80" fillId="5" borderId="45" xfId="0" applyFont="1" applyFill="1" applyBorder="1" applyAlignment="1" applyProtection="1">
      <alignment horizontal="right" vertical="center"/>
    </xf>
    <xf numFmtId="0" fontId="80" fillId="5" borderId="44" xfId="0" applyFont="1" applyFill="1" applyBorder="1" applyAlignment="1" applyProtection="1">
      <alignment horizontal="center" vertical="center" wrapText="1"/>
    </xf>
    <xf numFmtId="10" fontId="80" fillId="5" borderId="44" xfId="0" applyNumberFormat="1" applyFont="1" applyFill="1" applyBorder="1" applyAlignment="1" applyProtection="1">
      <alignment horizontal="center" vertical="center"/>
    </xf>
    <xf numFmtId="9" fontId="80" fillId="5" borderId="2" xfId="0" applyNumberFormat="1" applyFont="1" applyFill="1" applyBorder="1" applyAlignment="1" applyProtection="1">
      <alignment horizontal="center" vertical="center" wrapText="1"/>
    </xf>
    <xf numFmtId="0" fontId="80" fillId="5" borderId="7" xfId="0" applyFont="1" applyFill="1" applyBorder="1" applyAlignment="1" applyProtection="1">
      <alignment horizontal="left" vertical="center" wrapText="1"/>
    </xf>
    <xf numFmtId="0" fontId="99" fillId="5" borderId="21" xfId="0" applyFont="1" applyFill="1" applyBorder="1" applyAlignment="1" applyProtection="1">
      <alignment horizontal="left" vertical="center" wrapText="1"/>
    </xf>
    <xf numFmtId="178" fontId="99" fillId="5" borderId="21" xfId="0" applyNumberFormat="1" applyFont="1" applyFill="1" applyBorder="1" applyAlignment="1" applyProtection="1">
      <alignment horizontal="center" vertical="center" wrapText="1"/>
    </xf>
    <xf numFmtId="0" fontId="99" fillId="5" borderId="21" xfId="0" applyFont="1" applyFill="1" applyBorder="1" applyAlignment="1" applyProtection="1">
      <alignment horizontal="center" vertical="center" wrapText="1"/>
    </xf>
    <xf numFmtId="0" fontId="80" fillId="5" borderId="51" xfId="0" applyFont="1" applyFill="1" applyBorder="1" applyAlignment="1" applyProtection="1">
      <alignment horizontal="left" vertical="center" wrapText="1"/>
    </xf>
    <xf numFmtId="49" fontId="80" fillId="5" borderId="11" xfId="0" applyNumberFormat="1" applyFont="1" applyFill="1" applyBorder="1" applyAlignment="1" applyProtection="1">
      <alignment horizontal="left" vertical="center" wrapText="1"/>
    </xf>
    <xf numFmtId="0" fontId="90" fillId="5" borderId="2" xfId="0" applyFont="1" applyFill="1" applyBorder="1" applyAlignment="1" applyProtection="1">
      <alignment horizontal="left" vertical="center" wrapText="1"/>
    </xf>
    <xf numFmtId="178" fontId="90" fillId="5" borderId="2" xfId="0" applyNumberFormat="1" applyFont="1" applyFill="1" applyBorder="1" applyAlignment="1" applyProtection="1">
      <alignment horizontal="center" vertical="center" wrapText="1"/>
    </xf>
    <xf numFmtId="0" fontId="90" fillId="5" borderId="2" xfId="0" applyFont="1" applyFill="1" applyBorder="1" applyAlignment="1" applyProtection="1">
      <alignment horizontal="center" vertical="center" wrapText="1"/>
    </xf>
    <xf numFmtId="0" fontId="80" fillId="5" borderId="12" xfId="0" applyFont="1" applyFill="1" applyBorder="1" applyAlignment="1" applyProtection="1">
      <alignment horizontal="left" vertical="center" wrapText="1"/>
    </xf>
    <xf numFmtId="178" fontId="90" fillId="0" borderId="2" xfId="0" applyNumberFormat="1" applyFont="1" applyFill="1" applyBorder="1" applyAlignment="1" applyProtection="1">
      <alignment horizontal="center" vertical="center" wrapText="1"/>
      <protection locked="0"/>
    </xf>
    <xf numFmtId="49" fontId="89" fillId="5" borderId="11" xfId="0" applyNumberFormat="1" applyFont="1" applyFill="1" applyBorder="1" applyAlignment="1" applyProtection="1">
      <alignment horizontal="left" vertical="center" wrapText="1"/>
    </xf>
    <xf numFmtId="0" fontId="99" fillId="5" borderId="2" xfId="0" applyFont="1" applyFill="1" applyBorder="1" applyAlignment="1" applyProtection="1">
      <alignment horizontal="left" vertical="center" wrapText="1"/>
    </xf>
    <xf numFmtId="0" fontId="99" fillId="0" borderId="2"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xf>
    <xf numFmtId="178" fontId="99" fillId="5" borderId="2" xfId="0" applyNumberFormat="1" applyFont="1" applyFill="1" applyBorder="1" applyAlignment="1" applyProtection="1">
      <alignment horizontal="center" vertical="center" wrapText="1"/>
    </xf>
    <xf numFmtId="49" fontId="89" fillId="5" borderId="43" xfId="0" applyNumberFormat="1" applyFont="1" applyFill="1" applyBorder="1" applyAlignment="1" applyProtection="1">
      <alignment horizontal="left" vertical="center" wrapText="1"/>
    </xf>
    <xf numFmtId="0" fontId="99" fillId="5" borderId="44" xfId="0" applyFont="1" applyFill="1" applyBorder="1" applyAlignment="1" applyProtection="1">
      <alignment horizontal="left" vertical="center" wrapText="1"/>
    </xf>
    <xf numFmtId="178" fontId="99" fillId="5" borderId="44" xfId="0" applyNumberFormat="1" applyFont="1" applyFill="1" applyBorder="1" applyAlignment="1" applyProtection="1">
      <alignment horizontal="center" vertical="center" wrapText="1"/>
    </xf>
    <xf numFmtId="10" fontId="90" fillId="5" borderId="44" xfId="0" applyNumberFormat="1" applyFont="1" applyFill="1" applyBorder="1" applyAlignment="1" applyProtection="1">
      <alignment horizontal="center" vertical="center" wrapText="1"/>
    </xf>
    <xf numFmtId="0" fontId="80" fillId="5" borderId="46" xfId="0" applyFont="1" applyFill="1" applyBorder="1" applyAlignment="1" applyProtection="1">
      <alignment horizontal="left" vertical="center"/>
    </xf>
    <xf numFmtId="0" fontId="80" fillId="5" borderId="29" xfId="0" applyFont="1" applyFill="1" applyBorder="1" applyAlignment="1" applyProtection="1">
      <alignment horizontal="left" vertical="center" wrapText="1"/>
    </xf>
    <xf numFmtId="0" fontId="80" fillId="5" borderId="30" xfId="0"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49" fontId="80" fillId="5" borderId="11" xfId="0" applyNumberFormat="1" applyFont="1" applyFill="1" applyBorder="1" applyAlignment="1" applyProtection="1">
      <alignment vertical="center" wrapText="1"/>
    </xf>
    <xf numFmtId="0" fontId="90" fillId="0" borderId="2" xfId="0" applyFont="1" applyFill="1" applyBorder="1" applyAlignment="1" applyProtection="1">
      <alignment horizontal="center" vertical="center" wrapText="1"/>
      <protection locked="0"/>
    </xf>
    <xf numFmtId="0" fontId="75" fillId="5" borderId="2" xfId="4" applyFont="1" applyFill="1" applyBorder="1" applyAlignment="1" applyProtection="1">
      <alignment horizontal="left" vertical="center" wrapText="1"/>
    </xf>
    <xf numFmtId="0" fontId="75" fillId="2" borderId="2" xfId="4" applyFont="1" applyFill="1" applyBorder="1" applyAlignment="1" applyProtection="1">
      <alignment horizontal="center" vertical="center" wrapText="1"/>
      <protection locked="0"/>
    </xf>
    <xf numFmtId="178" fontId="90" fillId="0" borderId="12" xfId="0" applyNumberFormat="1" applyFont="1" applyFill="1" applyBorder="1" applyAlignment="1" applyProtection="1">
      <alignment horizontal="center" vertical="center" wrapText="1"/>
      <protection locked="0"/>
    </xf>
    <xf numFmtId="0" fontId="90" fillId="5" borderId="21" xfId="0" applyFont="1" applyFill="1" applyBorder="1" applyAlignment="1" applyProtection="1">
      <alignment horizontal="left" vertical="center" wrapText="1"/>
    </xf>
    <xf numFmtId="9" fontId="75" fillId="5" borderId="0" xfId="0" applyNumberFormat="1" applyFont="1" applyFill="1" applyBorder="1" applyAlignment="1" applyProtection="1">
      <alignment horizontal="center" vertical="center"/>
    </xf>
    <xf numFmtId="10" fontId="90" fillId="5" borderId="2" xfId="0" applyNumberFormat="1" applyFont="1" applyFill="1" applyBorder="1" applyAlignment="1" applyProtection="1">
      <alignment horizontal="center" vertical="center" wrapText="1"/>
    </xf>
    <xf numFmtId="0" fontId="75" fillId="5" borderId="8" xfId="0" applyFont="1" applyFill="1" applyBorder="1" applyAlignment="1" applyProtection="1">
      <alignment horizontal="left" vertical="center"/>
    </xf>
    <xf numFmtId="0" fontId="80" fillId="2" borderId="8" xfId="0" applyFont="1" applyFill="1" applyBorder="1" applyAlignment="1" applyProtection="1">
      <alignment horizontal="left" vertical="center" wrapText="1"/>
      <protection locked="0"/>
    </xf>
    <xf numFmtId="190" fontId="90" fillId="5" borderId="2" xfId="0" applyNumberFormat="1" applyFont="1" applyFill="1" applyBorder="1" applyAlignment="1" applyProtection="1">
      <alignment horizontal="center" vertical="center" wrapText="1"/>
    </xf>
    <xf numFmtId="10" fontId="89" fillId="5" borderId="5" xfId="0" applyNumberFormat="1" applyFont="1" applyFill="1" applyBorder="1" applyAlignment="1" applyProtection="1">
      <alignment horizontal="center" vertical="center" wrapText="1"/>
    </xf>
    <xf numFmtId="182" fontId="99" fillId="5" borderId="2" xfId="0" applyNumberFormat="1"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80" fillId="5" borderId="45" xfId="0" applyFont="1" applyFill="1" applyBorder="1" applyAlignment="1" applyProtection="1">
      <alignment horizontal="left" vertical="center"/>
    </xf>
    <xf numFmtId="0" fontId="80" fillId="5" borderId="56" xfId="0" applyFont="1" applyFill="1" applyBorder="1" applyAlignment="1" applyProtection="1">
      <alignment horizontal="left" vertical="center" wrapText="1"/>
    </xf>
    <xf numFmtId="0" fontId="75" fillId="5" borderId="48" xfId="4" applyFont="1" applyFill="1" applyBorder="1" applyAlignment="1" applyProtection="1">
      <alignment horizontal="left" vertical="center" wrapText="1"/>
    </xf>
    <xf numFmtId="0" fontId="80" fillId="5" borderId="57" xfId="4" applyFont="1" applyFill="1" applyBorder="1" applyAlignment="1" applyProtection="1">
      <alignment horizontal="left" vertical="center" wrapText="1"/>
    </xf>
    <xf numFmtId="0" fontId="80" fillId="5" borderId="16" xfId="4" applyFont="1" applyFill="1" applyBorder="1" applyAlignment="1" applyProtection="1">
      <alignment horizontal="left" vertical="center" wrapText="1"/>
    </xf>
    <xf numFmtId="0" fontId="90" fillId="5" borderId="5" xfId="0" applyFont="1" applyFill="1" applyBorder="1" applyAlignment="1" applyProtection="1">
      <alignment horizontal="center" vertical="center" wrapText="1"/>
    </xf>
    <xf numFmtId="190" fontId="90" fillId="0" borderId="2" xfId="0" applyNumberFormat="1" applyFont="1" applyFill="1" applyBorder="1" applyAlignment="1" applyProtection="1">
      <alignment horizontal="center" vertical="center" wrapText="1"/>
      <protection locked="0"/>
    </xf>
    <xf numFmtId="10" fontId="80" fillId="5" borderId="5" xfId="0" applyNumberFormat="1" applyFont="1" applyFill="1" applyBorder="1" applyAlignment="1" applyProtection="1">
      <alignment horizontal="left" vertical="center"/>
    </xf>
    <xf numFmtId="0" fontId="100" fillId="5" borderId="0" xfId="0" applyFont="1" applyFill="1" applyBorder="1" applyAlignment="1" applyProtection="1">
      <alignment horizontal="left" vertical="center"/>
    </xf>
    <xf numFmtId="10" fontId="80" fillId="2" borderId="16" xfId="0" applyNumberFormat="1" applyFont="1" applyFill="1" applyBorder="1" applyAlignment="1" applyProtection="1">
      <alignment horizontal="left" vertical="center" wrapText="1"/>
      <protection locked="0"/>
    </xf>
    <xf numFmtId="0" fontId="80" fillId="5" borderId="48" xfId="4" applyFont="1" applyFill="1" applyBorder="1" applyAlignment="1" applyProtection="1">
      <alignment horizontal="left" vertical="center" wrapText="1"/>
    </xf>
    <xf numFmtId="0" fontId="155" fillId="5" borderId="59" xfId="2" applyFont="1" applyFill="1" applyBorder="1" applyAlignment="1" applyProtection="1">
      <alignment vertical="center"/>
    </xf>
    <xf numFmtId="0" fontId="74" fillId="5" borderId="0" xfId="2" applyFont="1" applyFill="1" applyBorder="1" applyAlignment="1" applyProtection="1">
      <alignment vertical="center"/>
    </xf>
    <xf numFmtId="0" fontId="101" fillId="5" borderId="2" xfId="2" applyFont="1" applyFill="1" applyBorder="1" applyAlignment="1" applyProtection="1">
      <alignment vertical="center"/>
    </xf>
    <xf numFmtId="178" fontId="101" fillId="5" borderId="2" xfId="2" applyNumberFormat="1" applyFont="1" applyFill="1" applyBorder="1" applyAlignment="1" applyProtection="1">
      <alignment horizontal="right" vertical="center"/>
    </xf>
    <xf numFmtId="0" fontId="101" fillId="5" borderId="10" xfId="2" applyFont="1" applyFill="1" applyBorder="1" applyAlignment="1" applyProtection="1">
      <alignment horizontal="right" vertical="center"/>
    </xf>
    <xf numFmtId="0" fontId="87" fillId="5" borderId="10" xfId="0" applyFont="1" applyFill="1" applyBorder="1" applyAlignment="1" applyProtection="1">
      <alignment vertical="center"/>
    </xf>
    <xf numFmtId="0" fontId="101" fillId="5" borderId="2" xfId="0" applyFont="1" applyFill="1" applyBorder="1" applyAlignment="1" applyProtection="1">
      <alignment vertical="center"/>
    </xf>
    <xf numFmtId="0" fontId="102" fillId="5" borderId="0" xfId="0" applyFont="1" applyFill="1" applyAlignment="1" applyProtection="1">
      <alignment horizontal="center" vertical="center"/>
    </xf>
    <xf numFmtId="0" fontId="101" fillId="5" borderId="0" xfId="2" applyFont="1" applyFill="1" applyBorder="1" applyAlignment="1" applyProtection="1">
      <alignment vertical="center"/>
    </xf>
    <xf numFmtId="0" fontId="101" fillId="5" borderId="4" xfId="0" applyFont="1" applyFill="1" applyBorder="1" applyAlignment="1" applyProtection="1">
      <alignment vertical="center"/>
    </xf>
    <xf numFmtId="0" fontId="158" fillId="5" borderId="32" xfId="0" applyFont="1" applyFill="1" applyBorder="1" applyAlignment="1" applyProtection="1">
      <alignment horizontal="left" vertical="center"/>
    </xf>
    <xf numFmtId="0" fontId="74" fillId="5" borderId="59" xfId="0" applyFont="1" applyFill="1" applyBorder="1" applyAlignment="1" applyProtection="1"/>
    <xf numFmtId="0" fontId="74" fillId="5" borderId="30" xfId="0" applyFont="1" applyFill="1" applyBorder="1" applyAlignment="1" applyProtection="1"/>
    <xf numFmtId="0" fontId="79" fillId="5" borderId="11" xfId="0" applyFont="1" applyFill="1" applyBorder="1" applyAlignment="1" applyProtection="1">
      <alignment horizontal="center"/>
    </xf>
    <xf numFmtId="0" fontId="79" fillId="5" borderId="4" xfId="0" applyFont="1" applyFill="1" applyBorder="1" applyAlignment="1" applyProtection="1"/>
    <xf numFmtId="185" fontId="80" fillId="6" borderId="2" xfId="0" applyNumberFormat="1" applyFont="1" applyFill="1" applyBorder="1" applyAlignment="1" applyProtection="1">
      <alignment horizontal="center" vertical="center" wrapText="1"/>
      <protection locked="0"/>
    </xf>
    <xf numFmtId="185" fontId="80" fillId="6" borderId="12"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xf numFmtId="185" fontId="80" fillId="0" borderId="2" xfId="0" applyNumberFormat="1" applyFont="1" applyFill="1" applyBorder="1" applyAlignment="1" applyProtection="1">
      <alignment horizontal="center"/>
      <protection locked="0"/>
    </xf>
    <xf numFmtId="185" fontId="80" fillId="0" borderId="12" xfId="0" applyNumberFormat="1" applyFont="1" applyFill="1" applyBorder="1" applyAlignment="1" applyProtection="1">
      <alignment horizontal="center"/>
      <protection locked="0"/>
    </xf>
    <xf numFmtId="177" fontId="156" fillId="5" borderId="2" xfId="0" applyNumberFormat="1" applyFont="1" applyFill="1" applyBorder="1" applyAlignment="1" applyProtection="1">
      <alignment horizontal="center" vertical="center"/>
    </xf>
    <xf numFmtId="177" fontId="156" fillId="5" borderId="12" xfId="0" applyNumberFormat="1" applyFont="1" applyFill="1" applyBorder="1" applyAlignment="1" applyProtection="1">
      <alignment horizontal="center" vertical="center"/>
    </xf>
    <xf numFmtId="0" fontId="79" fillId="5" borderId="11" xfId="0" applyFont="1" applyFill="1" applyBorder="1" applyAlignment="1" applyProtection="1">
      <alignment horizontal="left"/>
    </xf>
    <xf numFmtId="0" fontId="79" fillId="5" borderId="5" xfId="0" applyFont="1" applyFill="1" applyBorder="1" applyAlignment="1" applyProtection="1"/>
    <xf numFmtId="185" fontId="79" fillId="5" borderId="2" xfId="0" applyNumberFormat="1" applyFont="1" applyFill="1" applyBorder="1" applyAlignment="1" applyProtection="1">
      <alignment horizontal="center"/>
    </xf>
    <xf numFmtId="0" fontId="79" fillId="5" borderId="2" xfId="0"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80" fillId="5" borderId="5" xfId="2" applyFont="1" applyFill="1" applyBorder="1" applyAlignment="1" applyProtection="1"/>
    <xf numFmtId="178" fontId="80" fillId="5" borderId="2" xfId="0"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xf>
    <xf numFmtId="182" fontId="80" fillId="5" borderId="2" xfId="2" applyNumberFormat="1" applyFont="1" applyFill="1" applyBorder="1" applyAlignment="1" applyProtection="1">
      <alignment horizontal="center"/>
    </xf>
    <xf numFmtId="9" fontId="80" fillId="5" borderId="2" xfId="2" applyNumberFormat="1" applyFont="1" applyFill="1" applyBorder="1" applyAlignment="1" applyProtection="1">
      <alignment horizontal="center"/>
    </xf>
    <xf numFmtId="178" fontId="80" fillId="5" borderId="2" xfId="2" applyNumberFormat="1" applyFont="1" applyFill="1" applyBorder="1" applyAlignment="1" applyProtection="1">
      <alignment horizontal="center"/>
    </xf>
    <xf numFmtId="178" fontId="80" fillId="5" borderId="2" xfId="2" applyNumberFormat="1" applyFont="1" applyFill="1" applyBorder="1" applyAlignment="1" applyProtection="1"/>
    <xf numFmtId="10" fontId="80" fillId="5" borderId="2" xfId="2" applyNumberFormat="1"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79" fillId="5" borderId="5" xfId="2" applyFont="1" applyFill="1" applyBorder="1" applyAlignment="1" applyProtection="1"/>
    <xf numFmtId="178" fontId="79" fillId="5" borderId="2" xfId="2" applyNumberFormat="1" applyFont="1" applyFill="1" applyBorder="1" applyAlignment="1" applyProtection="1">
      <alignment horizontal="center"/>
    </xf>
    <xf numFmtId="0" fontId="79" fillId="5" borderId="2" xfId="2" applyFont="1" applyFill="1" applyBorder="1" applyAlignment="1" applyProtection="1"/>
    <xf numFmtId="178" fontId="79" fillId="5" borderId="2" xfId="2" applyNumberFormat="1" applyFont="1" applyFill="1" applyBorder="1" applyAlignment="1" applyProtection="1"/>
    <xf numFmtId="0" fontId="75" fillId="5" borderId="5" xfId="0" applyFont="1" applyFill="1" applyBorder="1" applyAlignment="1" applyProtection="1"/>
    <xf numFmtId="0" fontId="75" fillId="5" borderId="8" xfId="0" applyFont="1" applyFill="1" applyBorder="1" applyAlignment="1" applyProtection="1"/>
    <xf numFmtId="0" fontId="75" fillId="5" borderId="16" xfId="0" applyFont="1" applyFill="1" applyBorder="1" applyAlignment="1" applyProtection="1"/>
    <xf numFmtId="10" fontId="79" fillId="5" borderId="2" xfId="2" applyNumberFormat="1" applyFont="1" applyFill="1" applyBorder="1" applyAlignment="1" applyProtection="1">
      <alignment horizontal="center"/>
    </xf>
    <xf numFmtId="0" fontId="79" fillId="5" borderId="2" xfId="0" applyFont="1" applyFill="1" applyBorder="1" applyAlignment="1" applyProtection="1">
      <alignment horizontal="right" vertical="center"/>
    </xf>
    <xf numFmtId="178" fontId="79" fillId="5" borderId="2" xfId="2" applyNumberFormat="1" applyFont="1" applyFill="1" applyBorder="1" applyAlignment="1" applyProtection="1">
      <alignment vertical="center"/>
    </xf>
    <xf numFmtId="178" fontId="79" fillId="5" borderId="8" xfId="2" applyNumberFormat="1" applyFont="1" applyFill="1" applyBorder="1" applyAlignment="1" applyProtection="1">
      <alignment vertical="center"/>
    </xf>
    <xf numFmtId="178" fontId="79" fillId="5" borderId="0" xfId="0" applyNumberFormat="1" applyFont="1" applyFill="1" applyBorder="1" applyAlignment="1" applyProtection="1">
      <alignment horizontal="center"/>
    </xf>
    <xf numFmtId="10" fontId="79" fillId="5" borderId="10" xfId="0" applyNumberFormat="1" applyFont="1" applyFill="1" applyBorder="1" applyAlignment="1" applyProtection="1">
      <alignment horizontal="center" vertical="center"/>
    </xf>
    <xf numFmtId="186" fontId="80" fillId="5" borderId="2" xfId="0" applyNumberFormat="1" applyFont="1" applyFill="1" applyBorder="1" applyAlignment="1" applyProtection="1">
      <alignment horizontal="center" vertical="center"/>
    </xf>
    <xf numFmtId="178" fontId="80" fillId="5" borderId="8" xfId="2" applyNumberFormat="1" applyFont="1" applyFill="1" applyBorder="1" applyAlignment="1" applyProtection="1">
      <alignment vertical="center"/>
    </xf>
    <xf numFmtId="10" fontId="80" fillId="5" borderId="10" xfId="0" applyNumberFormat="1" applyFont="1" applyFill="1" applyBorder="1" applyAlignment="1" applyProtection="1">
      <alignment horizontal="center" vertical="center"/>
    </xf>
    <xf numFmtId="178" fontId="80" fillId="5" borderId="2" xfId="2" applyNumberFormat="1" applyFont="1" applyFill="1" applyBorder="1" applyAlignment="1" applyProtection="1">
      <alignment vertical="center"/>
    </xf>
    <xf numFmtId="0" fontId="79" fillId="5" borderId="2" xfId="2" applyFont="1" applyFill="1" applyBorder="1" applyAlignment="1" applyProtection="1">
      <alignment horizontal="left"/>
    </xf>
    <xf numFmtId="186" fontId="79" fillId="5" borderId="2" xfId="0" applyNumberFormat="1" applyFont="1" applyFill="1" applyBorder="1" applyAlignment="1" applyProtection="1">
      <alignment horizontal="right" vertical="center"/>
    </xf>
    <xf numFmtId="178" fontId="79" fillId="5" borderId="9"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78" fontId="80" fillId="5" borderId="8" xfId="2" applyNumberFormat="1" applyFont="1" applyFill="1" applyBorder="1" applyAlignment="1" applyProtection="1"/>
    <xf numFmtId="0" fontId="79" fillId="5" borderId="60" xfId="0" applyFont="1" applyFill="1" applyBorder="1" applyAlignment="1" applyProtection="1"/>
    <xf numFmtId="0" fontId="79" fillId="5" borderId="56" xfId="0" applyFont="1" applyFill="1" applyBorder="1" applyAlignment="1" applyProtection="1"/>
    <xf numFmtId="185" fontId="74" fillId="5" borderId="44" xfId="0" applyNumberFormat="1" applyFont="1" applyFill="1" applyBorder="1" applyAlignment="1" applyProtection="1">
      <alignment horizontal="center"/>
    </xf>
    <xf numFmtId="0" fontId="79" fillId="5" borderId="48" xfId="0" applyFont="1" applyFill="1" applyBorder="1" applyAlignment="1" applyProtection="1"/>
    <xf numFmtId="10" fontId="79" fillId="5" borderId="2" xfId="0" applyNumberFormat="1" applyFont="1" applyFill="1" applyBorder="1" applyAlignment="1" applyProtection="1">
      <alignment horizontal="center"/>
    </xf>
    <xf numFmtId="0" fontId="80" fillId="5" borderId="9" xfId="0" applyNumberFormat="1" applyFont="1" applyFill="1" applyBorder="1" applyAlignment="1" applyProtection="1">
      <alignment horizontal="center"/>
    </xf>
    <xf numFmtId="0" fontId="80" fillId="5" borderId="0" xfId="0" applyNumberFormat="1" applyFont="1" applyFill="1" applyBorder="1" applyAlignment="1" applyProtection="1">
      <alignment horizontal="center"/>
    </xf>
    <xf numFmtId="0" fontId="79" fillId="5" borderId="2" xfId="0" applyNumberFormat="1" applyFont="1" applyFill="1" applyBorder="1" applyAlignment="1" applyProtection="1">
      <alignment horizontal="right" vertical="center"/>
    </xf>
    <xf numFmtId="0" fontId="80" fillId="5"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wrapText="1"/>
    </xf>
    <xf numFmtId="182" fontId="160" fillId="5" borderId="2" xfId="0" applyNumberFormat="1" applyFont="1" applyFill="1" applyBorder="1" applyAlignment="1" applyProtection="1">
      <alignment horizontal="center"/>
    </xf>
    <xf numFmtId="186" fontId="160" fillId="5" borderId="2" xfId="0" applyNumberFormat="1" applyFont="1" applyFill="1" applyBorder="1" applyAlignment="1" applyProtection="1">
      <alignment horizontal="center" vertical="center"/>
    </xf>
    <xf numFmtId="178" fontId="160" fillId="5" borderId="8" xfId="2" applyNumberFormat="1" applyFont="1" applyFill="1" applyBorder="1" applyAlignment="1" applyProtection="1">
      <alignment vertical="center"/>
    </xf>
    <xf numFmtId="10" fontId="160" fillId="5" borderId="10" xfId="0" applyNumberFormat="1" applyFont="1" applyFill="1" applyBorder="1" applyAlignment="1" applyProtection="1">
      <alignment horizontal="center" vertical="center"/>
    </xf>
    <xf numFmtId="0" fontId="160" fillId="5" borderId="8" xfId="0" applyFont="1" applyFill="1" applyBorder="1" applyAlignment="1" applyProtection="1"/>
    <xf numFmtId="0" fontId="160" fillId="5" borderId="5" xfId="0" applyFont="1" applyFill="1" applyBorder="1" applyAlignment="1" applyProtection="1">
      <alignment horizontal="center" vertical="center"/>
    </xf>
    <xf numFmtId="178" fontId="160" fillId="5" borderId="2" xfId="2" applyNumberFormat="1" applyFont="1" applyFill="1" applyBorder="1" applyAlignment="1" applyProtection="1">
      <alignment vertical="center"/>
    </xf>
    <xf numFmtId="10" fontId="160" fillId="5" borderId="2" xfId="0" applyNumberFormat="1" applyFont="1" applyFill="1" applyBorder="1" applyAlignment="1" applyProtection="1">
      <alignment horizontal="center" vertical="center"/>
    </xf>
    <xf numFmtId="0" fontId="160" fillId="5" borderId="0" xfId="0" applyFont="1" applyFill="1" applyBorder="1" applyAlignment="1" applyProtection="1">
      <alignment horizontal="center" vertical="center" wrapText="1"/>
    </xf>
    <xf numFmtId="10" fontId="160" fillId="5" borderId="2" xfId="0" applyNumberFormat="1" applyFont="1" applyFill="1" applyBorder="1" applyAlignment="1" applyProtection="1">
      <alignment vertical="center" wrapText="1"/>
    </xf>
    <xf numFmtId="0" fontId="155" fillId="5" borderId="4" xfId="0" applyFont="1" applyFill="1" applyBorder="1" applyAlignment="1" applyProtection="1">
      <alignment vertical="center"/>
    </xf>
    <xf numFmtId="0" fontId="105" fillId="5" borderId="14" xfId="0" applyFont="1" applyFill="1" applyBorder="1" applyAlignment="1" applyProtection="1">
      <alignment horizontal="right" vertical="center"/>
    </xf>
    <xf numFmtId="0" fontId="105" fillId="5" borderId="0" xfId="0" applyFont="1" applyFill="1" applyAlignment="1" applyProtection="1">
      <alignment horizontal="center" vertical="center"/>
    </xf>
    <xf numFmtId="0" fontId="72" fillId="5" borderId="14" xfId="0" applyFont="1" applyFill="1" applyBorder="1" applyAlignment="1" applyProtection="1">
      <alignment vertical="center"/>
    </xf>
    <xf numFmtId="0" fontId="105" fillId="5" borderId="14" xfId="0" applyFont="1" applyFill="1" applyBorder="1" applyAlignment="1" applyProtection="1">
      <alignment vertical="center"/>
    </xf>
    <xf numFmtId="188" fontId="105" fillId="5" borderId="14" xfId="0" applyNumberFormat="1" applyFont="1" applyFill="1" applyBorder="1" applyAlignment="1" applyProtection="1">
      <alignment horizontal="center" vertical="center"/>
    </xf>
    <xf numFmtId="178" fontId="101" fillId="5" borderId="2" xfId="0" applyNumberFormat="1" applyFont="1" applyFill="1" applyBorder="1" applyAlignment="1" applyProtection="1">
      <alignment horizontal="right" vertical="center"/>
    </xf>
    <xf numFmtId="0" fontId="101" fillId="5" borderId="10" xfId="2" applyFont="1" applyFill="1" applyBorder="1" applyAlignment="1" applyProtection="1">
      <alignment vertical="center"/>
    </xf>
    <xf numFmtId="185" fontId="101" fillId="5" borderId="10" xfId="0" applyNumberFormat="1" applyFont="1" applyFill="1" applyBorder="1" applyAlignment="1" applyProtection="1">
      <alignment horizontal="right" vertical="center"/>
    </xf>
    <xf numFmtId="0" fontId="101" fillId="5" borderId="10" xfId="0" applyFont="1" applyFill="1" applyBorder="1" applyAlignment="1" applyProtection="1">
      <alignment vertical="center"/>
    </xf>
    <xf numFmtId="0" fontId="87" fillId="5" borderId="26" xfId="0" applyFont="1" applyFill="1" applyBorder="1" applyAlignment="1" applyProtection="1">
      <alignment vertical="center" wrapText="1"/>
    </xf>
    <xf numFmtId="0" fontId="87" fillId="5" borderId="28" xfId="0" applyFont="1" applyFill="1" applyBorder="1" applyAlignment="1" applyProtection="1">
      <alignment vertical="center" wrapText="1"/>
    </xf>
    <xf numFmtId="188" fontId="75" fillId="5" borderId="9" xfId="0" applyNumberFormat="1" applyFont="1" applyFill="1" applyBorder="1" applyAlignment="1" applyProtection="1">
      <alignment horizontal="center" vertical="center" wrapText="1"/>
    </xf>
    <xf numFmtId="0" fontId="87" fillId="5" borderId="31" xfId="0" applyFont="1" applyFill="1" applyBorder="1" applyAlignment="1" applyProtection="1">
      <alignment vertical="center" wrapText="1"/>
    </xf>
    <xf numFmtId="0" fontId="87" fillId="5" borderId="0" xfId="0" applyFont="1" applyFill="1" applyBorder="1" applyAlignment="1" applyProtection="1">
      <alignment vertical="center" wrapText="1"/>
    </xf>
    <xf numFmtId="0" fontId="87" fillId="5" borderId="54" xfId="0" applyFont="1" applyFill="1" applyBorder="1" applyAlignment="1" applyProtection="1">
      <alignment vertical="center" wrapText="1"/>
    </xf>
    <xf numFmtId="0" fontId="87" fillId="5" borderId="61" xfId="0" applyFont="1" applyFill="1" applyBorder="1" applyAlignment="1" applyProtection="1">
      <alignment vertical="center" wrapText="1"/>
    </xf>
    <xf numFmtId="184" fontId="75" fillId="5" borderId="33" xfId="0" applyNumberFormat="1" applyFont="1" applyFill="1" applyBorder="1" applyAlignment="1" applyProtection="1">
      <alignment horizontal="center" vertical="center" wrapText="1"/>
    </xf>
    <xf numFmtId="0" fontId="75" fillId="5" borderId="34" xfId="0" applyNumberFormat="1" applyFont="1" applyFill="1" applyBorder="1" applyAlignment="1" applyProtection="1">
      <alignment horizontal="center" vertical="center" wrapText="1"/>
    </xf>
    <xf numFmtId="184" fontId="75" fillId="0" borderId="62" xfId="0" applyNumberFormat="1" applyFont="1" applyFill="1" applyBorder="1" applyAlignment="1" applyProtection="1">
      <alignment horizontal="center" vertical="center" wrapText="1"/>
      <protection locked="0"/>
    </xf>
    <xf numFmtId="0" fontId="75" fillId="5" borderId="49" xfId="0" applyNumberFormat="1" applyFont="1" applyFill="1" applyBorder="1" applyAlignment="1" applyProtection="1">
      <alignment horizontal="center" vertical="center" wrapText="1"/>
    </xf>
    <xf numFmtId="184" fontId="75" fillId="0" borderId="33" xfId="0" applyNumberFormat="1" applyFont="1" applyFill="1" applyBorder="1" applyAlignment="1" applyProtection="1">
      <alignment horizontal="center" vertical="center" wrapText="1"/>
      <protection locked="0"/>
    </xf>
    <xf numFmtId="0" fontId="75" fillId="5" borderId="9" xfId="0" applyNumberFormat="1" applyFont="1" applyFill="1" applyBorder="1" applyAlignment="1" applyProtection="1">
      <alignment horizontal="center" vertical="center" wrapText="1"/>
    </xf>
    <xf numFmtId="49" fontId="75" fillId="2" borderId="33" xfId="0" applyNumberFormat="1" applyFont="1" applyFill="1" applyBorder="1" applyAlignment="1" applyProtection="1">
      <alignment horizontal="center" vertical="center" wrapText="1"/>
      <protection locked="0"/>
    </xf>
    <xf numFmtId="0" fontId="75" fillId="2" borderId="59"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wrapText="1"/>
    </xf>
    <xf numFmtId="0" fontId="75" fillId="0" borderId="50" xfId="0" applyNumberFormat="1" applyFont="1" applyFill="1" applyBorder="1" applyAlignment="1" applyProtection="1">
      <alignment horizontal="center" vertical="center" wrapText="1"/>
      <protection locked="0"/>
    </xf>
    <xf numFmtId="49" fontId="75" fillId="0" borderId="50"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87" fillId="5" borderId="24" xfId="0" applyFont="1" applyFill="1" applyBorder="1" applyAlignment="1" applyProtection="1">
      <alignment vertical="center" wrapText="1"/>
    </xf>
    <xf numFmtId="0" fontId="75" fillId="0" borderId="11"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wrapText="1"/>
    </xf>
    <xf numFmtId="0" fontId="75" fillId="0" borderId="4" xfId="0" applyFont="1" applyFill="1" applyBorder="1" applyAlignment="1" applyProtection="1">
      <alignment horizontal="center" vertical="center" wrapText="1"/>
      <protection locked="0"/>
    </xf>
    <xf numFmtId="0" fontId="75" fillId="5" borderId="63" xfId="0" applyNumberFormat="1" applyFont="1" applyFill="1" applyBorder="1" applyAlignment="1" applyProtection="1">
      <alignment horizontal="center" vertical="center" wrapText="1"/>
    </xf>
    <xf numFmtId="0" fontId="88" fillId="0" borderId="64" xfId="0" applyNumberFormat="1" applyFont="1" applyFill="1" applyBorder="1" applyAlignment="1" applyProtection="1">
      <alignment horizontal="center" vertical="center" wrapText="1"/>
      <protection locked="0"/>
    </xf>
    <xf numFmtId="0" fontId="88" fillId="5" borderId="12" xfId="0" applyNumberFormat="1" applyFont="1" applyFill="1" applyBorder="1" applyAlignment="1" applyProtection="1">
      <alignment horizontal="center" vertical="center" wrapText="1"/>
    </xf>
    <xf numFmtId="0" fontId="88" fillId="0" borderId="2"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wrapText="1"/>
    </xf>
    <xf numFmtId="0" fontId="75" fillId="0" borderId="45" xfId="0" applyFont="1" applyFill="1" applyBorder="1" applyAlignment="1" applyProtection="1">
      <alignment horizontal="center" vertical="center" wrapText="1"/>
      <protection locked="0"/>
    </xf>
    <xf numFmtId="0" fontId="88" fillId="0" borderId="60" xfId="0" applyNumberFormat="1" applyFont="1" applyFill="1" applyBorder="1" applyAlignment="1" applyProtection="1">
      <alignment horizontal="center" vertical="center" wrapText="1"/>
      <protection locked="0"/>
    </xf>
    <xf numFmtId="0" fontId="88" fillId="5" borderId="46" xfId="0" applyNumberFormat="1" applyFont="1" applyFill="1" applyBorder="1" applyAlignment="1" applyProtection="1">
      <alignment horizontal="center" vertical="center" wrapText="1"/>
    </xf>
    <xf numFmtId="0" fontId="75" fillId="5" borderId="41" xfId="0" applyFont="1" applyFill="1" applyBorder="1" applyAlignment="1" applyProtection="1">
      <alignment horizontal="center" vertical="center" wrapText="1"/>
    </xf>
    <xf numFmtId="49" fontId="88" fillId="5" borderId="58" xfId="0" applyNumberFormat="1" applyFont="1" applyFill="1" applyBorder="1" applyAlignment="1" applyProtection="1">
      <alignment horizontal="center" vertical="center" wrapText="1"/>
    </xf>
    <xf numFmtId="0" fontId="88" fillId="5" borderId="41" xfId="0" applyNumberFormat="1" applyFont="1" applyFill="1" applyBorder="1" applyAlignment="1" applyProtection="1">
      <alignment horizontal="center" vertical="center" wrapText="1"/>
    </xf>
    <xf numFmtId="49" fontId="88" fillId="0" borderId="58" xfId="0" applyNumberFormat="1" applyFont="1" applyFill="1" applyBorder="1" applyAlignment="1" applyProtection="1">
      <alignment horizontal="center" vertical="center" wrapText="1"/>
      <protection locked="0"/>
    </xf>
    <xf numFmtId="0" fontId="88" fillId="5" borderId="40" xfId="0" applyNumberFormat="1" applyFont="1" applyFill="1" applyBorder="1" applyAlignment="1" applyProtection="1">
      <alignment horizontal="center" vertical="center" wrapText="1"/>
    </xf>
    <xf numFmtId="49" fontId="88" fillId="0" borderId="53" xfId="0" applyNumberFormat="1" applyFont="1" applyFill="1" applyBorder="1" applyAlignment="1" applyProtection="1">
      <alignment horizontal="center" vertical="center" wrapText="1"/>
      <protection locked="0"/>
    </xf>
    <xf numFmtId="0" fontId="88" fillId="5" borderId="65" xfId="0" applyFont="1" applyFill="1" applyBorder="1" applyAlignment="1" applyProtection="1">
      <alignment horizontal="center" vertical="center"/>
    </xf>
    <xf numFmtId="0" fontId="88" fillId="2" borderId="20" xfId="0" applyNumberFormat="1" applyFont="1" applyFill="1" applyBorder="1" applyAlignment="1" applyProtection="1">
      <alignment horizontal="center" vertical="center" wrapText="1"/>
      <protection locked="0"/>
    </xf>
    <xf numFmtId="0" fontId="88" fillId="5" borderId="51" xfId="0" applyNumberFormat="1" applyFont="1" applyFill="1" applyBorder="1" applyAlignment="1" applyProtection="1">
      <alignment horizontal="center" vertical="center" wrapText="1"/>
    </xf>
    <xf numFmtId="49" fontId="88" fillId="2" borderId="20" xfId="0" applyNumberFormat="1" applyFont="1" applyFill="1" applyBorder="1" applyAlignment="1" applyProtection="1">
      <alignment horizontal="center" vertical="center" wrapText="1"/>
      <protection locked="0"/>
    </xf>
    <xf numFmtId="0" fontId="88" fillId="5" borderId="17" xfId="0" applyNumberFormat="1" applyFont="1" applyFill="1" applyBorder="1" applyAlignment="1" applyProtection="1">
      <alignment horizontal="center" vertical="center" wrapText="1"/>
    </xf>
    <xf numFmtId="49" fontId="88" fillId="2" borderId="50" xfId="0" applyNumberFormat="1" applyFont="1" applyFill="1" applyBorder="1" applyAlignment="1" applyProtection="1">
      <alignment horizontal="center" vertical="center" wrapText="1"/>
      <protection locked="0"/>
    </xf>
    <xf numFmtId="0" fontId="88" fillId="5" borderId="52" xfId="0" applyNumberFormat="1"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wrapText="1"/>
    </xf>
    <xf numFmtId="49" fontId="88" fillId="5" borderId="32" xfId="0" applyNumberFormat="1" applyFont="1" applyFill="1" applyBorder="1" applyAlignment="1" applyProtection="1">
      <alignment horizontal="center" vertical="center" wrapText="1"/>
    </xf>
    <xf numFmtId="49" fontId="88" fillId="0" borderId="18" xfId="0" applyNumberFormat="1" applyFont="1" applyFill="1" applyBorder="1" applyAlignment="1" applyProtection="1">
      <alignment horizontal="center" vertical="center" wrapText="1"/>
      <protection locked="0"/>
    </xf>
    <xf numFmtId="0" fontId="88" fillId="5" borderId="13" xfId="0" applyNumberFormat="1" applyFont="1" applyFill="1" applyBorder="1" applyAlignment="1" applyProtection="1">
      <alignment horizontal="center" vertical="center" wrapText="1"/>
    </xf>
    <xf numFmtId="49" fontId="88" fillId="0" borderId="24" xfId="0" applyNumberFormat="1" applyFont="1" applyFill="1" applyBorder="1" applyAlignment="1" applyProtection="1">
      <alignment horizontal="center" vertical="center" wrapText="1"/>
      <protection locked="0"/>
    </xf>
    <xf numFmtId="0" fontId="88" fillId="5" borderId="25" xfId="0" applyNumberFormat="1" applyFont="1" applyFill="1" applyBorder="1" applyAlignment="1" applyProtection="1">
      <alignment horizontal="center" vertical="center" wrapText="1"/>
    </xf>
    <xf numFmtId="0" fontId="75" fillId="5" borderId="51" xfId="0" applyFont="1" applyFill="1" applyBorder="1" applyAlignment="1" applyProtection="1">
      <alignment horizontal="center" vertical="center" wrapText="1"/>
    </xf>
    <xf numFmtId="0" fontId="88" fillId="2" borderId="18" xfId="0" applyNumberFormat="1" applyFont="1" applyFill="1" applyBorder="1" applyAlignment="1" applyProtection="1">
      <alignment horizontal="center" vertical="center" wrapText="1"/>
      <protection locked="0"/>
    </xf>
    <xf numFmtId="49" fontId="88" fillId="2" borderId="18" xfId="0" applyNumberFormat="1" applyFont="1" applyFill="1" applyBorder="1" applyAlignment="1" applyProtection="1">
      <alignment horizontal="center" vertical="center" wrapText="1"/>
      <protection locked="0"/>
    </xf>
    <xf numFmtId="49" fontId="88" fillId="2" borderId="24" xfId="0" applyNumberFormat="1" applyFont="1" applyFill="1" applyBorder="1" applyAlignment="1" applyProtection="1">
      <alignment horizontal="center" vertical="center" wrapText="1"/>
      <protection locked="0"/>
    </xf>
    <xf numFmtId="49" fontId="88" fillId="0" borderId="32" xfId="0" applyNumberFormat="1" applyFont="1" applyFill="1" applyBorder="1" applyAlignment="1" applyProtection="1">
      <alignment horizontal="center" vertical="center" wrapText="1"/>
      <protection locked="0"/>
    </xf>
    <xf numFmtId="0" fontId="88" fillId="5" borderId="4" xfId="0" applyNumberFormat="1" applyFont="1" applyFill="1" applyBorder="1" applyAlignment="1" applyProtection="1">
      <alignment horizontal="center" vertical="center" wrapText="1"/>
    </xf>
    <xf numFmtId="49" fontId="88" fillId="0" borderId="22" xfId="0" applyNumberFormat="1" applyFont="1" applyFill="1" applyBorder="1" applyAlignment="1" applyProtection="1">
      <alignment horizontal="center" vertical="center" wrapText="1"/>
      <protection locked="0"/>
    </xf>
    <xf numFmtId="0" fontId="88" fillId="5" borderId="32" xfId="0" applyNumberFormat="1" applyFont="1" applyFill="1" applyBorder="1" applyAlignment="1" applyProtection="1">
      <alignment horizontal="center" vertical="center" wrapText="1"/>
    </xf>
    <xf numFmtId="0" fontId="88" fillId="2" borderId="11" xfId="0" applyNumberFormat="1" applyFont="1" applyFill="1" applyBorder="1" applyAlignment="1" applyProtection="1">
      <alignment horizontal="center" vertical="center" wrapText="1"/>
      <protection locked="0"/>
    </xf>
    <xf numFmtId="0" fontId="88" fillId="5" borderId="5" xfId="0" applyNumberFormat="1" applyFont="1" applyFill="1" applyBorder="1" applyAlignment="1" applyProtection="1">
      <alignment horizontal="center" vertical="center" wrapText="1"/>
    </xf>
    <xf numFmtId="0" fontId="88" fillId="2" borderId="50"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wrapText="1"/>
    </xf>
    <xf numFmtId="0" fontId="75" fillId="5" borderId="52"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protection locked="0"/>
    </xf>
    <xf numFmtId="0" fontId="88" fillId="2" borderId="8" xfId="0" applyNumberFormat="1" applyFont="1" applyFill="1" applyBorder="1" applyAlignment="1" applyProtection="1">
      <alignment horizontal="center" vertical="center" wrapText="1"/>
      <protection locked="0"/>
    </xf>
    <xf numFmtId="0" fontId="110" fillId="5" borderId="9" xfId="0" applyNumberFormat="1"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88" fillId="2" borderId="64" xfId="0" applyNumberFormat="1" applyFont="1" applyFill="1" applyBorder="1" applyAlignment="1" applyProtection="1">
      <alignment horizontal="center" vertical="center" wrapText="1"/>
      <protection locked="0"/>
    </xf>
    <xf numFmtId="0" fontId="110" fillId="0" borderId="9" xfId="0" applyNumberFormat="1" applyFont="1" applyFill="1" applyBorder="1" applyAlignment="1" applyProtection="1">
      <alignment horizontal="center" vertical="center" wrapText="1"/>
      <protection locked="0"/>
    </xf>
    <xf numFmtId="0" fontId="75" fillId="0" borderId="12" xfId="0"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horizontal="center" vertical="center"/>
    </xf>
    <xf numFmtId="0" fontId="88" fillId="0" borderId="12" xfId="0" applyFont="1" applyFill="1" applyBorder="1" applyAlignment="1" applyProtection="1">
      <alignment horizontal="center" vertical="center"/>
      <protection locked="0"/>
    </xf>
    <xf numFmtId="0" fontId="104" fillId="5" borderId="54" xfId="0" applyFont="1" applyFill="1" applyBorder="1" applyAlignment="1" applyProtection="1">
      <alignment vertical="center" textRotation="255" wrapText="1"/>
    </xf>
    <xf numFmtId="0" fontId="84" fillId="0" borderId="46" xfId="0" applyFont="1" applyFill="1" applyBorder="1" applyAlignment="1" applyProtection="1">
      <alignment horizontal="center" vertical="center"/>
      <protection locked="0"/>
    </xf>
    <xf numFmtId="0" fontId="88" fillId="0" borderId="3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3" xfId="0" applyNumberFormat="1" applyFont="1" applyFill="1" applyBorder="1" applyAlignment="1" applyProtection="1">
      <alignment horizontal="center" vertical="center" wrapText="1"/>
      <protection locked="0"/>
    </xf>
    <xf numFmtId="0" fontId="87" fillId="5" borderId="24" xfId="0" applyFont="1" applyFill="1" applyBorder="1" applyAlignment="1" applyProtection="1">
      <alignment vertical="center" textRotation="255" wrapText="1"/>
    </xf>
    <xf numFmtId="0" fontId="75" fillId="5" borderId="17" xfId="0"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5" borderId="7" xfId="0" applyNumberFormat="1" applyFont="1" applyFill="1" applyBorder="1" applyAlignment="1" applyProtection="1">
      <alignment horizontal="center" vertical="center" wrapText="1"/>
    </xf>
    <xf numFmtId="0" fontId="88" fillId="0" borderId="6" xfId="0" applyNumberFormat="1" applyFont="1" applyFill="1" applyBorder="1" applyAlignment="1" applyProtection="1">
      <alignment horizontal="center" vertical="center" wrapText="1"/>
      <protection locked="0"/>
    </xf>
    <xf numFmtId="49" fontId="88" fillId="2" borderId="11"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9" fontId="75" fillId="2" borderId="64" xfId="0" applyNumberFormat="1" applyFont="1" applyFill="1" applyBorder="1" applyAlignment="1" applyProtection="1">
      <alignment horizontal="center" vertical="center" wrapText="1"/>
      <protection locked="0"/>
    </xf>
    <xf numFmtId="0" fontId="88" fillId="0" borderId="5" xfId="0" applyFont="1" applyFill="1" applyBorder="1" applyAlignment="1" applyProtection="1">
      <alignment horizontal="center" vertical="center"/>
      <protection locked="0"/>
    </xf>
    <xf numFmtId="0" fontId="104" fillId="5" borderId="24" xfId="0" applyFont="1" applyFill="1" applyBorder="1" applyAlignment="1" applyProtection="1">
      <alignment vertical="center" textRotation="255"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111" fillId="5" borderId="9" xfId="0" applyNumberFormat="1" applyFont="1" applyFill="1" applyBorder="1" applyAlignment="1" applyProtection="1">
      <alignment horizontal="center" vertical="center" wrapText="1"/>
    </xf>
    <xf numFmtId="49" fontId="87" fillId="5" borderId="59" xfId="0" applyNumberFormat="1" applyFont="1" applyFill="1" applyBorder="1" applyAlignment="1" applyProtection="1">
      <alignment vertical="center"/>
    </xf>
    <xf numFmtId="49" fontId="87" fillId="2" borderId="7" xfId="0" applyNumberFormat="1" applyFont="1" applyFill="1" applyBorder="1" applyAlignment="1" applyProtection="1">
      <alignment vertical="center"/>
      <protection locked="0"/>
    </xf>
    <xf numFmtId="0" fontId="87" fillId="5" borderId="30" xfId="0" applyFont="1" applyFill="1" applyBorder="1" applyAlignment="1" applyProtection="1">
      <alignment horizontal="right" vertical="center" wrapText="1"/>
    </xf>
    <xf numFmtId="0" fontId="87" fillId="5" borderId="57" xfId="0" applyFont="1" applyFill="1" applyBorder="1" applyAlignment="1" applyProtection="1">
      <alignment vertical="center" wrapText="1"/>
    </xf>
    <xf numFmtId="0" fontId="112" fillId="3" borderId="30" xfId="0" applyFont="1" applyFill="1" applyBorder="1" applyAlignment="1" applyProtection="1">
      <alignment vertical="center" wrapText="1"/>
      <protection locked="0"/>
    </xf>
    <xf numFmtId="0" fontId="112" fillId="5" borderId="30" xfId="0" applyFont="1" applyFill="1" applyBorder="1" applyAlignment="1" applyProtection="1">
      <alignment vertical="center" wrapText="1"/>
    </xf>
    <xf numFmtId="0" fontId="112" fillId="3" borderId="59" xfId="0" applyFont="1" applyFill="1" applyBorder="1" applyAlignment="1" applyProtection="1">
      <alignment vertical="center" wrapText="1"/>
      <protection locked="0"/>
    </xf>
    <xf numFmtId="0" fontId="112" fillId="5" borderId="57" xfId="0" applyFont="1" applyFill="1" applyBorder="1" applyAlignment="1" applyProtection="1">
      <alignment vertical="center" wrapText="1"/>
    </xf>
    <xf numFmtId="49" fontId="87" fillId="5" borderId="60" xfId="0" applyNumberFormat="1" applyFont="1" applyFill="1" applyBorder="1" applyAlignment="1" applyProtection="1">
      <alignment vertical="center"/>
    </xf>
    <xf numFmtId="49" fontId="87" fillId="5" borderId="48" xfId="0" applyNumberFormat="1" applyFont="1" applyFill="1" applyBorder="1" applyAlignment="1" applyProtection="1">
      <alignment vertical="center"/>
    </xf>
    <xf numFmtId="185" fontId="87" fillId="5" borderId="56" xfId="0" applyNumberFormat="1" applyFont="1" applyFill="1" applyBorder="1" applyAlignment="1" applyProtection="1">
      <alignment vertical="center" wrapText="1"/>
    </xf>
    <xf numFmtId="0" fontId="87" fillId="5" borderId="48" xfId="0" applyFont="1" applyFill="1" applyBorder="1" applyAlignment="1" applyProtection="1">
      <alignment vertical="center" wrapText="1"/>
    </xf>
    <xf numFmtId="0" fontId="87" fillId="5" borderId="56" xfId="0" applyFont="1" applyFill="1" applyBorder="1" applyAlignment="1" applyProtection="1">
      <alignment vertical="center" wrapText="1"/>
    </xf>
    <xf numFmtId="185" fontId="87" fillId="5" borderId="60" xfId="0" applyNumberFormat="1" applyFont="1" applyFill="1" applyBorder="1" applyAlignment="1" applyProtection="1">
      <alignment vertical="center" wrapText="1"/>
    </xf>
    <xf numFmtId="49" fontId="87" fillId="0" borderId="54" xfId="0" applyNumberFormat="1" applyFont="1" applyFill="1" applyBorder="1" applyAlignment="1" applyProtection="1">
      <alignment vertical="center"/>
      <protection locked="0"/>
    </xf>
    <xf numFmtId="49" fontId="87" fillId="0" borderId="66" xfId="0" applyNumberFormat="1" applyFont="1" applyFill="1" applyBorder="1" applyAlignment="1" applyProtection="1">
      <alignment vertical="center"/>
      <protection locked="0"/>
    </xf>
    <xf numFmtId="185" fontId="87" fillId="5" borderId="61" xfId="0" applyNumberFormat="1" applyFont="1" applyFill="1" applyBorder="1" applyAlignment="1" applyProtection="1">
      <alignment vertical="center" wrapText="1"/>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wrapText="1"/>
    </xf>
    <xf numFmtId="182" fontId="88" fillId="5" borderId="5" xfId="0" applyNumberFormat="1" applyFont="1" applyFill="1" applyBorder="1" applyAlignment="1" applyProtection="1">
      <alignment horizontal="center" vertical="center"/>
    </xf>
    <xf numFmtId="182" fontId="88" fillId="5" borderId="9" xfId="0" applyNumberFormat="1" applyFont="1" applyFill="1" applyBorder="1" applyAlignment="1" applyProtection="1">
      <alignment vertical="center"/>
    </xf>
    <xf numFmtId="0" fontId="87" fillId="5" borderId="9" xfId="0" applyFont="1" applyFill="1" applyBorder="1" applyAlignment="1" applyProtection="1">
      <alignment horizontal="center" vertical="center" wrapText="1"/>
    </xf>
    <xf numFmtId="14" fontId="88" fillId="5" borderId="1" xfId="0" applyNumberFormat="1" applyFont="1" applyFill="1" applyBorder="1" applyAlignment="1" applyProtection="1">
      <alignment horizontal="left" vertical="center"/>
    </xf>
    <xf numFmtId="177" fontId="88" fillId="5" borderId="6" xfId="0" applyNumberFormat="1" applyFont="1" applyFill="1" applyBorder="1" applyAlignment="1" applyProtection="1">
      <alignment horizontal="center" vertical="center"/>
    </xf>
    <xf numFmtId="0" fontId="88" fillId="5" borderId="6" xfId="0" applyFont="1" applyFill="1" applyBorder="1" applyAlignment="1" applyProtection="1">
      <alignment horizontal="center" vertical="center"/>
    </xf>
    <xf numFmtId="0" fontId="88" fillId="5" borderId="7" xfId="0" applyFont="1" applyFill="1" applyBorder="1" applyAlignment="1" applyProtection="1">
      <alignment horizontal="center" vertical="center"/>
    </xf>
    <xf numFmtId="0" fontId="90" fillId="5" borderId="11" xfId="0" applyFont="1" applyFill="1" applyBorder="1" applyAlignment="1" applyProtection="1"/>
    <xf numFmtId="185" fontId="90" fillId="5" borderId="2" xfId="2" applyNumberFormat="1" applyFont="1" applyFill="1" applyBorder="1" applyAlignment="1" applyProtection="1">
      <alignment horizontal="center"/>
    </xf>
    <xf numFmtId="0" fontId="90" fillId="5" borderId="2" xfId="0" applyFont="1" applyFill="1" applyBorder="1" applyAlignment="1" applyProtection="1">
      <alignment horizontal="center"/>
    </xf>
    <xf numFmtId="178" fontId="90" fillId="5" borderId="12" xfId="2" applyNumberFormat="1" applyFont="1" applyFill="1" applyBorder="1" applyAlignment="1" applyProtection="1">
      <alignment horizontal="center"/>
    </xf>
    <xf numFmtId="0" fontId="90" fillId="5" borderId="11" xfId="2" applyFont="1" applyFill="1" applyBorder="1" applyAlignment="1" applyProtection="1"/>
    <xf numFmtId="0" fontId="90" fillId="5" borderId="2" xfId="2" applyFont="1" applyFill="1" applyBorder="1" applyAlignment="1" applyProtection="1">
      <alignment horizontal="center"/>
    </xf>
    <xf numFmtId="180" fontId="90" fillId="0" borderId="2" xfId="2" applyNumberFormat="1" applyFont="1" applyFill="1" applyBorder="1" applyAlignment="1" applyProtection="1">
      <alignment horizontal="center"/>
      <protection locked="0"/>
    </xf>
    <xf numFmtId="0" fontId="80" fillId="5" borderId="12" xfId="0" applyFont="1" applyFill="1" applyBorder="1" applyAlignment="1" applyProtection="1">
      <alignment horizontal="center" vertical="center"/>
    </xf>
    <xf numFmtId="180" fontId="90" fillId="5" borderId="2" xfId="2" applyNumberFormat="1" applyFont="1" applyFill="1" applyBorder="1" applyAlignment="1" applyProtection="1">
      <alignment horizontal="center"/>
    </xf>
    <xf numFmtId="0" fontId="99" fillId="5" borderId="43" xfId="2" applyFont="1" applyFill="1" applyBorder="1" applyAlignment="1" applyProtection="1"/>
    <xf numFmtId="0" fontId="90" fillId="5" borderId="44" xfId="0" applyFont="1" applyFill="1" applyBorder="1" applyAlignment="1" applyProtection="1">
      <alignment horizontal="center"/>
    </xf>
    <xf numFmtId="178" fontId="99" fillId="5" borderId="46" xfId="0" applyNumberFormat="1" applyFont="1" applyFill="1" applyBorder="1" applyAlignment="1" applyProtection="1">
      <alignment horizontal="center"/>
    </xf>
    <xf numFmtId="0" fontId="79" fillId="5" borderId="26" xfId="0" applyNumberFormat="1" applyFont="1" applyFill="1" applyBorder="1" applyAlignment="1" applyProtection="1">
      <alignment vertical="center" wrapText="1"/>
    </xf>
    <xf numFmtId="0" fontId="79" fillId="5" borderId="58" xfId="0" applyNumberFormat="1" applyFont="1" applyFill="1" applyBorder="1" applyAlignment="1" applyProtection="1">
      <alignment vertical="center" wrapText="1"/>
    </xf>
    <xf numFmtId="0" fontId="79" fillId="5" borderId="31" xfId="0" applyNumberFormat="1" applyFont="1" applyFill="1" applyBorder="1" applyAlignment="1" applyProtection="1">
      <alignment vertical="center" wrapText="1"/>
    </xf>
    <xf numFmtId="0" fontId="79" fillId="5" borderId="18" xfId="0" applyNumberFormat="1" applyFont="1" applyFill="1" applyBorder="1" applyAlignment="1" applyProtection="1">
      <alignment vertical="center" wrapText="1"/>
    </xf>
    <xf numFmtId="0" fontId="75" fillId="5" borderId="32"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9" fillId="5" borderId="54" xfId="0" applyNumberFormat="1" applyFont="1" applyFill="1" applyBorder="1" applyAlignment="1" applyProtection="1">
      <alignment vertical="center"/>
    </xf>
    <xf numFmtId="0" fontId="79" fillId="5" borderId="67" xfId="0" applyNumberFormat="1" applyFont="1" applyFill="1" applyBorder="1" applyAlignment="1" applyProtection="1">
      <alignment vertical="center" wrapText="1"/>
    </xf>
    <xf numFmtId="0" fontId="75" fillId="0" borderId="67" xfId="0" applyNumberFormat="1" applyFont="1" applyFill="1" applyBorder="1" applyAlignment="1" applyProtection="1">
      <alignment horizontal="center" vertical="center" wrapText="1"/>
      <protection locked="0"/>
    </xf>
    <xf numFmtId="0" fontId="75" fillId="0" borderId="55" xfId="0" applyNumberFormat="1" applyFont="1" applyFill="1" applyBorder="1" applyAlignment="1" applyProtection="1">
      <alignment horizontal="center" vertical="center" wrapText="1"/>
      <protection locked="0"/>
    </xf>
    <xf numFmtId="0" fontId="75" fillId="0" borderId="6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vertical="center" wrapText="1"/>
    </xf>
    <xf numFmtId="0" fontId="75" fillId="5" borderId="20" xfId="0" applyNumberFormat="1" applyFont="1" applyFill="1" applyBorder="1" applyAlignment="1" applyProtection="1">
      <alignment horizontal="center" vertical="center" wrapText="1"/>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0" borderId="51"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vertical="center" wrapText="1"/>
    </xf>
    <xf numFmtId="0" fontId="75" fillId="5" borderId="27" xfId="0" applyNumberFormat="1" applyFont="1" applyFill="1" applyBorder="1" applyAlignment="1" applyProtection="1">
      <alignment horizontal="center" vertical="center" wrapText="1"/>
    </xf>
    <xf numFmtId="0" fontId="109" fillId="0" borderId="6" xfId="0" applyNumberFormat="1" applyFont="1" applyFill="1" applyBorder="1" applyAlignment="1" applyProtection="1">
      <alignment horizontal="center" vertical="center" wrapText="1"/>
      <protection locked="0"/>
    </xf>
    <xf numFmtId="0" fontId="109" fillId="0" borderId="6" xfId="0" applyNumberFormat="1" applyFont="1" applyFill="1" applyBorder="1" applyAlignment="1" applyProtection="1">
      <alignment horizontal="left" vertical="center" wrapText="1"/>
      <protection locked="0"/>
    </xf>
    <xf numFmtId="0" fontId="109" fillId="0" borderId="7"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wrapText="1"/>
    </xf>
    <xf numFmtId="0" fontId="84" fillId="5" borderId="70"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protection locked="0"/>
    </xf>
    <xf numFmtId="0" fontId="88" fillId="0" borderId="72" xfId="0" applyNumberFormat="1" applyFont="1" applyFill="1" applyBorder="1" applyAlignment="1" applyProtection="1">
      <alignment horizontal="center" vertical="center" wrapText="1"/>
      <protection locked="0"/>
    </xf>
    <xf numFmtId="0" fontId="75" fillId="5" borderId="73" xfId="0" applyNumberFormat="1" applyFont="1" applyFill="1" applyBorder="1" applyAlignment="1" applyProtection="1">
      <alignment horizontal="center" vertical="center" wrapText="1"/>
    </xf>
    <xf numFmtId="0" fontId="88"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left" vertical="center" wrapText="1"/>
    </xf>
    <xf numFmtId="0" fontId="109" fillId="5" borderId="75" xfId="0" applyNumberFormat="1" applyFont="1" applyFill="1" applyBorder="1" applyAlignment="1" applyProtection="1">
      <alignment horizontal="center" vertical="center" wrapText="1"/>
    </xf>
    <xf numFmtId="0" fontId="75" fillId="5" borderId="70" xfId="0" applyNumberFormat="1" applyFont="1" applyFill="1" applyBorder="1" applyAlignment="1" applyProtection="1">
      <alignment horizontal="center" vertical="center" wrapText="1"/>
    </xf>
    <xf numFmtId="0" fontId="88" fillId="5" borderId="71" xfId="0" applyNumberFormat="1" applyFont="1" applyFill="1" applyBorder="1" applyAlignment="1" applyProtection="1">
      <alignment horizontal="center" vertical="center" wrapText="1"/>
    </xf>
    <xf numFmtId="0" fontId="88" fillId="5" borderId="72" xfId="0" applyNumberFormat="1" applyFont="1" applyFill="1" applyBorder="1" applyAlignment="1" applyProtection="1">
      <alignment horizontal="center" vertical="center" wrapText="1"/>
    </xf>
    <xf numFmtId="0" fontId="75" fillId="5" borderId="3" xfId="0" applyNumberFormat="1" applyFont="1" applyFill="1" applyBorder="1" applyAlignment="1" applyProtection="1">
      <alignment horizontal="center" vertical="center" wrapText="1"/>
    </xf>
    <xf numFmtId="0" fontId="88" fillId="5" borderId="21"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2" xfId="0" applyNumberFormat="1" applyFont="1" applyFill="1" applyBorder="1" applyAlignment="1" applyProtection="1">
      <alignment horizontal="left" vertical="center" wrapText="1"/>
      <protection locked="0"/>
    </xf>
    <xf numFmtId="0" fontId="109" fillId="0" borderId="12"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wrapText="1"/>
    </xf>
    <xf numFmtId="0" fontId="75"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left" vertical="center" wrapText="1"/>
      <protection locked="0"/>
    </xf>
    <xf numFmtId="0" fontId="84" fillId="0" borderId="51"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vertical="center" wrapText="1"/>
    </xf>
    <xf numFmtId="0" fontId="75" fillId="5" borderId="55"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5" fillId="5" borderId="6" xfId="0" applyNumberFormat="1" applyFont="1" applyFill="1" applyBorder="1" applyAlignment="1" applyProtection="1">
      <alignment horizontal="center" vertical="center" wrapText="1"/>
    </xf>
    <xf numFmtId="0" fontId="88"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left" vertical="center" wrapText="1"/>
    </xf>
    <xf numFmtId="0" fontId="109" fillId="5" borderId="7" xfId="0" applyNumberFormat="1" applyFont="1" applyFill="1" applyBorder="1" applyAlignment="1" applyProtection="1">
      <alignment horizontal="center" vertical="center" wrapText="1"/>
    </xf>
    <xf numFmtId="0" fontId="75" fillId="5" borderId="74" xfId="0" applyNumberFormat="1" applyFont="1" applyFill="1" applyBorder="1" applyAlignment="1" applyProtection="1">
      <alignment horizontal="center" vertical="center" wrapText="1"/>
    </xf>
    <xf numFmtId="0" fontId="79" fillId="5" borderId="24" xfId="0" applyNumberFormat="1" applyFont="1" applyFill="1" applyBorder="1" applyAlignment="1" applyProtection="1">
      <alignment vertical="center" wrapText="1"/>
    </xf>
    <xf numFmtId="0" fontId="75" fillId="5" borderId="74" xfId="0" applyNumberFormat="1" applyFont="1" applyFill="1" applyBorder="1" applyAlignment="1" applyProtection="1">
      <alignment horizontal="left" vertical="center" wrapText="1"/>
    </xf>
    <xf numFmtId="0" fontId="75" fillId="5" borderId="75" xfId="0" applyNumberFormat="1" applyFont="1" applyFill="1" applyBorder="1" applyAlignment="1" applyProtection="1">
      <alignment horizontal="center" vertical="center" wrapText="1"/>
    </xf>
    <xf numFmtId="0" fontId="75" fillId="5" borderId="71"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left" vertical="center" wrapText="1"/>
    </xf>
    <xf numFmtId="0" fontId="84"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left" vertical="center" wrapText="1"/>
      <protection locked="0"/>
    </xf>
    <xf numFmtId="0" fontId="109" fillId="0" borderId="75" xfId="0" applyNumberFormat="1" applyFont="1" applyFill="1" applyBorder="1" applyAlignment="1" applyProtection="1">
      <alignment horizontal="center" vertical="center" wrapText="1"/>
      <protection locked="0"/>
    </xf>
    <xf numFmtId="0" fontId="88"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left" vertical="center" wrapText="1"/>
      <protection locked="0"/>
    </xf>
    <xf numFmtId="0" fontId="109" fillId="0" borderId="51" xfId="0" applyNumberFormat="1" applyFont="1" applyFill="1" applyBorder="1" applyAlignment="1" applyProtection="1">
      <alignment horizontal="center" vertical="center" wrapText="1"/>
      <protection locked="0"/>
    </xf>
    <xf numFmtId="0" fontId="88" fillId="0" borderId="44" xfId="0" applyNumberFormat="1" applyFont="1" applyFill="1" applyBorder="1" applyAlignment="1" applyProtection="1">
      <alignment horizontal="center" vertical="center" wrapText="1"/>
      <protection locked="0"/>
    </xf>
    <xf numFmtId="0" fontId="88" fillId="0" borderId="46"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textRotation="255" wrapText="1"/>
    </xf>
    <xf numFmtId="0" fontId="75" fillId="5" borderId="13"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0" borderId="12"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textRotation="255" wrapText="1"/>
    </xf>
    <xf numFmtId="0" fontId="84" fillId="5" borderId="55" xfId="0" applyNumberFormat="1" applyFont="1" applyFill="1" applyBorder="1" applyAlignment="1" applyProtection="1">
      <alignment horizontal="center" vertical="center" wrapText="1"/>
    </xf>
    <xf numFmtId="0" fontId="115" fillId="5" borderId="14" xfId="0" applyFont="1" applyFill="1" applyBorder="1" applyAlignment="1" applyProtection="1">
      <alignment vertical="center"/>
    </xf>
    <xf numFmtId="0" fontId="116" fillId="5" borderId="0" xfId="0" applyFont="1" applyFill="1" applyAlignment="1" applyProtection="1">
      <alignment horizontal="center" vertical="center"/>
    </xf>
    <xf numFmtId="188" fontId="115" fillId="5" borderId="14"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horizontal="center" vertical="center" wrapText="1"/>
    </xf>
    <xf numFmtId="0" fontId="88" fillId="0" borderId="47" xfId="0" applyNumberFormat="1" applyFont="1" applyFill="1" applyBorder="1" applyAlignment="1" applyProtection="1">
      <alignment horizontal="center" vertical="center" wrapText="1"/>
      <protection locked="0"/>
    </xf>
    <xf numFmtId="0" fontId="101" fillId="5" borderId="30" xfId="2" applyFont="1" applyFill="1" applyBorder="1" applyAlignment="1" applyProtection="1">
      <alignment vertical="center"/>
    </xf>
    <xf numFmtId="0" fontId="99" fillId="5" borderId="1" xfId="2" applyFont="1" applyFill="1" applyBorder="1" applyAlignment="1" applyProtection="1">
      <alignment horizontal="left" vertical="center"/>
    </xf>
    <xf numFmtId="0" fontId="99" fillId="5" borderId="29" xfId="2" applyFont="1" applyFill="1" applyBorder="1" applyAlignment="1" applyProtection="1">
      <alignment vertical="center"/>
    </xf>
    <xf numFmtId="178" fontId="99" fillId="5" borderId="6" xfId="2" applyNumberFormat="1" applyFont="1" applyFill="1" applyBorder="1" applyAlignment="1" applyProtection="1">
      <alignment horizontal="center" vertical="center"/>
    </xf>
    <xf numFmtId="0" fontId="99" fillId="5" borderId="6" xfId="2" applyFont="1" applyFill="1" applyBorder="1" applyAlignment="1" applyProtection="1">
      <alignment horizontal="center" vertical="center"/>
    </xf>
    <xf numFmtId="0" fontId="99" fillId="5" borderId="7" xfId="2" applyFont="1" applyFill="1" applyBorder="1" applyAlignment="1" applyProtection="1">
      <alignment horizontal="left" vertical="center"/>
    </xf>
    <xf numFmtId="0" fontId="99" fillId="5" borderId="5" xfId="2" applyFont="1" applyFill="1" applyBorder="1" applyAlignment="1" applyProtection="1">
      <alignment vertical="center"/>
    </xf>
    <xf numFmtId="178" fontId="99" fillId="5" borderId="2" xfId="2" applyNumberFormat="1" applyFont="1" applyFill="1" applyBorder="1" applyAlignment="1" applyProtection="1">
      <alignment horizontal="center" vertical="center"/>
    </xf>
    <xf numFmtId="0" fontId="99" fillId="5" borderId="2" xfId="2" applyFont="1" applyFill="1" applyBorder="1" applyAlignment="1" applyProtection="1">
      <alignment horizontal="center" vertical="center"/>
    </xf>
    <xf numFmtId="0" fontId="99" fillId="5" borderId="12" xfId="2" applyFont="1" applyFill="1" applyBorder="1" applyAlignment="1" applyProtection="1">
      <alignment horizontal="left" vertical="center"/>
    </xf>
    <xf numFmtId="0" fontId="90" fillId="5" borderId="5" xfId="2" applyFont="1" applyFill="1" applyBorder="1" applyAlignment="1" applyProtection="1">
      <alignment vertical="center"/>
    </xf>
    <xf numFmtId="178" fontId="90" fillId="5" borderId="2" xfId="2" applyNumberFormat="1" applyFont="1" applyFill="1" applyBorder="1" applyAlignment="1" applyProtection="1">
      <alignment horizontal="center" vertical="center"/>
    </xf>
    <xf numFmtId="178" fontId="90" fillId="5" borderId="2" xfId="2" applyNumberFormat="1"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117" fillId="5" borderId="5" xfId="2" applyFont="1" applyFill="1" applyBorder="1" applyAlignment="1" applyProtection="1">
      <alignment vertical="center"/>
    </xf>
    <xf numFmtId="178" fontId="117" fillId="5" borderId="2" xfId="2" applyNumberFormat="1" applyFont="1" applyFill="1" applyBorder="1" applyAlignment="1" applyProtection="1">
      <alignment horizontal="center" vertical="center"/>
    </xf>
    <xf numFmtId="178" fontId="117" fillId="5" borderId="2" xfId="2" applyNumberFormat="1" applyFont="1" applyFill="1" applyBorder="1" applyAlignment="1" applyProtection="1">
      <alignment vertical="center"/>
    </xf>
    <xf numFmtId="0" fontId="90" fillId="5" borderId="12" xfId="2" applyFont="1" applyFill="1" applyBorder="1" applyAlignment="1" applyProtection="1">
      <alignment vertical="center" wrapText="1"/>
    </xf>
    <xf numFmtId="180" fontId="99" fillId="5" borderId="2" xfId="2" applyNumberFormat="1" applyFont="1" applyFill="1" applyBorder="1" applyAlignment="1" applyProtection="1">
      <alignment horizontal="center" vertical="center"/>
    </xf>
    <xf numFmtId="9" fontId="99" fillId="5" borderId="5" xfId="2" applyNumberFormat="1" applyFont="1" applyFill="1" applyBorder="1" applyAlignment="1" applyProtection="1">
      <alignment horizontal="center" vertical="center"/>
    </xf>
    <xf numFmtId="0" fontId="99" fillId="5" borderId="2" xfId="0" applyFont="1" applyFill="1" applyBorder="1" applyAlignment="1" applyProtection="1">
      <alignment horizontal="right" vertical="center"/>
    </xf>
    <xf numFmtId="0" fontId="99" fillId="5" borderId="2" xfId="0" applyFont="1" applyFill="1" applyBorder="1" applyAlignment="1" applyProtection="1">
      <alignment horizontal="left" vertical="center"/>
    </xf>
    <xf numFmtId="10" fontId="99" fillId="5" borderId="5" xfId="2" applyNumberFormat="1" applyFont="1" applyFill="1" applyBorder="1" applyAlignment="1" applyProtection="1">
      <alignment horizontal="center" vertical="center"/>
    </xf>
    <xf numFmtId="0" fontId="99" fillId="5" borderId="12" xfId="0" applyFont="1" applyFill="1" applyBorder="1" applyAlignment="1" applyProtection="1">
      <alignment vertical="center" wrapText="1"/>
    </xf>
    <xf numFmtId="0" fontId="99" fillId="5" borderId="5" xfId="2" applyNumberFormat="1" applyFont="1" applyFill="1" applyBorder="1" applyAlignment="1" applyProtection="1">
      <alignment horizontal="center" vertical="center"/>
    </xf>
    <xf numFmtId="0" fontId="99" fillId="5" borderId="45" xfId="2" applyFont="1" applyFill="1" applyBorder="1" applyAlignment="1" applyProtection="1">
      <alignment vertical="center"/>
    </xf>
    <xf numFmtId="178" fontId="99" fillId="5" borderId="44" xfId="2" applyNumberFormat="1" applyFont="1" applyFill="1" applyBorder="1" applyAlignment="1" applyProtection="1">
      <alignment horizontal="center" vertical="center"/>
    </xf>
    <xf numFmtId="180" fontId="99" fillId="5" borderId="44" xfId="2" applyNumberFormat="1" applyFont="1" applyFill="1" applyBorder="1" applyAlignment="1" applyProtection="1">
      <alignment horizontal="center" vertical="center"/>
    </xf>
    <xf numFmtId="9" fontId="99" fillId="5" borderId="45" xfId="2" applyNumberFormat="1" applyFont="1" applyFill="1" applyBorder="1" applyAlignment="1" applyProtection="1">
      <alignment horizontal="center" vertical="center"/>
    </xf>
    <xf numFmtId="0" fontId="99" fillId="5" borderId="46" xfId="0" applyFont="1" applyFill="1" applyBorder="1" applyAlignment="1" applyProtection="1">
      <alignment vertical="center" wrapText="1"/>
    </xf>
    <xf numFmtId="49" fontId="106" fillId="5" borderId="19" xfId="0" applyNumberFormat="1" applyFont="1" applyFill="1" applyBorder="1" applyAlignment="1" applyProtection="1"/>
    <xf numFmtId="49" fontId="105" fillId="2" borderId="35" xfId="0" applyNumberFormat="1" applyFont="1" applyFill="1" applyBorder="1" applyAlignment="1" applyProtection="1">
      <alignment horizontal="left"/>
      <protection locked="0"/>
    </xf>
    <xf numFmtId="178" fontId="105" fillId="5" borderId="19" xfId="0" applyNumberFormat="1" applyFont="1" applyFill="1" applyBorder="1" applyAlignment="1" applyProtection="1"/>
    <xf numFmtId="0" fontId="74" fillId="5" borderId="2" xfId="0" applyFont="1" applyFill="1" applyBorder="1" applyAlignment="1" applyProtection="1">
      <alignment horizontal="center" vertical="center"/>
    </xf>
    <xf numFmtId="49" fontId="105" fillId="5" borderId="0" xfId="0" applyNumberFormat="1" applyFont="1" applyFill="1" applyBorder="1" applyAlignment="1" applyProtection="1">
      <alignment horizontal="center"/>
    </xf>
    <xf numFmtId="49" fontId="80" fillId="5" borderId="1"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29" xfId="0" applyFont="1" applyFill="1" applyBorder="1" applyAlignment="1" applyProtection="1">
      <alignment horizontal="right" vertical="center"/>
    </xf>
    <xf numFmtId="0" fontId="80" fillId="5" borderId="57" xfId="0" applyFont="1" applyFill="1" applyBorder="1" applyAlignment="1" applyProtection="1">
      <alignment horizontal="center" vertical="center"/>
    </xf>
    <xf numFmtId="49" fontId="89" fillId="5" borderId="22" xfId="0" applyNumberFormat="1" applyFont="1" applyFill="1" applyBorder="1" applyAlignment="1" applyProtection="1">
      <alignment vertical="center"/>
    </xf>
    <xf numFmtId="0" fontId="89" fillId="5" borderId="10" xfId="0" applyFont="1" applyFill="1" applyBorder="1" applyAlignment="1" applyProtection="1">
      <alignment vertical="center" wrapText="1"/>
    </xf>
    <xf numFmtId="0" fontId="89" fillId="5" borderId="10" xfId="0" applyFont="1" applyFill="1" applyBorder="1" applyAlignment="1" applyProtection="1">
      <alignment horizontal="center" vertical="center"/>
    </xf>
    <xf numFmtId="0" fontId="80" fillId="5" borderId="2" xfId="0" applyFont="1" applyFill="1" applyBorder="1" applyAlignment="1" applyProtection="1">
      <alignment horizontal="left" vertical="center"/>
    </xf>
    <xf numFmtId="0" fontId="89" fillId="5" borderId="12" xfId="0" applyFont="1" applyFill="1" applyBorder="1" applyAlignment="1" applyProtection="1">
      <alignment horizontal="center" vertical="center"/>
    </xf>
    <xf numFmtId="49" fontId="89" fillId="5" borderId="24" xfId="0" applyNumberFormat="1" applyFont="1" applyFill="1" applyBorder="1" applyAlignment="1" applyProtection="1">
      <alignment vertical="center"/>
    </xf>
    <xf numFmtId="0" fontId="89" fillId="5" borderId="3" xfId="0" applyFont="1" applyFill="1" applyBorder="1" applyAlignment="1" applyProtection="1">
      <alignment vertical="center" wrapText="1"/>
    </xf>
    <xf numFmtId="0" fontId="89" fillId="5" borderId="3" xfId="0" applyFont="1" applyFill="1" applyBorder="1" applyAlignment="1" applyProtection="1">
      <alignment horizontal="center" vertical="center"/>
    </xf>
    <xf numFmtId="0" fontId="80" fillId="5" borderId="3" xfId="0" applyFont="1" applyFill="1" applyBorder="1" applyAlignment="1" applyProtection="1">
      <alignment vertical="center"/>
    </xf>
    <xf numFmtId="49" fontId="89" fillId="5" borderId="50" xfId="0" applyNumberFormat="1" applyFont="1" applyFill="1" applyBorder="1" applyAlignment="1" applyProtection="1">
      <alignment vertical="center"/>
    </xf>
    <xf numFmtId="0" fontId="89" fillId="5" borderId="21" xfId="0" applyFont="1" applyFill="1" applyBorder="1" applyAlignment="1" applyProtection="1">
      <alignment vertical="center" wrapText="1"/>
    </xf>
    <xf numFmtId="0" fontId="89" fillId="5" borderId="21" xfId="0" applyFont="1" applyFill="1" applyBorder="1" applyAlignment="1" applyProtection="1">
      <alignment horizontal="center" vertical="center"/>
    </xf>
    <xf numFmtId="0" fontId="80" fillId="5" borderId="21" xfId="0" applyFont="1" applyFill="1" applyBorder="1" applyAlignment="1" applyProtection="1">
      <alignment vertical="center"/>
    </xf>
    <xf numFmtId="182" fontId="89" fillId="5" borderId="12" xfId="0" applyNumberFormat="1" applyFont="1" applyFill="1" applyBorder="1" applyAlignment="1" applyProtection="1">
      <alignment horizontal="center" vertical="center"/>
    </xf>
    <xf numFmtId="0" fontId="80" fillId="5" borderId="10" xfId="0" applyFont="1" applyFill="1" applyBorder="1" applyAlignment="1" applyProtection="1">
      <alignment horizontal="left" vertical="center"/>
    </xf>
    <xf numFmtId="182" fontId="89" fillId="5" borderId="25" xfId="0" applyNumberFormat="1" applyFont="1" applyFill="1" applyBorder="1" applyAlignment="1" applyProtection="1">
      <alignment horizontal="center" vertical="center"/>
    </xf>
    <xf numFmtId="49" fontId="89" fillId="5" borderId="11" xfId="0" applyNumberFormat="1" applyFont="1" applyFill="1" applyBorder="1" applyAlignment="1" applyProtection="1">
      <alignment horizontal="left" vertical="center"/>
    </xf>
    <xf numFmtId="0" fontId="89" fillId="5" borderId="2" xfId="0" applyFont="1" applyFill="1" applyBorder="1" applyAlignment="1" applyProtection="1">
      <alignment horizontal="left" vertical="center"/>
    </xf>
    <xf numFmtId="0" fontId="89" fillId="5" borderId="2" xfId="0" applyFont="1" applyFill="1" applyBorder="1" applyAlignment="1" applyProtection="1">
      <alignment horizontal="center" vertical="center"/>
    </xf>
    <xf numFmtId="182" fontId="80" fillId="5" borderId="25" xfId="0" applyNumberFormat="1" applyFont="1" applyFill="1" applyBorder="1" applyAlignment="1" applyProtection="1">
      <alignment horizontal="center" vertical="center"/>
    </xf>
    <xf numFmtId="0" fontId="103" fillId="5" borderId="8" xfId="0" applyFont="1" applyFill="1" applyBorder="1" applyAlignment="1" applyProtection="1">
      <alignment vertical="center"/>
    </xf>
    <xf numFmtId="0" fontId="103" fillId="5" borderId="16" xfId="0" applyFont="1" applyFill="1" applyBorder="1" applyAlignment="1" applyProtection="1">
      <alignment vertical="center"/>
    </xf>
    <xf numFmtId="49" fontId="80" fillId="5" borderId="11" xfId="0" applyNumberFormat="1" applyFont="1" applyFill="1" applyBorder="1" applyAlignment="1" applyProtection="1">
      <alignment horizontal="left" vertical="center"/>
    </xf>
    <xf numFmtId="0" fontId="156" fillId="5" borderId="5" xfId="0" applyFont="1" applyFill="1" applyBorder="1" applyAlignment="1" applyProtection="1">
      <alignment horizontal="center" vertical="center"/>
    </xf>
    <xf numFmtId="180" fontId="89" fillId="5" borderId="16" xfId="0" applyNumberFormat="1" applyFont="1" applyFill="1" applyBorder="1" applyAlignment="1" applyProtection="1">
      <alignment horizontal="center" vertical="center"/>
    </xf>
    <xf numFmtId="0" fontId="80" fillId="5" borderId="21" xfId="0" applyFont="1" applyFill="1" applyBorder="1" applyAlignment="1" applyProtection="1">
      <alignment horizontal="left" vertical="center"/>
    </xf>
    <xf numFmtId="182" fontId="80" fillId="5" borderId="51" xfId="0" applyNumberFormat="1" applyFont="1" applyFill="1" applyBorder="1" applyAlignment="1" applyProtection="1">
      <alignment horizontal="center" vertical="center"/>
    </xf>
    <xf numFmtId="182" fontId="89" fillId="5" borderId="10" xfId="0" applyNumberFormat="1" applyFont="1" applyFill="1" applyBorder="1" applyAlignment="1" applyProtection="1">
      <alignment horizontal="center" vertical="center"/>
    </xf>
    <xf numFmtId="182" fontId="80" fillId="5" borderId="12" xfId="0" applyNumberFormat="1" applyFont="1" applyFill="1" applyBorder="1" applyAlignment="1" applyProtection="1">
      <alignment horizontal="center" vertical="center"/>
    </xf>
    <xf numFmtId="182" fontId="80" fillId="5" borderId="16"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49" fontId="80" fillId="5" borderId="22" xfId="0" applyNumberFormat="1" applyFont="1" applyFill="1" applyBorder="1" applyAlignment="1" applyProtection="1">
      <alignment vertical="center"/>
    </xf>
    <xf numFmtId="0" fontId="80" fillId="5" borderId="10" xfId="0" applyFont="1" applyFill="1" applyBorder="1" applyAlignment="1" applyProtection="1">
      <alignment horizontal="left" vertical="center" wrapText="1"/>
    </xf>
    <xf numFmtId="49" fontId="80" fillId="5" borderId="50" xfId="0" applyNumberFormat="1" applyFont="1" applyFill="1" applyBorder="1" applyAlignment="1" applyProtection="1">
      <alignment vertical="center"/>
    </xf>
    <xf numFmtId="0" fontId="80" fillId="5" borderId="21" xfId="0" applyFont="1" applyFill="1" applyBorder="1" applyAlignment="1" applyProtection="1">
      <alignment horizontal="left" vertical="center" wrapText="1"/>
    </xf>
    <xf numFmtId="10" fontId="89" fillId="5" borderId="12" xfId="0" applyNumberFormat="1" applyFont="1" applyFill="1" applyBorder="1" applyAlignment="1" applyProtection="1">
      <alignment horizontal="center" vertical="center"/>
    </xf>
    <xf numFmtId="183" fontId="89" fillId="5" borderId="12" xfId="0" applyNumberFormat="1" applyFont="1" applyFill="1" applyBorder="1" applyAlignment="1" applyProtection="1">
      <alignment horizontal="center" vertical="center"/>
    </xf>
    <xf numFmtId="10" fontId="80" fillId="5" borderId="12" xfId="0" applyNumberFormat="1" applyFont="1" applyFill="1" applyBorder="1" applyAlignment="1" applyProtection="1">
      <alignment horizontal="center" vertical="center"/>
    </xf>
    <xf numFmtId="0" fontId="80" fillId="5" borderId="16"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wrapText="1"/>
    </xf>
    <xf numFmtId="180" fontId="89" fillId="5" borderId="12" xfId="0" applyNumberFormat="1" applyFont="1" applyFill="1" applyBorder="1" applyAlignment="1" applyProtection="1">
      <alignment horizontal="center" vertical="center"/>
    </xf>
    <xf numFmtId="49" fontId="89" fillId="5" borderId="43" xfId="0" applyNumberFormat="1" applyFont="1" applyFill="1" applyBorder="1" applyAlignment="1" applyProtection="1">
      <alignment horizontal="left" vertical="center"/>
    </xf>
    <xf numFmtId="0" fontId="89" fillId="5" borderId="44" xfId="0" applyFont="1" applyFill="1" applyBorder="1" applyAlignment="1" applyProtection="1">
      <alignment horizontal="left" vertical="center"/>
    </xf>
    <xf numFmtId="0" fontId="89" fillId="5" borderId="44" xfId="0" applyFont="1" applyFill="1" applyBorder="1" applyAlignment="1" applyProtection="1">
      <alignment horizontal="center" vertical="center"/>
    </xf>
    <xf numFmtId="0" fontId="80" fillId="5" borderId="44" xfId="0" applyFont="1" applyFill="1" applyBorder="1" applyAlignment="1" applyProtection="1">
      <alignment vertical="center"/>
    </xf>
    <xf numFmtId="0" fontId="80" fillId="5" borderId="44" xfId="0" applyFont="1" applyFill="1" applyBorder="1" applyAlignment="1" applyProtection="1">
      <alignment horizontal="left" vertical="center"/>
    </xf>
    <xf numFmtId="180" fontId="89" fillId="5" borderId="46" xfId="0" applyNumberFormat="1" applyFont="1" applyFill="1" applyBorder="1" applyAlignment="1" applyProtection="1">
      <alignment horizontal="center" vertical="center"/>
    </xf>
    <xf numFmtId="0" fontId="89" fillId="5" borderId="9" xfId="0" applyFont="1" applyFill="1" applyBorder="1" applyAlignment="1" applyProtection="1">
      <alignment horizontal="center" vertical="center"/>
    </xf>
    <xf numFmtId="182" fontId="89" fillId="5" borderId="51" xfId="0" applyNumberFormat="1" applyFont="1" applyFill="1" applyBorder="1" applyAlignment="1" applyProtection="1">
      <alignment horizontal="center" vertical="center"/>
    </xf>
    <xf numFmtId="49" fontId="80" fillId="5" borderId="23" xfId="0" applyNumberFormat="1" applyFont="1" applyFill="1" applyBorder="1" applyAlignment="1" applyProtection="1">
      <alignment horizontal="left" vertical="center"/>
    </xf>
    <xf numFmtId="49" fontId="105" fillId="5" borderId="19" xfId="0" applyNumberFormat="1" applyFont="1" applyFill="1" applyBorder="1" applyAlignment="1" applyProtection="1"/>
    <xf numFmtId="0" fontId="101" fillId="5" borderId="44" xfId="2" applyFont="1" applyFill="1" applyBorder="1" applyAlignment="1" applyProtection="1">
      <alignment vertical="center"/>
    </xf>
    <xf numFmtId="0" fontId="74" fillId="5" borderId="44" xfId="0" applyFont="1" applyFill="1" applyBorder="1" applyAlignment="1" applyProtection="1">
      <alignment horizontal="center" vertical="center"/>
    </xf>
    <xf numFmtId="0" fontId="75" fillId="5" borderId="2" xfId="0" applyFont="1" applyFill="1" applyBorder="1" applyAlignment="1" applyProtection="1"/>
    <xf numFmtId="0" fontId="75" fillId="5" borderId="2" xfId="0" applyFont="1" applyFill="1" applyBorder="1" applyAlignment="1" applyProtection="1">
      <alignment horizontal="center"/>
    </xf>
    <xf numFmtId="0" fontId="90" fillId="5" borderId="2" xfId="0" applyFont="1" applyFill="1" applyBorder="1" applyAlignment="1" applyProtection="1">
      <alignment horizontal="left"/>
    </xf>
    <xf numFmtId="185" fontId="90" fillId="5" borderId="2" xfId="0" applyNumberFormat="1" applyFont="1" applyFill="1" applyBorder="1" applyAlignment="1" applyProtection="1">
      <alignment horizontal="center"/>
    </xf>
    <xf numFmtId="0" fontId="90" fillId="5" borderId="2" xfId="0" applyFont="1" applyFill="1" applyBorder="1" applyAlignment="1" applyProtection="1">
      <alignment vertical="center" wrapText="1"/>
    </xf>
    <xf numFmtId="182" fontId="89" fillId="5" borderId="2" xfId="0" applyNumberFormat="1" applyFont="1" applyFill="1" applyBorder="1" applyAlignment="1" applyProtection="1">
      <alignment horizontal="center" vertical="center"/>
    </xf>
    <xf numFmtId="0" fontId="161" fillId="5" borderId="2" xfId="0" applyFont="1" applyFill="1" applyBorder="1" applyAlignment="1" applyProtection="1">
      <alignment horizontal="left"/>
    </xf>
    <xf numFmtId="0" fontId="161" fillId="5" borderId="2" xfId="0" applyFont="1" applyFill="1" applyBorder="1" applyAlignment="1" applyProtection="1">
      <alignment horizontal="center"/>
    </xf>
    <xf numFmtId="0" fontId="121" fillId="5" borderId="2" xfId="0" applyFont="1" applyFill="1" applyBorder="1" applyAlignment="1" applyProtection="1">
      <alignment horizontal="left"/>
    </xf>
    <xf numFmtId="0" fontId="121" fillId="5" borderId="2" xfId="0" applyFont="1" applyFill="1" applyBorder="1" applyAlignment="1" applyProtection="1">
      <alignment horizontal="center"/>
    </xf>
    <xf numFmtId="182" fontId="90" fillId="5" borderId="2" xfId="0" applyNumberFormat="1" applyFont="1" applyFill="1" applyBorder="1" applyAlignment="1" applyProtection="1">
      <alignment horizontal="center"/>
    </xf>
    <xf numFmtId="0" fontId="110" fillId="5" borderId="2" xfId="0" applyFont="1" applyFill="1" applyBorder="1" applyAlignment="1" applyProtection="1">
      <alignment horizontal="center" vertical="center"/>
    </xf>
    <xf numFmtId="0" fontId="80" fillId="5" borderId="2" xfId="0" applyFont="1" applyFill="1" applyBorder="1" applyAlignment="1" applyProtection="1"/>
    <xf numFmtId="182" fontId="80" fillId="5" borderId="2" xfId="0" applyNumberFormat="1" applyFont="1" applyFill="1" applyBorder="1" applyAlignment="1" applyProtection="1">
      <alignment horizontal="center"/>
    </xf>
    <xf numFmtId="0" fontId="105" fillId="2" borderId="14" xfId="0" applyFont="1" applyFill="1" applyBorder="1" applyAlignment="1" applyProtection="1">
      <alignment vertical="center"/>
      <protection locked="0"/>
    </xf>
    <xf numFmtId="0" fontId="101" fillId="5" borderId="2" xfId="0" applyFont="1" applyFill="1" applyBorder="1" applyAlignment="1" applyProtection="1">
      <alignment horizontal="right" vertical="center"/>
    </xf>
    <xf numFmtId="0" fontId="101" fillId="5" borderId="10" xfId="0" applyFont="1" applyFill="1" applyBorder="1" applyAlignment="1" applyProtection="1">
      <alignment horizontal="right" vertical="center"/>
    </xf>
    <xf numFmtId="0" fontId="101" fillId="5" borderId="10" xfId="0" applyFont="1" applyFill="1" applyBorder="1" applyAlignment="1" applyProtection="1">
      <alignment horizontal="center" vertical="center"/>
    </xf>
    <xf numFmtId="188" fontId="75" fillId="5" borderId="57" xfId="0" applyNumberFormat="1" applyFont="1" applyFill="1" applyBorder="1" applyAlignment="1" applyProtection="1">
      <alignment horizontal="center" vertical="center" wrapText="1"/>
    </xf>
    <xf numFmtId="188" fontId="75" fillId="5" borderId="16"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49" fontId="75" fillId="2" borderId="62"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49" fontId="75" fillId="2" borderId="42" xfId="0" applyNumberFormat="1" applyFont="1" applyFill="1" applyBorder="1" applyAlignment="1" applyProtection="1">
      <alignment horizontal="center" vertical="center" wrapText="1"/>
      <protection locked="0"/>
    </xf>
    <xf numFmtId="0" fontId="75" fillId="5" borderId="29" xfId="0" applyNumberFormat="1" applyFont="1" applyFill="1" applyBorder="1" applyAlignment="1" applyProtection="1">
      <alignment horizontal="center" vertical="center" wrapText="1"/>
    </xf>
    <xf numFmtId="49" fontId="75" fillId="2" borderId="1" xfId="0" applyNumberFormat="1" applyFont="1" applyFill="1" applyBorder="1" applyAlignment="1" applyProtection="1">
      <alignment horizontal="center" vertical="center" wrapText="1"/>
      <protection locked="0"/>
    </xf>
    <xf numFmtId="49" fontId="75" fillId="2" borderId="11" xfId="0" applyNumberFormat="1" applyFont="1" applyFill="1" applyBorder="1" applyAlignment="1" applyProtection="1">
      <alignment horizontal="center" vertical="center" wrapText="1"/>
      <protection locked="0"/>
    </xf>
    <xf numFmtId="49" fontId="75" fillId="2" borderId="9" xfId="0" applyNumberFormat="1"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horizontal="center" vertical="center" wrapText="1"/>
    </xf>
    <xf numFmtId="0" fontId="110" fillId="0" borderId="16" xfId="0" applyNumberFormat="1" applyFont="1" applyFill="1" applyBorder="1" applyAlignment="1" applyProtection="1">
      <alignment horizontal="center" vertical="center" wrapText="1"/>
      <protection locked="0"/>
    </xf>
    <xf numFmtId="0" fontId="110" fillId="5" borderId="16" xfId="0" applyNumberFormat="1" applyFont="1" applyFill="1" applyBorder="1" applyAlignment="1" applyProtection="1">
      <alignment horizontal="center" vertical="center" wrapText="1"/>
    </xf>
    <xf numFmtId="0" fontId="88" fillId="5" borderId="45" xfId="0" applyNumberFormat="1" applyFont="1" applyFill="1" applyBorder="1" applyAlignment="1" applyProtection="1">
      <alignment horizontal="center" vertical="center" wrapText="1"/>
    </xf>
    <xf numFmtId="49" fontId="88" fillId="5" borderId="53" xfId="0" applyNumberFormat="1" applyFont="1" applyFill="1" applyBorder="1" applyAlignment="1" applyProtection="1">
      <alignment horizontal="center" vertical="center" wrapText="1"/>
    </xf>
    <xf numFmtId="0" fontId="110" fillId="0" borderId="76"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xf>
    <xf numFmtId="0" fontId="110" fillId="5" borderId="77" xfId="0" applyNumberFormat="1" applyFont="1" applyFill="1" applyBorder="1" applyAlignment="1" applyProtection="1">
      <alignment horizontal="center" vertical="center" wrapText="1"/>
    </xf>
    <xf numFmtId="0" fontId="75" fillId="5" borderId="4" xfId="0" applyFont="1" applyFill="1" applyBorder="1" applyAlignment="1" applyProtection="1">
      <alignment horizontal="center" vertical="center" wrapText="1"/>
    </xf>
    <xf numFmtId="0" fontId="88" fillId="5" borderId="22" xfId="0" applyNumberFormat="1" applyFont="1" applyFill="1" applyBorder="1" applyAlignment="1" applyProtection="1">
      <alignment horizontal="center" vertical="center" wrapText="1"/>
    </xf>
    <xf numFmtId="0" fontId="88" fillId="2" borderId="24" xfId="0" applyNumberFormat="1" applyFont="1" applyFill="1" applyBorder="1" applyAlignment="1" applyProtection="1">
      <alignment horizontal="center" vertical="center" wrapText="1"/>
      <protection locked="0"/>
    </xf>
    <xf numFmtId="49" fontId="88" fillId="2" borderId="9" xfId="0" applyNumberFormat="1" applyFont="1" applyFill="1" applyBorder="1" applyAlignment="1" applyProtection="1">
      <alignment horizontal="center" vertical="center" wrapText="1"/>
      <protection locked="0"/>
    </xf>
    <xf numFmtId="0" fontId="75" fillId="5" borderId="51" xfId="0" applyNumberFormat="1" applyFont="1" applyFill="1" applyBorder="1" applyAlignment="1" applyProtection="1">
      <alignment horizontal="center" vertical="center" wrapText="1"/>
    </xf>
    <xf numFmtId="0" fontId="75" fillId="5" borderId="17" xfId="0" applyNumberFormat="1" applyFont="1" applyFill="1" applyBorder="1" applyAlignment="1" applyProtection="1">
      <alignment horizontal="center" vertical="center" wrapText="1"/>
    </xf>
    <xf numFmtId="0" fontId="75" fillId="0" borderId="5" xfId="0"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wrapText="1"/>
      <protection locked="0"/>
    </xf>
    <xf numFmtId="0" fontId="88" fillId="2" borderId="42" xfId="0"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88" fillId="2" borderId="11" xfId="0" applyFont="1" applyFill="1" applyBorder="1" applyAlignment="1" applyProtection="1">
      <alignment horizontal="center" vertical="center" wrapText="1"/>
      <protection locked="0"/>
    </xf>
    <xf numFmtId="0" fontId="88" fillId="2" borderId="9" xfId="0" applyFont="1" applyFill="1" applyBorder="1" applyAlignment="1" applyProtection="1">
      <alignment horizontal="center" vertical="center" wrapText="1"/>
      <protection locked="0"/>
    </xf>
    <xf numFmtId="9" fontId="75" fillId="0" borderId="64" xfId="0" applyNumberFormat="1" applyFont="1" applyFill="1" applyBorder="1" applyAlignment="1" applyProtection="1">
      <alignment horizontal="center" vertical="center" wrapText="1"/>
      <protection locked="0"/>
    </xf>
    <xf numFmtId="9" fontId="75" fillId="0" borderId="9" xfId="0" applyNumberFormat="1" applyFont="1" applyFill="1" applyBorder="1" applyAlignment="1" applyProtection="1">
      <alignment horizontal="center" vertical="center" wrapText="1"/>
      <protection locked="0"/>
    </xf>
    <xf numFmtId="9" fontId="75"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textRotation="255" wrapText="1"/>
    </xf>
    <xf numFmtId="49" fontId="87" fillId="5" borderId="30" xfId="0" applyNumberFormat="1" applyFont="1" applyFill="1" applyBorder="1" applyAlignment="1" applyProtection="1">
      <alignment vertical="center"/>
    </xf>
    <xf numFmtId="49" fontId="87" fillId="5" borderId="56" xfId="0" applyNumberFormat="1" applyFont="1" applyFill="1" applyBorder="1" applyAlignment="1" applyProtection="1">
      <alignment vertical="center"/>
    </xf>
    <xf numFmtId="0" fontId="75" fillId="0" borderId="32" xfId="0" applyNumberFormat="1" applyFont="1" applyFill="1" applyBorder="1" applyAlignment="1" applyProtection="1">
      <alignment horizontal="center" vertical="center" wrapText="1"/>
      <protection locked="0"/>
    </xf>
    <xf numFmtId="0" fontId="75" fillId="0" borderId="74" xfId="0" applyNumberFormat="1" applyFont="1" applyFill="1" applyBorder="1" applyAlignment="1" applyProtection="1">
      <alignment horizontal="left" vertical="center" wrapText="1"/>
      <protection locked="0"/>
    </xf>
    <xf numFmtId="0" fontId="75" fillId="0" borderId="7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protection locked="0"/>
    </xf>
    <xf numFmtId="0" fontId="87" fillId="5" borderId="23" xfId="0" applyNumberFormat="1" applyFont="1" applyFill="1" applyBorder="1" applyAlignment="1" applyProtection="1">
      <alignment vertical="center" wrapText="1"/>
    </xf>
    <xf numFmtId="0" fontId="75"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left" vertical="center" wrapText="1"/>
    </xf>
    <xf numFmtId="0" fontId="84" fillId="5" borderId="12" xfId="0" applyNumberFormat="1" applyFont="1" applyFill="1" applyBorder="1" applyAlignment="1" applyProtection="1">
      <alignment horizontal="center" vertical="center" wrapText="1"/>
    </xf>
    <xf numFmtId="0" fontId="110" fillId="0" borderId="22" xfId="0" applyNumberFormat="1" applyFont="1" applyFill="1" applyBorder="1" applyAlignment="1" applyProtection="1">
      <alignment horizontal="center" vertical="center" wrapText="1"/>
      <protection locked="0"/>
    </xf>
    <xf numFmtId="0" fontId="110" fillId="5" borderId="50" xfId="0" applyNumberFormat="1" applyFont="1" applyFill="1" applyBorder="1" applyAlignment="1" applyProtection="1">
      <alignment horizontal="center" vertical="center" wrapText="1"/>
    </xf>
    <xf numFmtId="49" fontId="88" fillId="5" borderId="22"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horizontal="center" vertical="center" wrapText="1"/>
      <protection locked="0"/>
    </xf>
    <xf numFmtId="17" fontId="84" fillId="0" borderId="64"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left" vertical="center" wrapText="1"/>
      <protection locked="0"/>
    </xf>
    <xf numFmtId="0" fontId="109" fillId="0" borderId="52" xfId="0" applyNumberFormat="1" applyFont="1" applyFill="1" applyBorder="1" applyAlignment="1" applyProtection="1">
      <alignment horizontal="center" vertical="center" wrapText="1"/>
      <protection locked="0"/>
    </xf>
    <xf numFmtId="0" fontId="153" fillId="0" borderId="74" xfId="0" applyNumberFormat="1" applyFont="1" applyFill="1" applyBorder="1" applyAlignment="1" applyProtection="1">
      <alignment horizontal="center" vertical="center" wrapText="1"/>
      <protection locked="0"/>
    </xf>
    <xf numFmtId="0" fontId="75" fillId="0" borderId="20"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75" fillId="2" borderId="20" xfId="0" applyNumberFormat="1"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88" fillId="0" borderId="56" xfId="0" applyNumberFormat="1" applyFont="1" applyFill="1" applyBorder="1" applyAlignment="1" applyProtection="1">
      <alignment horizontal="center" vertical="center" wrapText="1"/>
      <protection locked="0"/>
    </xf>
    <xf numFmtId="0" fontId="88" fillId="2" borderId="1" xfId="0" applyNumberFormat="1" applyFont="1" applyFill="1" applyBorder="1" applyAlignment="1" applyProtection="1">
      <alignment horizontal="center" vertical="center" wrapText="1"/>
      <protection locked="0"/>
    </xf>
    <xf numFmtId="0" fontId="88" fillId="5" borderId="73"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left" vertical="center" wrapText="1"/>
      <protection locked="0"/>
    </xf>
    <xf numFmtId="0" fontId="88" fillId="0" borderId="75"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105" fillId="2" borderId="14" xfId="0" applyFont="1" applyFill="1" applyBorder="1" applyAlignment="1" applyProtection="1">
      <alignment horizontal="right" vertical="center"/>
      <protection locked="0"/>
    </xf>
    <xf numFmtId="0" fontId="88" fillId="5" borderId="52" xfId="0" applyFont="1" applyFill="1" applyBorder="1" applyAlignment="1" applyProtection="1">
      <alignment horizontal="center" vertical="center"/>
    </xf>
    <xf numFmtId="0" fontId="75" fillId="0" borderId="25" xfId="0" applyFont="1" applyFill="1" applyBorder="1" applyAlignment="1" applyProtection="1">
      <alignment horizontal="center" vertical="center" wrapText="1"/>
      <protection locked="0"/>
    </xf>
    <xf numFmtId="0" fontId="75" fillId="5" borderId="69" xfId="0" applyNumberFormat="1" applyFont="1" applyFill="1" applyBorder="1" applyAlignment="1" applyProtection="1">
      <alignment horizontal="center" vertical="center" wrapText="1"/>
    </xf>
    <xf numFmtId="0" fontId="75" fillId="5" borderId="68" xfId="0" applyNumberFormat="1" applyFont="1" applyFill="1" applyBorder="1" applyAlignment="1" applyProtection="1">
      <alignment horizontal="center" vertical="center" wrapText="1"/>
    </xf>
    <xf numFmtId="0" fontId="88" fillId="5" borderId="50" xfId="0" applyNumberFormat="1" applyFont="1" applyFill="1" applyBorder="1" applyAlignment="1" applyProtection="1">
      <alignment horizontal="center" vertical="center" wrapText="1"/>
    </xf>
    <xf numFmtId="0" fontId="104" fillId="5" borderId="31" xfId="0" applyFont="1" applyFill="1" applyBorder="1" applyAlignment="1" applyProtection="1">
      <alignment vertical="center" textRotation="255" wrapText="1"/>
    </xf>
    <xf numFmtId="49" fontId="75" fillId="0" borderId="64"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vertical="center" textRotation="255" wrapText="1"/>
    </xf>
    <xf numFmtId="0" fontId="75" fillId="2"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87" fillId="5" borderId="54" xfId="0" applyFont="1" applyFill="1" applyBorder="1" applyAlignment="1" applyProtection="1">
      <alignment vertical="center" textRotation="255" wrapText="1"/>
    </xf>
    <xf numFmtId="0" fontId="88" fillId="5" borderId="3" xfId="0" applyNumberFormat="1" applyFont="1" applyFill="1" applyBorder="1" applyAlignment="1" applyProtection="1">
      <alignment horizontal="center" vertical="center" wrapText="1"/>
    </xf>
    <xf numFmtId="49" fontId="88"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left" vertical="center" wrapText="1"/>
      <protection locked="0"/>
    </xf>
    <xf numFmtId="49" fontId="109" fillId="0" borderId="7" xfId="0" applyNumberFormat="1" applyFont="1" applyFill="1" applyBorder="1" applyAlignment="1" applyProtection="1">
      <alignment horizontal="center" vertical="center" wrapText="1"/>
      <protection locked="0"/>
    </xf>
    <xf numFmtId="0" fontId="88" fillId="0" borderId="81" xfId="0" applyNumberFormat="1" applyFont="1" applyFill="1" applyBorder="1" applyAlignment="1" applyProtection="1">
      <alignment horizontal="center" vertical="center" wrapText="1"/>
      <protection locked="0"/>
    </xf>
    <xf numFmtId="0" fontId="75" fillId="5" borderId="52"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wrapText="1"/>
    </xf>
    <xf numFmtId="0" fontId="88" fillId="5" borderId="29" xfId="0" applyNumberFormat="1" applyFont="1" applyFill="1" applyBorder="1" applyAlignment="1" applyProtection="1">
      <alignment horizontal="center" vertical="center" wrapText="1"/>
    </xf>
    <xf numFmtId="0" fontId="75" fillId="0" borderId="60" xfId="0" applyNumberFormat="1" applyFont="1" applyFill="1" applyBorder="1" applyAlignment="1" applyProtection="1">
      <alignment horizontal="center" vertical="center" wrapText="1"/>
      <protection locked="0"/>
    </xf>
    <xf numFmtId="0" fontId="109" fillId="5" borderId="3" xfId="0" applyNumberFormat="1" applyFont="1" applyFill="1" applyBorder="1" applyAlignment="1" applyProtection="1">
      <alignment horizontal="center" vertical="center" wrapText="1"/>
    </xf>
    <xf numFmtId="0" fontId="109" fillId="5" borderId="3" xfId="0" applyNumberFormat="1" applyFont="1" applyFill="1" applyBorder="1" applyAlignment="1" applyProtection="1">
      <alignment horizontal="left" vertical="center" wrapText="1"/>
    </xf>
    <xf numFmtId="0" fontId="109" fillId="5" borderId="52" xfId="0" applyNumberFormat="1" applyFont="1" applyFill="1" applyBorder="1" applyAlignment="1" applyProtection="1">
      <alignment horizontal="center" vertical="center" wrapText="1"/>
    </xf>
    <xf numFmtId="0" fontId="80" fillId="5" borderId="0" xfId="0" applyFont="1" applyFill="1" applyAlignment="1" applyProtection="1">
      <alignment horizontal="center" vertical="center"/>
    </xf>
    <xf numFmtId="0" fontId="80" fillId="5" borderId="26" xfId="0" applyNumberFormat="1"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80" fillId="5" borderId="39" xfId="0" applyNumberFormat="1" applyFont="1" applyFill="1" applyBorder="1" applyAlignment="1" applyProtection="1">
      <alignment horizontal="center" vertical="center" wrapText="1"/>
    </xf>
    <xf numFmtId="0" fontId="80" fillId="5" borderId="31" xfId="0" applyNumberFormat="1" applyFont="1" applyFill="1" applyBorder="1" applyAlignment="1" applyProtection="1">
      <alignment horizontal="center" vertical="center"/>
    </xf>
    <xf numFmtId="0" fontId="80" fillId="0" borderId="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15" xfId="0" applyNumberFormat="1" applyFont="1" applyFill="1" applyBorder="1" applyAlignment="1" applyProtection="1">
      <alignment horizontal="center" vertical="center" wrapText="1"/>
    </xf>
    <xf numFmtId="0" fontId="80" fillId="0" borderId="65" xfId="0" applyNumberFormat="1" applyFont="1" applyFill="1" applyBorder="1" applyAlignment="1" applyProtection="1">
      <alignment horizontal="center" vertical="center" wrapText="1"/>
      <protection locked="0"/>
    </xf>
    <xf numFmtId="0" fontId="74" fillId="5" borderId="2" xfId="0" applyFont="1" applyFill="1" applyBorder="1" applyProtection="1">
      <alignment vertical="center"/>
    </xf>
    <xf numFmtId="0" fontId="121" fillId="0" borderId="2" xfId="0" applyFont="1" applyFill="1" applyBorder="1" applyAlignment="1" applyProtection="1">
      <alignment horizontal="center" vertical="center"/>
      <protection locked="0"/>
    </xf>
    <xf numFmtId="0" fontId="121" fillId="5" borderId="2" xfId="0" applyFont="1" applyFill="1" applyBorder="1" applyAlignment="1" applyProtection="1">
      <alignment horizontal="center" vertical="center"/>
    </xf>
    <xf numFmtId="0" fontId="121" fillId="2" borderId="2" xfId="0" applyFont="1" applyFill="1" applyBorder="1" applyAlignment="1" applyProtection="1">
      <alignment horizontal="center" vertical="center"/>
      <protection locked="0"/>
    </xf>
    <xf numFmtId="0" fontId="121" fillId="0" borderId="2" xfId="0" applyNumberFormat="1" applyFont="1" applyBorder="1" applyAlignment="1" applyProtection="1">
      <alignment horizontal="center" vertical="center"/>
      <protection locked="0"/>
    </xf>
    <xf numFmtId="0" fontId="80" fillId="0" borderId="2" xfId="0" applyFont="1" applyBorder="1" applyProtection="1">
      <alignment vertical="center"/>
      <protection locked="0"/>
    </xf>
    <xf numFmtId="0" fontId="86" fillId="5" borderId="9" xfId="0" applyFont="1" applyFill="1" applyBorder="1" applyAlignment="1" applyProtection="1">
      <alignment horizontal="center" vertical="center" wrapText="1"/>
    </xf>
    <xf numFmtId="0" fontId="56" fillId="5" borderId="18" xfId="0" applyFont="1" applyFill="1" applyBorder="1" applyAlignment="1" applyProtection="1">
      <alignment horizontal="center" vertical="center" wrapText="1"/>
    </xf>
    <xf numFmtId="0" fontId="79" fillId="5" borderId="59" xfId="0" applyFont="1" applyFill="1" applyBorder="1" applyAlignment="1" applyProtection="1">
      <alignment horizontal="left" vertical="center"/>
    </xf>
    <xf numFmtId="0" fontId="75" fillId="5" borderId="57" xfId="0" applyFont="1" applyFill="1" applyBorder="1" applyAlignment="1" applyProtection="1">
      <alignment horizontal="left" vertical="center"/>
    </xf>
    <xf numFmtId="0" fontId="79" fillId="5" borderId="81" xfId="0" applyFont="1" applyFill="1" applyBorder="1" applyAlignment="1" applyProtection="1">
      <alignment horizontal="right" vertical="center"/>
    </xf>
    <xf numFmtId="180" fontId="79" fillId="2" borderId="12" xfId="0" applyNumberFormat="1" applyFont="1" applyFill="1" applyBorder="1" applyAlignment="1" applyProtection="1">
      <alignment horizontal="center" vertical="center"/>
      <protection locked="0"/>
    </xf>
    <xf numFmtId="0" fontId="75" fillId="5" borderId="11" xfId="0" applyFont="1" applyFill="1" applyBorder="1" applyAlignment="1" applyProtection="1">
      <alignment horizontal="center" vertical="center"/>
    </xf>
    <xf numFmtId="180" fontId="75"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vertical="center"/>
    </xf>
    <xf numFmtId="177" fontId="75" fillId="5" borderId="43" xfId="0" applyNumberFormat="1" applyFont="1" applyFill="1" applyBorder="1" applyAlignment="1" applyProtection="1">
      <alignment vertical="center"/>
    </xf>
    <xf numFmtId="177" fontId="75" fillId="5" borderId="69" xfId="0" applyNumberFormat="1" applyFont="1" applyFill="1" applyBorder="1" applyAlignment="1" applyProtection="1">
      <alignment vertical="center"/>
    </xf>
    <xf numFmtId="0" fontId="75" fillId="5" borderId="82" xfId="0" applyFont="1" applyFill="1" applyBorder="1" applyAlignment="1" applyProtection="1">
      <alignment horizontal="center" vertical="center"/>
    </xf>
    <xf numFmtId="0" fontId="90" fillId="0" borderId="51" xfId="2" applyNumberFormat="1" applyFont="1" applyFill="1" applyBorder="1" applyAlignment="1" applyProtection="1">
      <alignment horizontal="center" vertical="center"/>
      <protection locked="0"/>
    </xf>
    <xf numFmtId="0" fontId="75" fillId="5" borderId="22" xfId="0" applyFont="1" applyFill="1" applyBorder="1" applyAlignment="1" applyProtection="1">
      <alignment horizontal="left" vertical="center" wrapText="1"/>
    </xf>
    <xf numFmtId="0" fontId="80" fillId="6" borderId="37" xfId="0" applyFont="1" applyFill="1" applyBorder="1" applyProtection="1">
      <alignment vertical="center"/>
      <protection locked="0"/>
    </xf>
    <xf numFmtId="0" fontId="75" fillId="0" borderId="38" xfId="0" applyFont="1" applyFill="1" applyBorder="1" applyProtection="1">
      <alignment vertical="center"/>
      <protection locked="0"/>
    </xf>
    <xf numFmtId="0" fontId="79" fillId="0" borderId="44" xfId="0" applyFont="1" applyFill="1" applyBorder="1" applyAlignment="1" applyProtection="1">
      <alignment horizontal="center" vertical="center"/>
      <protection locked="0"/>
    </xf>
    <xf numFmtId="0" fontId="162" fillId="0" borderId="12" xfId="0" applyFont="1" applyFill="1" applyBorder="1" applyAlignment="1" applyProtection="1">
      <alignment vertical="center" wrapText="1"/>
      <protection locked="0"/>
    </xf>
    <xf numFmtId="0" fontId="162" fillId="0" borderId="46" xfId="0" applyFont="1" applyFill="1" applyBorder="1" applyAlignment="1" applyProtection="1">
      <alignment vertical="center" wrapText="1"/>
      <protection locked="0"/>
    </xf>
    <xf numFmtId="10" fontId="80"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0" fontId="80" fillId="5" borderId="5"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99" fillId="5" borderId="6"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xf>
    <xf numFmtId="0" fontId="80" fillId="5" borderId="9" xfId="0" applyFont="1" applyFill="1" applyBorder="1" applyAlignment="1" applyProtection="1">
      <alignment horizontal="center" vertical="center" wrapText="1"/>
    </xf>
    <xf numFmtId="0" fontId="80" fillId="5" borderId="25"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6" xfId="0" applyFont="1" applyFill="1" applyBorder="1" applyAlignment="1" applyProtection="1">
      <alignment horizontal="left"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0"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6" fillId="5" borderId="12" xfId="0" applyNumberFormat="1" applyFont="1" applyFill="1" applyBorder="1" applyAlignment="1" applyProtection="1">
      <alignment horizontal="center" vertical="center" wrapText="1"/>
    </xf>
    <xf numFmtId="0" fontId="164" fillId="5" borderId="0" xfId="0" applyFont="1" applyFill="1" applyAlignment="1" applyProtection="1">
      <alignment horizontal="center" vertical="center"/>
    </xf>
    <xf numFmtId="0" fontId="75" fillId="5" borderId="21" xfId="0" applyFont="1" applyFill="1" applyBorder="1" applyAlignment="1" applyProtection="1">
      <alignment horizontal="center" vertical="center" wrapText="1"/>
    </xf>
    <xf numFmtId="0" fontId="103" fillId="0" borderId="11" xfId="0" applyNumberFormat="1" applyFont="1" applyFill="1" applyBorder="1" applyAlignment="1" applyProtection="1">
      <alignment horizontal="center" vertical="center" wrapText="1"/>
      <protection locked="0"/>
    </xf>
    <xf numFmtId="180" fontId="51" fillId="0" borderId="19" xfId="5" applyNumberFormat="1" applyFont="1" applyBorder="1" applyAlignment="1" applyProtection="1">
      <alignment vertical="center"/>
    </xf>
    <xf numFmtId="0" fontId="51" fillId="0" borderId="19" xfId="5" applyNumberFormat="1" applyFont="1" applyBorder="1" applyAlignment="1" applyProtection="1">
      <alignment vertical="center"/>
    </xf>
    <xf numFmtId="0" fontId="149" fillId="0" borderId="0" xfId="5" applyNumberFormat="1" applyProtection="1">
      <alignment vertical="center"/>
    </xf>
    <xf numFmtId="18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wrapText="1"/>
    </xf>
    <xf numFmtId="0" fontId="44" fillId="5" borderId="3" xfId="5" applyNumberFormat="1" applyFont="1" applyFill="1" applyBorder="1" applyAlignment="1" applyProtection="1">
      <alignment horizontal="center" vertical="center"/>
    </xf>
    <xf numFmtId="0" fontId="90" fillId="5" borderId="3" xfId="5" applyNumberFormat="1" applyFont="1" applyFill="1" applyBorder="1" applyAlignment="1" applyProtection="1">
      <alignment horizontal="center" vertical="center" wrapText="1"/>
    </xf>
    <xf numFmtId="0" fontId="90" fillId="5" borderId="27" xfId="5" applyNumberFormat="1" applyFont="1" applyFill="1" applyBorder="1" applyAlignment="1" applyProtection="1">
      <alignment horizontal="center" vertical="center" wrapText="1"/>
    </xf>
    <xf numFmtId="0" fontId="162" fillId="5" borderId="28" xfId="5" applyNumberFormat="1" applyFont="1" applyFill="1" applyBorder="1" applyAlignment="1" applyProtection="1">
      <alignment horizontal="center" vertical="center" wrapText="1"/>
    </xf>
    <xf numFmtId="0" fontId="130" fillId="5" borderId="2" xfId="5" applyNumberFormat="1" applyFont="1" applyFill="1" applyBorder="1" applyAlignment="1" applyProtection="1">
      <alignment horizontal="center" vertical="center" wrapText="1"/>
    </xf>
    <xf numFmtId="0" fontId="165" fillId="5" borderId="2" xfId="5" applyNumberFormat="1" applyFont="1" applyFill="1" applyBorder="1" applyAlignment="1" applyProtection="1">
      <alignment horizontal="center" vertical="center"/>
    </xf>
    <xf numFmtId="0" fontId="166" fillId="5" borderId="2" xfId="5" applyNumberFormat="1" applyFont="1" applyFill="1" applyBorder="1" applyAlignment="1" applyProtection="1">
      <alignment horizontal="center" vertical="center"/>
    </xf>
    <xf numFmtId="0" fontId="149" fillId="0" borderId="0" xfId="5" applyNumberFormat="1" applyFont="1" applyProtection="1">
      <alignment vertical="center"/>
    </xf>
    <xf numFmtId="0" fontId="90" fillId="5" borderId="26" xfId="5" applyNumberFormat="1" applyFont="1" applyFill="1" applyBorder="1" applyAlignment="1" applyProtection="1">
      <alignment vertical="center" wrapText="1"/>
    </xf>
    <xf numFmtId="0" fontId="44" fillId="5" borderId="6"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wrapText="1"/>
    </xf>
    <xf numFmtId="0" fontId="44" fillId="5" borderId="27" xfId="5" applyNumberFormat="1" applyFont="1" applyFill="1" applyBorder="1" applyAlignment="1" applyProtection="1">
      <alignment horizontal="center" vertical="center"/>
    </xf>
    <xf numFmtId="0" fontId="44" fillId="5" borderId="41" xfId="5" applyNumberFormat="1" applyFont="1" applyFill="1" applyBorder="1" applyAlignment="1" applyProtection="1">
      <alignment horizontal="center" vertical="center"/>
    </xf>
    <xf numFmtId="0" fontId="90" fillId="5" borderId="11"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wrapText="1"/>
    </xf>
    <xf numFmtId="0" fontId="162" fillId="5" borderId="12" xfId="5" applyNumberFormat="1" applyFont="1" applyFill="1" applyBorder="1" applyAlignment="1" applyProtection="1">
      <alignment horizontal="center" vertical="center" wrapText="1"/>
    </xf>
    <xf numFmtId="0" fontId="130" fillId="5" borderId="11" xfId="5" applyNumberFormat="1" applyFont="1" applyFill="1" applyBorder="1" applyAlignment="1" applyProtection="1">
      <alignment horizontal="center" vertical="center" wrapText="1"/>
    </xf>
    <xf numFmtId="0" fontId="90" fillId="5" borderId="43" xfId="5" applyNumberFormat="1" applyFont="1" applyFill="1" applyBorder="1" applyAlignment="1" applyProtection="1">
      <alignment horizontal="center" vertical="center" wrapText="1"/>
    </xf>
    <xf numFmtId="0" fontId="162" fillId="5" borderId="44" xfId="5" applyNumberFormat="1" applyFont="1" applyFill="1" applyBorder="1" applyAlignment="1" applyProtection="1">
      <alignment horizontal="center" vertical="center" wrapText="1"/>
    </xf>
    <xf numFmtId="0" fontId="162" fillId="5" borderId="46" xfId="5" applyNumberFormat="1" applyFont="1" applyFill="1" applyBorder="1" applyAlignment="1" applyProtection="1">
      <alignment horizontal="center" vertical="center" wrapText="1"/>
    </xf>
    <xf numFmtId="180" fontId="44" fillId="5" borderId="2" xfId="5" applyNumberFormat="1" applyFont="1" applyFill="1" applyBorder="1" applyAlignment="1" applyProtection="1">
      <alignment horizontal="center" vertical="center" wrapText="1"/>
    </xf>
    <xf numFmtId="180" fontId="149" fillId="0" borderId="0" xfId="5" applyNumberFormat="1" applyProtection="1">
      <alignment vertical="center"/>
    </xf>
    <xf numFmtId="0" fontId="101" fillId="5" borderId="10" xfId="3" applyFont="1" applyFill="1" applyBorder="1" applyAlignment="1" applyProtection="1">
      <alignment horizontal="right" vertical="center"/>
    </xf>
    <xf numFmtId="180" fontId="88" fillId="5" borderId="2" xfId="3" applyNumberFormat="1" applyFont="1" applyFill="1" applyBorder="1" applyAlignment="1" applyProtection="1">
      <alignment horizontal="center" vertical="center" wrapText="1"/>
    </xf>
    <xf numFmtId="178" fontId="88" fillId="0" borderId="2" xfId="3" applyNumberFormat="1" applyFont="1" applyFill="1" applyBorder="1" applyAlignment="1" applyProtection="1">
      <alignment horizontal="center" vertical="center" wrapText="1"/>
      <protection locked="0"/>
    </xf>
    <xf numFmtId="0" fontId="87" fillId="5" borderId="14" xfId="3" applyFont="1" applyFill="1" applyBorder="1" applyAlignment="1" applyProtection="1">
      <alignment horizontal="center" vertical="center"/>
    </xf>
    <xf numFmtId="0" fontId="99" fillId="5" borderId="49" xfId="3" applyFont="1" applyFill="1" applyBorder="1" applyAlignment="1" applyProtection="1">
      <alignment horizontal="center" vertical="center"/>
    </xf>
    <xf numFmtId="0" fontId="99" fillId="5" borderId="29" xfId="3" applyNumberFormat="1" applyFont="1" applyFill="1" applyBorder="1" applyAlignment="1" applyProtection="1">
      <alignment horizontal="center" vertical="center" wrapText="1"/>
    </xf>
    <xf numFmtId="0" fontId="90" fillId="0" borderId="6" xfId="3" applyFont="1" applyFill="1" applyBorder="1" applyAlignment="1" applyProtection="1">
      <alignment horizontal="center" vertical="center" wrapText="1"/>
      <protection locked="0"/>
    </xf>
    <xf numFmtId="0" fontId="90" fillId="5" borderId="21" xfId="3" applyFont="1" applyFill="1" applyBorder="1" applyAlignment="1" applyProtection="1">
      <alignment horizontal="center" vertical="center" wrapText="1"/>
    </xf>
    <xf numFmtId="0" fontId="90" fillId="5" borderId="17" xfId="3" applyFont="1" applyFill="1" applyBorder="1" applyAlignment="1" applyProtection="1">
      <alignment horizontal="center" vertical="center" wrapText="1"/>
    </xf>
    <xf numFmtId="9" fontId="90" fillId="5" borderId="2" xfId="3" applyNumberFormat="1" applyFont="1" applyFill="1" applyBorder="1" applyAlignment="1" applyProtection="1">
      <alignment horizontal="center" vertical="center" wrapText="1"/>
    </xf>
    <xf numFmtId="0" fontId="90" fillId="5" borderId="2" xfId="3" applyFont="1" applyFill="1" applyBorder="1" applyAlignment="1" applyProtection="1">
      <alignment horizontal="center" vertical="center" wrapText="1"/>
    </xf>
    <xf numFmtId="0" fontId="90" fillId="5" borderId="10" xfId="3" applyFont="1" applyFill="1" applyBorder="1" applyAlignment="1" applyProtection="1">
      <alignment horizontal="center" vertical="center" wrapText="1"/>
    </xf>
    <xf numFmtId="0" fontId="167" fillId="6" borderId="2" xfId="3" applyFont="1" applyFill="1" applyBorder="1" applyAlignment="1" applyProtection="1">
      <alignment horizontal="center" vertical="center" wrapText="1"/>
      <protection locked="0"/>
    </xf>
    <xf numFmtId="0" fontId="90" fillId="5" borderId="44" xfId="3" applyFont="1" applyFill="1" applyBorder="1" applyAlignment="1" applyProtection="1">
      <alignment horizontal="center" vertical="center" wrapText="1"/>
    </xf>
    <xf numFmtId="0" fontId="90" fillId="0" borderId="44" xfId="3" applyFont="1" applyFill="1" applyBorder="1" applyAlignment="1" applyProtection="1">
      <alignment horizontal="center" vertical="center" wrapText="1"/>
      <protection locked="0"/>
    </xf>
    <xf numFmtId="0" fontId="90" fillId="0" borderId="46" xfId="3" applyFont="1" applyFill="1" applyBorder="1" applyAlignment="1" applyProtection="1">
      <alignment horizontal="center" vertical="center" wrapText="1"/>
      <protection locked="0"/>
    </xf>
    <xf numFmtId="0" fontId="99" fillId="5" borderId="6" xfId="3" applyFont="1" applyFill="1" applyBorder="1" applyAlignment="1" applyProtection="1">
      <alignment horizontal="center" vertical="center" wrapText="1"/>
    </xf>
    <xf numFmtId="0" fontId="90" fillId="5" borderId="3" xfId="3" applyFont="1" applyFill="1" applyBorder="1" applyAlignment="1" applyProtection="1">
      <alignment horizontal="center" vertical="center" wrapText="1"/>
    </xf>
    <xf numFmtId="0" fontId="90" fillId="5" borderId="52" xfId="3" applyFont="1" applyFill="1" applyBorder="1" applyAlignment="1" applyProtection="1">
      <alignment horizontal="center" vertical="center" wrapText="1"/>
    </xf>
    <xf numFmtId="186" fontId="87" fillId="5" borderId="83" xfId="3" applyNumberFormat="1" applyFont="1" applyFill="1" applyBorder="1" applyAlignment="1" applyProtection="1">
      <alignment horizontal="center" vertical="center" wrapText="1"/>
    </xf>
    <xf numFmtId="14" fontId="88" fillId="5" borderId="83" xfId="3" applyNumberFormat="1" applyFont="1" applyFill="1" applyBorder="1" applyAlignment="1" applyProtection="1">
      <alignment horizontal="center" vertical="center" wrapText="1"/>
    </xf>
    <xf numFmtId="14" fontId="88" fillId="5" borderId="37"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7" fillId="5" borderId="21" xfId="3" applyFont="1" applyFill="1" applyBorder="1" applyAlignment="1" applyProtection="1">
      <alignment horizontal="center" vertical="center" wrapText="1"/>
    </xf>
    <xf numFmtId="186" fontId="87" fillId="5" borderId="10" xfId="3" applyNumberFormat="1" applyFont="1" applyFill="1" applyBorder="1" applyAlignment="1" applyProtection="1">
      <alignment horizontal="center" vertical="center" wrapText="1"/>
    </xf>
    <xf numFmtId="0" fontId="99" fillId="5" borderId="2" xfId="3" applyFont="1" applyFill="1" applyBorder="1" applyAlignment="1" applyProtection="1">
      <alignment horizontal="center" vertical="center" wrapText="1"/>
    </xf>
    <xf numFmtId="0" fontId="99" fillId="5" borderId="3" xfId="3" applyFont="1" applyFill="1" applyBorder="1" applyAlignment="1" applyProtection="1">
      <alignment horizontal="center" vertical="center" wrapText="1"/>
    </xf>
    <xf numFmtId="0" fontId="99" fillId="5" borderId="44" xfId="3" applyFont="1" applyFill="1" applyBorder="1" applyAlignment="1" applyProtection="1">
      <alignment horizontal="center" vertical="center" wrapText="1"/>
    </xf>
    <xf numFmtId="0" fontId="149" fillId="5" borderId="0" xfId="3" applyFill="1" applyProtection="1">
      <alignment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31" xfId="3" applyFill="1" applyBorder="1" applyProtection="1">
      <alignment vertical="center"/>
    </xf>
    <xf numFmtId="0" fontId="150" fillId="5" borderId="0" xfId="3" applyFont="1" applyFill="1" applyProtection="1">
      <alignment vertical="center"/>
    </xf>
    <xf numFmtId="0" fontId="149" fillId="5" borderId="53" xfId="3" applyFill="1" applyBorder="1" applyAlignment="1" applyProtection="1">
      <alignment horizontal="center" vertical="center"/>
    </xf>
    <xf numFmtId="0" fontId="149" fillId="5" borderId="27" xfId="3" applyFill="1" applyBorder="1" applyAlignment="1" applyProtection="1">
      <alignment horizontal="center" vertical="center"/>
    </xf>
    <xf numFmtId="0" fontId="149" fillId="5" borderId="41" xfId="3" applyFill="1" applyBorder="1" applyAlignment="1" applyProtection="1">
      <alignment horizontal="center"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28" xfId="3" applyFont="1" applyFill="1" applyBorder="1" applyProtection="1">
      <alignment vertical="center"/>
    </xf>
    <xf numFmtId="0" fontId="170" fillId="5" borderId="29" xfId="3" applyFont="1" applyFill="1" applyBorder="1" applyAlignment="1" applyProtection="1">
      <alignment horizontal="center" vertical="center"/>
    </xf>
    <xf numFmtId="0" fontId="150" fillId="5" borderId="31" xfId="3" applyFont="1" applyFill="1" applyBorder="1" applyProtection="1">
      <alignment vertical="center"/>
    </xf>
    <xf numFmtId="0" fontId="170" fillId="5" borderId="44" xfId="3" applyFont="1" applyFill="1" applyBorder="1" applyAlignment="1" applyProtection="1">
      <alignment horizontal="center" vertical="center"/>
    </xf>
    <xf numFmtId="0" fontId="170" fillId="5" borderId="45" xfId="3" applyFont="1" applyFill="1" applyBorder="1" applyAlignment="1" applyProtection="1">
      <alignment horizontal="center" vertical="center"/>
    </xf>
    <xf numFmtId="0" fontId="169" fillId="5" borderId="53" xfId="3" applyFont="1" applyFill="1" applyBorder="1" applyAlignment="1" applyProtection="1">
      <alignment vertical="center" wrapText="1"/>
    </xf>
    <xf numFmtId="0" fontId="169" fillId="5" borderId="6" xfId="3" applyFont="1" applyFill="1" applyBorder="1" applyAlignment="1" applyProtection="1">
      <alignment horizontal="center" vertical="center" wrapText="1"/>
    </xf>
    <xf numFmtId="0" fontId="169" fillId="5" borderId="29" xfId="3" applyFont="1" applyFill="1" applyBorder="1" applyAlignment="1" applyProtection="1">
      <alignment horizontal="center" vertical="center" wrapText="1"/>
    </xf>
    <xf numFmtId="0" fontId="151" fillId="5" borderId="1" xfId="3" applyFont="1" applyFill="1" applyBorder="1" applyAlignment="1" applyProtection="1">
      <alignment horizontal="center" vertical="center"/>
    </xf>
    <xf numFmtId="0" fontId="151" fillId="5" borderId="29" xfId="3" applyFont="1" applyFill="1" applyBorder="1" applyProtection="1">
      <alignment vertical="center"/>
    </xf>
    <xf numFmtId="0" fontId="169" fillId="5" borderId="17" xfId="3" applyFont="1" applyFill="1" applyBorder="1" applyAlignment="1" applyProtection="1">
      <alignment horizontal="center" vertical="center" wrapText="1"/>
    </xf>
    <xf numFmtId="0" fontId="151" fillId="5" borderId="11" xfId="3" applyFont="1" applyFill="1" applyBorder="1" applyAlignment="1" applyProtection="1">
      <alignment horizontal="center" vertical="center"/>
    </xf>
    <xf numFmtId="0" fontId="151" fillId="5" borderId="5" xfId="3" applyFont="1" applyFill="1" applyBorder="1" applyProtection="1">
      <alignment vertical="center"/>
    </xf>
    <xf numFmtId="0" fontId="169" fillId="5" borderId="21" xfId="3" applyFont="1" applyFill="1" applyBorder="1" applyAlignment="1" applyProtection="1">
      <alignment horizontal="center" vertical="center" wrapText="1"/>
    </xf>
    <xf numFmtId="0" fontId="169" fillId="5" borderId="55" xfId="3" applyFont="1" applyFill="1" applyBorder="1" applyAlignment="1" applyProtection="1">
      <alignment horizontal="center" vertical="center" wrapText="1"/>
    </xf>
    <xf numFmtId="0" fontId="169" fillId="5" borderId="44" xfId="3" applyFont="1" applyFill="1" applyBorder="1" applyAlignment="1" applyProtection="1">
      <alignment horizontal="center" vertical="center" wrapText="1"/>
    </xf>
    <xf numFmtId="0" fontId="164" fillId="5" borderId="45" xfId="3" applyFont="1" applyFill="1" applyBorder="1" applyProtection="1">
      <alignment vertical="center"/>
    </xf>
    <xf numFmtId="0" fontId="169" fillId="5" borderId="5" xfId="3" applyFont="1" applyFill="1" applyBorder="1" applyAlignment="1" applyProtection="1">
      <alignment horizontal="center" vertical="center" wrapText="1"/>
    </xf>
    <xf numFmtId="0" fontId="151" fillId="5" borderId="43" xfId="3" applyFont="1" applyFill="1" applyBorder="1" applyAlignment="1" applyProtection="1">
      <alignment horizontal="center" vertical="center"/>
    </xf>
    <xf numFmtId="0" fontId="151" fillId="5" borderId="45" xfId="3" applyFont="1" applyFill="1" applyBorder="1" applyProtection="1">
      <alignment vertical="center"/>
    </xf>
    <xf numFmtId="0" fontId="164" fillId="5" borderId="5" xfId="3" applyFont="1" applyFill="1" applyBorder="1" applyProtection="1">
      <alignment vertical="center"/>
    </xf>
    <xf numFmtId="0" fontId="171" fillId="5" borderId="0" xfId="3" applyFont="1" applyFill="1" applyBorder="1" applyProtection="1">
      <alignment vertical="center"/>
    </xf>
    <xf numFmtId="0" fontId="169" fillId="5" borderId="33" xfId="3" applyFont="1" applyFill="1" applyBorder="1" applyAlignment="1" applyProtection="1">
      <alignment vertical="center" wrapText="1"/>
    </xf>
    <xf numFmtId="0" fontId="172" fillId="5" borderId="0" xfId="3" applyFont="1" applyFill="1" applyProtection="1">
      <alignment vertical="center"/>
    </xf>
    <xf numFmtId="0" fontId="171" fillId="5" borderId="0" xfId="3" applyFont="1" applyFill="1" applyProtection="1">
      <alignment vertical="center"/>
    </xf>
    <xf numFmtId="0" fontId="169" fillId="5" borderId="45" xfId="3" applyFont="1" applyFill="1" applyBorder="1" applyAlignment="1" applyProtection="1">
      <alignment horizontal="center" vertical="center" wrapText="1"/>
    </xf>
    <xf numFmtId="0" fontId="149" fillId="5" borderId="5" xfId="3" applyFill="1" applyBorder="1" applyProtection="1">
      <alignment vertical="center"/>
    </xf>
    <xf numFmtId="0" fontId="149" fillId="5" borderId="2" xfId="3" applyFill="1" applyBorder="1" applyProtection="1">
      <alignment vertical="center"/>
    </xf>
    <xf numFmtId="0" fontId="149" fillId="5" borderId="29" xfId="3" applyFill="1" applyBorder="1" applyProtection="1">
      <alignment vertical="center"/>
    </xf>
    <xf numFmtId="0" fontId="149" fillId="5" borderId="0" xfId="3" applyFill="1" applyAlignment="1" applyProtection="1">
      <alignment horizontal="center" vertical="center"/>
    </xf>
    <xf numFmtId="0" fontId="149" fillId="5" borderId="53" xfId="3" applyFill="1" applyBorder="1" applyAlignment="1" applyProtection="1">
      <alignment horizontal="right" vertical="center"/>
    </xf>
    <xf numFmtId="0" fontId="149" fillId="5" borderId="1" xfId="3" applyFill="1" applyBorder="1" applyAlignment="1" applyProtection="1">
      <alignment horizontal="center" vertical="center"/>
    </xf>
    <xf numFmtId="179" fontId="149" fillId="5" borderId="6" xfId="3" applyNumberFormat="1" applyFill="1" applyBorder="1" applyAlignment="1" applyProtection="1">
      <alignment horizontal="center" vertical="center"/>
    </xf>
    <xf numFmtId="179" fontId="149" fillId="5" borderId="29" xfId="3" applyNumberFormat="1" applyFill="1" applyBorder="1" applyAlignment="1" applyProtection="1">
      <alignment horizontal="center" vertical="center"/>
    </xf>
    <xf numFmtId="179" fontId="149" fillId="5" borderId="7" xfId="3" applyNumberFormat="1" applyFill="1" applyBorder="1" applyAlignment="1" applyProtection="1">
      <alignment horizontal="center" vertical="center"/>
    </xf>
    <xf numFmtId="0" fontId="149" fillId="5" borderId="11" xfId="3" applyFill="1" applyBorder="1" applyAlignment="1" applyProtection="1">
      <alignment horizontal="center" vertical="center"/>
    </xf>
    <xf numFmtId="179" fontId="149" fillId="5" borderId="2" xfId="3" applyNumberFormat="1" applyFill="1" applyBorder="1" applyAlignment="1" applyProtection="1">
      <alignment horizontal="center" vertical="center"/>
    </xf>
    <xf numFmtId="179" fontId="149" fillId="5" borderId="5" xfId="3" applyNumberFormat="1" applyFill="1" applyBorder="1" applyAlignment="1" applyProtection="1">
      <alignment horizontal="center" vertical="center"/>
    </xf>
    <xf numFmtId="179" fontId="149" fillId="5" borderId="12" xfId="3" applyNumberFormat="1" applyFill="1" applyBorder="1" applyAlignment="1" applyProtection="1">
      <alignment horizontal="center" vertical="center"/>
    </xf>
    <xf numFmtId="0" fontId="149" fillId="5" borderId="43" xfId="3" applyFill="1" applyBorder="1" applyAlignment="1" applyProtection="1">
      <alignment horizontal="center" vertical="center"/>
    </xf>
    <xf numFmtId="179" fontId="149" fillId="5" borderId="45" xfId="3" applyNumberFormat="1" applyFill="1" applyBorder="1" applyAlignment="1" applyProtection="1">
      <alignment horizontal="center" vertical="center"/>
    </xf>
    <xf numFmtId="179" fontId="149" fillId="5" borderId="44" xfId="3" applyNumberFormat="1" applyFill="1" applyBorder="1" applyAlignment="1" applyProtection="1">
      <alignment horizontal="center" vertical="center"/>
    </xf>
    <xf numFmtId="179" fontId="149" fillId="5" borderId="46" xfId="3" applyNumberFormat="1" applyFill="1" applyBorder="1" applyAlignment="1" applyProtection="1">
      <alignment horizontal="center" vertical="center"/>
    </xf>
    <xf numFmtId="0" fontId="168" fillId="5" borderId="1" xfId="3" applyFont="1" applyFill="1" applyBorder="1" applyAlignment="1" applyProtection="1">
      <alignment horizontal="center" vertical="center" wrapText="1"/>
    </xf>
    <xf numFmtId="0" fontId="168" fillId="5" borderId="6" xfId="3" applyFont="1" applyFill="1" applyBorder="1" applyAlignment="1" applyProtection="1">
      <alignment horizontal="center" vertical="center" wrapText="1"/>
    </xf>
    <xf numFmtId="0" fontId="168" fillId="5" borderId="7" xfId="3" applyFont="1" applyFill="1" applyBorder="1" applyAlignment="1" applyProtection="1">
      <alignment horizontal="center" vertical="center" wrapText="1"/>
    </xf>
    <xf numFmtId="0" fontId="168" fillId="5" borderId="12" xfId="3" applyFont="1" applyFill="1" applyBorder="1" applyAlignment="1" applyProtection="1">
      <alignment horizontal="center" vertical="center" wrapText="1"/>
    </xf>
    <xf numFmtId="0" fontId="168" fillId="5" borderId="22" xfId="3" applyFont="1" applyFill="1" applyBorder="1" applyAlignment="1" applyProtection="1">
      <alignment horizontal="center" vertical="center" wrapText="1"/>
    </xf>
    <xf numFmtId="0" fontId="168" fillId="5" borderId="25" xfId="3" applyFont="1" applyFill="1" applyBorder="1" applyAlignment="1" applyProtection="1">
      <alignment horizontal="center" vertical="center" wrapText="1"/>
    </xf>
    <xf numFmtId="0" fontId="149" fillId="5" borderId="2" xfId="3" applyFill="1" applyBorder="1" applyAlignment="1" applyProtection="1">
      <alignment horizontal="center" vertical="center"/>
    </xf>
    <xf numFmtId="0" fontId="173" fillId="5" borderId="19" xfId="3" applyFont="1" applyFill="1" applyBorder="1" applyAlignment="1" applyProtection="1">
      <alignment vertical="center"/>
    </xf>
    <xf numFmtId="0" fontId="173" fillId="5" borderId="0" xfId="3" applyFont="1" applyFill="1" applyBorder="1" applyAlignment="1" applyProtection="1">
      <alignment vertical="center"/>
    </xf>
    <xf numFmtId="0" fontId="168" fillId="5" borderId="5" xfId="3" applyFont="1" applyFill="1" applyBorder="1" applyAlignment="1" applyProtection="1">
      <alignment horizontal="center" vertical="center" wrapText="1"/>
    </xf>
    <xf numFmtId="0" fontId="168" fillId="5" borderId="9" xfId="3" applyFont="1" applyFill="1" applyBorder="1" applyAlignment="1" applyProtection="1">
      <alignment horizontal="center" vertical="center" wrapText="1"/>
    </xf>
    <xf numFmtId="0" fontId="168" fillId="5" borderId="0" xfId="3" applyFont="1" applyFill="1" applyBorder="1" applyAlignment="1" applyProtection="1">
      <alignment horizontal="center" vertical="center" wrapText="1"/>
    </xf>
    <xf numFmtId="0" fontId="168" fillId="5" borderId="5" xfId="3" applyFont="1" applyFill="1" applyBorder="1" applyAlignment="1" applyProtection="1">
      <alignment horizontal="left" vertical="center"/>
    </xf>
    <xf numFmtId="0" fontId="168" fillId="5" borderId="9" xfId="3" applyFont="1" applyFill="1" applyBorder="1" applyAlignment="1" applyProtection="1">
      <alignment horizontal="left" vertical="center"/>
    </xf>
    <xf numFmtId="0" fontId="168" fillId="5" borderId="0" xfId="3" applyFont="1" applyFill="1" applyBorder="1" applyAlignment="1" applyProtection="1">
      <alignment vertical="center"/>
    </xf>
    <xf numFmtId="0" fontId="168" fillId="5" borderId="0" xfId="3" applyFont="1" applyFill="1" applyBorder="1" applyAlignment="1" applyProtection="1">
      <alignment horizontal="center" vertical="center"/>
    </xf>
    <xf numFmtId="0" fontId="168" fillId="5" borderId="17" xfId="3" applyFont="1" applyFill="1" applyBorder="1" applyAlignment="1" applyProtection="1">
      <alignment vertical="center" wrapText="1"/>
    </xf>
    <xf numFmtId="0" fontId="168" fillId="5" borderId="21" xfId="3" applyFont="1" applyFill="1" applyBorder="1" applyAlignment="1" applyProtection="1">
      <alignment vertical="center" wrapText="1"/>
    </xf>
    <xf numFmtId="0" fontId="168" fillId="5" borderId="20" xfId="3" applyFont="1" applyFill="1" applyBorder="1" applyAlignment="1" applyProtection="1">
      <alignment vertical="center" wrapText="1"/>
    </xf>
    <xf numFmtId="0" fontId="168" fillId="5" borderId="0" xfId="3" applyFont="1" applyFill="1" applyAlignment="1" applyProtection="1">
      <alignment horizontal="center" vertical="center"/>
    </xf>
    <xf numFmtId="9" fontId="168" fillId="5" borderId="2" xfId="3" applyNumberFormat="1" applyFont="1" applyFill="1" applyBorder="1" applyAlignment="1" applyProtection="1">
      <alignment horizontal="center" vertical="center"/>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9" xfId="3" applyFont="1" applyFill="1" applyBorder="1" applyAlignment="1" applyProtection="1">
      <alignment vertical="center"/>
    </xf>
    <xf numFmtId="185"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xf>
    <xf numFmtId="178" fontId="174" fillId="5" borderId="2" xfId="3" applyNumberFormat="1" applyFont="1" applyFill="1" applyBorder="1" applyAlignment="1" applyProtection="1">
      <alignment horizontal="center" vertical="center"/>
    </xf>
    <xf numFmtId="186" fontId="174" fillId="5" borderId="2" xfId="3" applyNumberFormat="1" applyFont="1" applyFill="1" applyBorder="1" applyAlignment="1" applyProtection="1">
      <alignment horizontal="center" vertical="center" wrapText="1"/>
    </xf>
    <xf numFmtId="185" fontId="168" fillId="5" borderId="21" xfId="3" applyNumberFormat="1" applyFont="1" applyFill="1" applyBorder="1" applyAlignment="1" applyProtection="1">
      <alignment horizontal="center" vertical="center" wrapText="1"/>
    </xf>
    <xf numFmtId="180" fontId="174" fillId="5" borderId="2" xfId="3" applyNumberFormat="1" applyFont="1" applyFill="1" applyBorder="1" applyAlignment="1" applyProtection="1">
      <alignment horizontal="center" vertical="center"/>
    </xf>
    <xf numFmtId="0" fontId="56" fillId="0" borderId="2" xfId="0" applyFont="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0" fontId="21" fillId="5" borderId="5" xfId="0" applyFont="1" applyFill="1" applyBorder="1" applyProtection="1">
      <alignment vertical="center"/>
    </xf>
    <xf numFmtId="0" fontId="21" fillId="5" borderId="9" xfId="0" applyFont="1" applyFill="1" applyBorder="1" applyProtection="1">
      <alignment vertical="center"/>
    </xf>
    <xf numFmtId="0" fontId="88" fillId="5" borderId="21" xfId="3" applyFont="1" applyFill="1" applyBorder="1" applyAlignment="1" applyProtection="1">
      <alignment horizontal="center" vertical="center" wrapText="1"/>
    </xf>
    <xf numFmtId="0" fontId="167" fillId="6" borderId="2" xfId="0" applyFont="1" applyFill="1" applyBorder="1" applyAlignment="1" applyProtection="1">
      <alignment horizontal="center" vertical="center" wrapText="1"/>
      <protection locked="0"/>
    </xf>
    <xf numFmtId="0" fontId="154" fillId="0" borderId="0" xfId="0" applyFont="1" applyProtection="1">
      <alignment vertical="center"/>
    </xf>
    <xf numFmtId="0" fontId="175" fillId="0" borderId="0" xfId="0" applyFont="1" applyProtection="1">
      <alignment vertical="center"/>
    </xf>
    <xf numFmtId="0" fontId="74" fillId="0" borderId="2" xfId="0" applyFont="1" applyBorder="1" applyAlignment="1" applyProtection="1">
      <alignment horizontal="center" vertical="center" wrapText="1"/>
    </xf>
    <xf numFmtId="0" fontId="153" fillId="0" borderId="0" xfId="0" applyFont="1" applyProtection="1">
      <alignment vertical="center"/>
    </xf>
    <xf numFmtId="0" fontId="153" fillId="0" borderId="0" xfId="0" applyFont="1" applyAlignment="1" applyProtection="1">
      <alignment horizontal="left" vertical="center"/>
    </xf>
    <xf numFmtId="0" fontId="74" fillId="0" borderId="0" xfId="0" applyFont="1" applyProtection="1">
      <alignment vertical="center"/>
    </xf>
    <xf numFmtId="0" fontId="74" fillId="2" borderId="2" xfId="0"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77" fillId="0" borderId="2" xfId="0" applyFont="1" applyFill="1" applyBorder="1" applyAlignment="1" applyProtection="1">
      <alignment horizontal="center" vertical="center"/>
    </xf>
    <xf numFmtId="0" fontId="56" fillId="0" borderId="0" xfId="0" applyFont="1" applyProtection="1">
      <alignment vertical="center"/>
    </xf>
    <xf numFmtId="0" fontId="158" fillId="0" borderId="2" xfId="0" applyFont="1" applyBorder="1" applyAlignment="1" applyProtection="1">
      <alignment horizontal="center" vertical="center"/>
    </xf>
    <xf numFmtId="0" fontId="153" fillId="0" borderId="2" xfId="0" applyFont="1" applyBorder="1" applyAlignment="1" applyProtection="1">
      <alignment horizontal="left" vertical="center"/>
    </xf>
    <xf numFmtId="0" fontId="153" fillId="7" borderId="5" xfId="0" applyFont="1" applyFill="1" applyBorder="1" applyAlignment="1" applyProtection="1">
      <alignment vertical="center"/>
    </xf>
    <xf numFmtId="0" fontId="153" fillId="0" borderId="8" xfId="0" applyFont="1" applyBorder="1" applyAlignment="1" applyProtection="1">
      <alignment vertical="center"/>
    </xf>
    <xf numFmtId="0" fontId="153" fillId="0" borderId="9" xfId="0" applyFont="1" applyBorder="1" applyAlignment="1" applyProtection="1">
      <alignment vertical="center"/>
    </xf>
    <xf numFmtId="0" fontId="56" fillId="0" borderId="2" xfId="0" applyFont="1" applyBorder="1" applyAlignment="1" applyProtection="1">
      <alignment horizontal="left" vertical="center"/>
    </xf>
    <xf numFmtId="0" fontId="176" fillId="0" borderId="0" xfId="0" applyFont="1" applyProtection="1">
      <alignment vertical="center"/>
    </xf>
    <xf numFmtId="0" fontId="75" fillId="0" borderId="0" xfId="0" applyFont="1" applyAlignment="1" applyProtection="1">
      <alignment horizontal="left" vertical="center"/>
    </xf>
    <xf numFmtId="0" fontId="78" fillId="0" borderId="0" xfId="0" applyFont="1" applyAlignment="1" applyProtection="1">
      <alignment horizontal="left" vertical="center"/>
    </xf>
    <xf numFmtId="177" fontId="75" fillId="0" borderId="0" xfId="0" applyNumberFormat="1" applyFont="1" applyAlignment="1" applyProtection="1">
      <alignment horizontal="left" vertical="center"/>
    </xf>
    <xf numFmtId="0" fontId="153" fillId="0" borderId="3" xfId="0" applyFont="1" applyBorder="1" applyAlignment="1" applyProtection="1">
      <alignment vertical="center"/>
    </xf>
    <xf numFmtId="0" fontId="171" fillId="0" borderId="3" xfId="0" applyFont="1" applyBorder="1" applyAlignment="1" applyProtection="1">
      <alignment vertical="center"/>
    </xf>
    <xf numFmtId="0" fontId="171" fillId="0" borderId="21" xfId="0" applyFont="1" applyBorder="1" applyAlignment="1" applyProtection="1">
      <alignment vertical="center"/>
    </xf>
    <xf numFmtId="0" fontId="153" fillId="0" borderId="0" xfId="0" applyFont="1" applyAlignment="1" applyProtection="1">
      <alignment horizontal="center" vertical="center" wrapText="1"/>
    </xf>
    <xf numFmtId="0" fontId="153" fillId="0" borderId="0" xfId="0" applyFont="1" applyBorder="1" applyAlignment="1" applyProtection="1">
      <alignment horizontal="center" vertical="center"/>
    </xf>
    <xf numFmtId="0" fontId="80" fillId="5" borderId="2" xfId="0" applyFont="1" applyFill="1" applyBorder="1" applyAlignment="1" applyProtection="1">
      <alignment horizontal="center" vertical="center" wrapText="1"/>
      <protection locked="0"/>
    </xf>
    <xf numFmtId="0" fontId="80" fillId="5" borderId="5" xfId="0" applyFont="1" applyFill="1" applyBorder="1" applyAlignment="1" applyProtection="1">
      <alignment horizontal="left" vertical="center"/>
      <protection locked="0"/>
    </xf>
    <xf numFmtId="0" fontId="80" fillId="5" borderId="5" xfId="0" applyFont="1" applyFill="1" applyBorder="1" applyAlignment="1" applyProtection="1">
      <alignment horizontal="center" vertical="center"/>
      <protection locked="0"/>
    </xf>
    <xf numFmtId="0" fontId="80" fillId="5" borderId="9" xfId="0" applyFont="1" applyFill="1" applyBorder="1" applyAlignment="1" applyProtection="1">
      <alignment horizontal="left" vertical="center"/>
      <protection locked="0"/>
    </xf>
    <xf numFmtId="0" fontId="80" fillId="5" borderId="9" xfId="0" applyFont="1" applyFill="1" applyBorder="1" applyAlignment="1" applyProtection="1">
      <alignment horizontal="center" vertical="center"/>
      <protection locked="0"/>
    </xf>
    <xf numFmtId="0" fontId="80" fillId="5" borderId="17"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wrapText="1"/>
    </xf>
    <xf numFmtId="0" fontId="83" fillId="5" borderId="17" xfId="0" applyFont="1" applyFill="1" applyBorder="1" applyAlignment="1" applyProtection="1">
      <alignment horizontal="left" vertical="center"/>
    </xf>
    <xf numFmtId="180" fontId="80" fillId="5" borderId="0" xfId="0" applyNumberFormat="1" applyFont="1" applyFill="1" applyBorder="1" applyAlignment="1" applyProtection="1">
      <alignment horizontal="center" vertical="center" wrapText="1"/>
    </xf>
    <xf numFmtId="180" fontId="83" fillId="5" borderId="0" xfId="0" applyNumberFormat="1" applyFont="1" applyFill="1" applyBorder="1" applyAlignment="1" applyProtection="1">
      <alignment horizontal="center" vertical="center" wrapText="1"/>
    </xf>
    <xf numFmtId="177" fontId="80" fillId="5" borderId="0" xfId="0" applyNumberFormat="1" applyFont="1" applyFill="1" applyAlignment="1" applyProtection="1">
      <alignment horizontal="center" vertical="center" wrapText="1"/>
    </xf>
    <xf numFmtId="0" fontId="75" fillId="5" borderId="5" xfId="0" applyFont="1" applyFill="1" applyBorder="1" applyProtection="1">
      <alignment vertical="center"/>
    </xf>
    <xf numFmtId="0" fontId="75" fillId="5" borderId="8" xfId="0" applyFont="1" applyFill="1" applyBorder="1" applyProtection="1">
      <alignment vertical="center"/>
    </xf>
    <xf numFmtId="0" fontId="79" fillId="5" borderId="9" xfId="0" applyFont="1" applyFill="1" applyBorder="1" applyAlignment="1" applyProtection="1">
      <alignment horizontal="center" vertical="center"/>
    </xf>
    <xf numFmtId="0" fontId="75" fillId="5" borderId="21" xfId="0" applyFont="1" applyFill="1" applyBorder="1" applyProtection="1">
      <alignment vertical="center"/>
    </xf>
    <xf numFmtId="0" fontId="80" fillId="5" borderId="0" xfId="0" applyFont="1" applyFill="1" applyAlignment="1" applyProtection="1">
      <alignment vertical="center"/>
    </xf>
    <xf numFmtId="0" fontId="80" fillId="0" borderId="0" xfId="0" applyFont="1" applyAlignment="1" applyProtection="1">
      <alignment vertical="center"/>
    </xf>
    <xf numFmtId="0" fontId="75" fillId="5" borderId="0" xfId="0" applyFont="1" applyFill="1" applyAlignment="1" applyProtection="1">
      <alignment vertical="center"/>
    </xf>
    <xf numFmtId="0" fontId="75" fillId="5" borderId="0" xfId="0" applyFont="1" applyFill="1" applyAlignment="1" applyProtection="1">
      <alignment horizontal="center" vertical="center"/>
    </xf>
    <xf numFmtId="0" fontId="75" fillId="0" borderId="0" xfId="0" applyFont="1" applyAlignment="1" applyProtection="1">
      <alignment vertical="center"/>
    </xf>
    <xf numFmtId="0" fontId="75" fillId="5" borderId="0" xfId="0" applyFont="1" applyFill="1" applyAlignment="1" applyProtection="1">
      <alignment vertical="center" wrapText="1"/>
    </xf>
    <xf numFmtId="180" fontId="75" fillId="5" borderId="37" xfId="0" applyNumberFormat="1" applyFont="1" applyFill="1" applyBorder="1" applyAlignment="1" applyProtection="1">
      <alignment vertical="center"/>
    </xf>
    <xf numFmtId="0" fontId="85" fillId="5" borderId="37" xfId="0" applyFont="1" applyFill="1" applyBorder="1" applyAlignment="1" applyProtection="1">
      <alignment vertical="center"/>
    </xf>
    <xf numFmtId="0" fontId="75" fillId="5" borderId="36" xfId="0" applyFont="1" applyFill="1" applyBorder="1" applyAlignment="1" applyProtection="1">
      <alignment horizontal="center" vertical="center"/>
    </xf>
    <xf numFmtId="0" fontId="75" fillId="5" borderId="37" xfId="0" applyFont="1" applyFill="1" applyBorder="1" applyAlignment="1" applyProtection="1">
      <alignment horizontal="center" vertical="center"/>
    </xf>
    <xf numFmtId="0" fontId="75" fillId="0" borderId="0" xfId="0" applyFont="1" applyAlignment="1" applyProtection="1">
      <alignment vertical="center" wrapText="1"/>
    </xf>
    <xf numFmtId="0" fontId="153" fillId="5" borderId="12" xfId="0" applyFont="1" applyFill="1" applyBorder="1" applyAlignment="1" applyProtection="1">
      <alignment horizontal="center" vertical="center"/>
    </xf>
    <xf numFmtId="0" fontId="89" fillId="5" borderId="0" xfId="0" applyFont="1" applyFill="1" applyAlignment="1" applyProtection="1">
      <alignment vertical="center" wrapText="1"/>
    </xf>
    <xf numFmtId="0" fontId="80" fillId="0" borderId="0" xfId="0" applyFont="1" applyFill="1" applyAlignment="1" applyProtection="1">
      <alignment vertical="center"/>
    </xf>
    <xf numFmtId="0" fontId="80" fillId="0" borderId="0" xfId="0" applyFont="1" applyAlignment="1" applyProtection="1">
      <alignment vertical="center" wrapText="1"/>
    </xf>
    <xf numFmtId="180" fontId="80" fillId="0" borderId="0" xfId="0" applyNumberFormat="1" applyFont="1" applyAlignment="1" applyProtection="1">
      <alignment vertical="center"/>
    </xf>
    <xf numFmtId="0" fontId="80" fillId="0" borderId="0" xfId="0" applyFont="1" applyAlignment="1" applyProtection="1">
      <alignment horizontal="center" vertical="center"/>
    </xf>
    <xf numFmtId="0" fontId="75" fillId="6" borderId="6" xfId="2"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0" fontId="52" fillId="5" borderId="36" xfId="0" applyFont="1" applyFill="1" applyBorder="1" applyAlignment="1" applyProtection="1">
      <alignment horizontal="center" vertical="center" wrapText="1"/>
    </xf>
    <xf numFmtId="0" fontId="52" fillId="5" borderId="49" xfId="0" applyFont="1" applyFill="1" applyBorder="1" applyAlignment="1" applyProtection="1">
      <alignment horizontal="right" vertical="center" wrapText="1"/>
    </xf>
    <xf numFmtId="0" fontId="52" fillId="5" borderId="38" xfId="0" applyFont="1" applyFill="1" applyBorder="1" applyAlignment="1" applyProtection="1">
      <alignment horizontal="center" vertical="center"/>
    </xf>
    <xf numFmtId="0" fontId="52" fillId="5" borderId="0" xfId="0" applyFont="1" applyFill="1" applyBorder="1" applyAlignment="1" applyProtection="1">
      <alignment horizontal="right" vertical="center" wrapText="1"/>
    </xf>
    <xf numFmtId="0" fontId="52" fillId="5" borderId="36" xfId="0" applyFont="1" applyFill="1" applyBorder="1" applyAlignment="1" applyProtection="1">
      <alignment horizontal="right" vertical="center" wrapText="1"/>
    </xf>
    <xf numFmtId="0" fontId="56" fillId="5" borderId="37" xfId="0" applyFont="1" applyFill="1" applyBorder="1" applyAlignment="1" applyProtection="1">
      <alignment horizontal="center" vertical="center"/>
    </xf>
    <xf numFmtId="0" fontId="52" fillId="5" borderId="53" xfId="0" applyFont="1" applyFill="1" applyBorder="1" applyAlignment="1" applyProtection="1">
      <alignment vertical="center" wrapText="1"/>
    </xf>
    <xf numFmtId="0" fontId="56" fillId="5" borderId="6" xfId="0" applyFont="1" applyFill="1" applyBorder="1" applyAlignment="1" applyProtection="1">
      <alignment horizontal="center" vertical="center" wrapText="1"/>
    </xf>
    <xf numFmtId="0" fontId="52" fillId="5" borderId="24" xfId="0" applyFont="1" applyFill="1" applyBorder="1" applyAlignment="1" applyProtection="1">
      <alignment vertical="center" wrapText="1"/>
    </xf>
    <xf numFmtId="0" fontId="56" fillId="5" borderId="20" xfId="0" applyFont="1" applyFill="1" applyBorder="1" applyAlignment="1" applyProtection="1">
      <alignment horizontal="center" vertical="center" wrapText="1"/>
    </xf>
    <xf numFmtId="0" fontId="56" fillId="5" borderId="2" xfId="0" applyFont="1" applyFill="1" applyBorder="1" applyAlignment="1" applyProtection="1">
      <alignment horizontal="center" vertical="center" wrapText="1"/>
    </xf>
    <xf numFmtId="49" fontId="56" fillId="5" borderId="24" xfId="0" applyNumberFormat="1"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xf>
    <xf numFmtId="49" fontId="56" fillId="5" borderId="23" xfId="0" applyNumberFormat="1" applyFont="1" applyFill="1" applyBorder="1" applyAlignment="1" applyProtection="1">
      <alignment horizontal="center" vertical="center" wrapText="1"/>
    </xf>
    <xf numFmtId="0" fontId="56" fillId="5" borderId="47" xfId="0" applyFont="1" applyFill="1" applyBorder="1" applyAlignment="1" applyProtection="1">
      <alignment horizontal="center" vertical="center" wrapText="1"/>
    </xf>
    <xf numFmtId="0" fontId="52" fillId="5" borderId="23" xfId="0" applyFont="1" applyFill="1" applyBorder="1" applyAlignment="1" applyProtection="1">
      <alignment vertical="center" wrapText="1"/>
    </xf>
    <xf numFmtId="0" fontId="56" fillId="5" borderId="44" xfId="0" applyFont="1" applyFill="1" applyBorder="1" applyAlignment="1" applyProtection="1">
      <alignment horizontal="center" vertical="center" wrapText="1"/>
    </xf>
    <xf numFmtId="0" fontId="52" fillId="5" borderId="26" xfId="0" applyFont="1" applyFill="1" applyBorder="1" applyAlignment="1" applyProtection="1">
      <alignment horizontal="center" vertical="center" wrapText="1"/>
    </xf>
    <xf numFmtId="0" fontId="52" fillId="5" borderId="26" xfId="0" applyFont="1" applyFill="1" applyBorder="1" applyAlignment="1" applyProtection="1">
      <alignment horizontal="right" vertical="center" wrapText="1"/>
    </xf>
    <xf numFmtId="0" fontId="52" fillId="5" borderId="39" xfId="0" applyFont="1" applyFill="1" applyBorder="1" applyAlignment="1" applyProtection="1">
      <alignment horizontal="center" vertical="center" wrapText="1"/>
    </xf>
    <xf numFmtId="0" fontId="52" fillId="5" borderId="82" xfId="0" applyFont="1" applyFill="1" applyBorder="1" applyAlignment="1" applyProtection="1">
      <alignment horizontal="right" vertical="center" wrapText="1"/>
    </xf>
    <xf numFmtId="0" fontId="56" fillId="5" borderId="1" xfId="0" applyFont="1" applyFill="1" applyBorder="1" applyAlignment="1" applyProtection="1">
      <alignment horizontal="center" vertical="center" wrapText="1"/>
    </xf>
    <xf numFmtId="49" fontId="56" fillId="5" borderId="41" xfId="0" applyNumberFormat="1" applyFont="1" applyFill="1" applyBorder="1" applyAlignment="1" applyProtection="1">
      <alignment horizontal="center" vertical="center" wrapText="1"/>
    </xf>
    <xf numFmtId="0" fontId="56" fillId="5" borderId="7" xfId="0" applyNumberFormat="1" applyFont="1" applyFill="1" applyBorder="1" applyAlignment="1" applyProtection="1">
      <alignment horizontal="center" vertical="center" wrapText="1"/>
    </xf>
    <xf numFmtId="0" fontId="56" fillId="5" borderId="50" xfId="0" applyFont="1" applyFill="1" applyBorder="1" applyAlignment="1" applyProtection="1">
      <alignment horizontal="center" vertical="center" wrapText="1"/>
    </xf>
    <xf numFmtId="49" fontId="56" fillId="5" borderId="12" xfId="0" applyNumberFormat="1" applyFont="1" applyFill="1" applyBorder="1" applyAlignment="1" applyProtection="1">
      <alignment horizontal="center" vertical="center" wrapText="1"/>
    </xf>
    <xf numFmtId="0" fontId="56" fillId="5" borderId="11" xfId="0" applyFont="1" applyFill="1" applyBorder="1" applyAlignment="1" applyProtection="1">
      <alignment horizontal="center" vertical="center" wrapText="1"/>
    </xf>
    <xf numFmtId="0" fontId="56" fillId="5" borderId="43" xfId="0" applyFont="1" applyFill="1" applyBorder="1" applyAlignment="1" applyProtection="1">
      <alignment horizontal="center" vertical="center" wrapText="1"/>
    </xf>
    <xf numFmtId="0" fontId="56" fillId="5" borderId="46" xfId="0" applyNumberFormat="1" applyFont="1" applyFill="1" applyBorder="1" applyAlignment="1" applyProtection="1">
      <alignment horizontal="center" vertical="center" wrapText="1"/>
    </xf>
    <xf numFmtId="0" fontId="80" fillId="0" borderId="0" xfId="0" applyFont="1" applyProtection="1">
      <alignment vertical="center"/>
    </xf>
    <xf numFmtId="0" fontId="80" fillId="5" borderId="16" xfId="0" applyFont="1" applyFill="1" applyBorder="1" applyProtection="1">
      <alignment vertical="center"/>
    </xf>
    <xf numFmtId="0" fontId="80" fillId="5" borderId="8" xfId="0" applyFont="1" applyFill="1" applyBorder="1" applyProtection="1">
      <alignment vertical="center"/>
    </xf>
    <xf numFmtId="0" fontId="80" fillId="5" borderId="5" xfId="0" applyFont="1" applyFill="1" applyBorder="1" applyProtection="1">
      <alignment vertical="center"/>
    </xf>
    <xf numFmtId="0" fontId="80" fillId="0" borderId="0" xfId="0" applyFont="1" applyFill="1" applyProtection="1">
      <alignment vertical="center"/>
    </xf>
    <xf numFmtId="0" fontId="175" fillId="5" borderId="59" xfId="0" applyFont="1" applyFill="1" applyBorder="1" applyAlignment="1" applyProtection="1">
      <alignment horizontal="left" vertical="center"/>
    </xf>
    <xf numFmtId="0" fontId="80" fillId="5" borderId="30" xfId="0" applyFont="1" applyFill="1" applyBorder="1" applyProtection="1">
      <alignment vertical="center"/>
    </xf>
    <xf numFmtId="0" fontId="80" fillId="5" borderId="57" xfId="0" applyFont="1" applyFill="1" applyBorder="1" applyProtection="1">
      <alignment vertical="center"/>
    </xf>
    <xf numFmtId="0" fontId="175" fillId="5" borderId="64" xfId="0" applyFont="1" applyFill="1" applyBorder="1" applyAlignment="1" applyProtection="1">
      <alignment horizontal="left" vertical="center"/>
    </xf>
    <xf numFmtId="0" fontId="80" fillId="5" borderId="38" xfId="0" applyFont="1" applyFill="1" applyBorder="1" applyProtection="1">
      <alignment vertical="center"/>
    </xf>
    <xf numFmtId="0" fontId="80" fillId="5" borderId="79" xfId="0" applyFont="1" applyFill="1" applyBorder="1" applyProtection="1">
      <alignment vertical="center"/>
    </xf>
    <xf numFmtId="0" fontId="175" fillId="5" borderId="54" xfId="0" applyFont="1" applyFill="1" applyBorder="1" applyAlignment="1" applyProtection="1">
      <alignment horizontal="left" vertical="center"/>
    </xf>
    <xf numFmtId="0" fontId="80" fillId="5" borderId="61" xfId="0" applyFont="1" applyFill="1" applyBorder="1" applyProtection="1">
      <alignment vertical="center"/>
    </xf>
    <xf numFmtId="0" fontId="80" fillId="5" borderId="66" xfId="0" applyFont="1" applyFill="1" applyBorder="1" applyProtection="1">
      <alignment vertical="center"/>
    </xf>
    <xf numFmtId="0" fontId="177" fillId="5" borderId="39" xfId="0" applyFont="1" applyFill="1" applyBorder="1" applyAlignment="1" applyProtection="1">
      <alignment horizontal="center" vertical="center" wrapText="1"/>
    </xf>
    <xf numFmtId="0" fontId="80" fillId="5" borderId="80" xfId="0" applyFont="1" applyFill="1" applyBorder="1" applyProtection="1">
      <alignment vertical="center"/>
    </xf>
    <xf numFmtId="0" fontId="177" fillId="5" borderId="65" xfId="0" applyFont="1" applyFill="1" applyBorder="1" applyAlignment="1" applyProtection="1">
      <alignment horizontal="center" vertical="center" wrapText="1"/>
    </xf>
    <xf numFmtId="0" fontId="153" fillId="5" borderId="66" xfId="0" applyFont="1" applyFill="1" applyBorder="1" applyAlignment="1" applyProtection="1">
      <alignment vertical="center" wrapText="1"/>
    </xf>
    <xf numFmtId="0" fontId="177" fillId="5" borderId="82"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80" fillId="5" borderId="53" xfId="0" applyFont="1" applyFill="1" applyBorder="1" applyAlignment="1" applyProtection="1">
      <alignment horizontal="justify" vertical="center" wrapText="1"/>
    </xf>
    <xf numFmtId="0" fontId="180" fillId="5" borderId="27" xfId="0" applyFont="1" applyFill="1" applyBorder="1" applyAlignment="1" applyProtection="1">
      <alignment horizontal="center" vertical="center" wrapText="1"/>
    </xf>
    <xf numFmtId="0" fontId="181" fillId="5" borderId="11"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80" fontId="175" fillId="5" borderId="2" xfId="0" applyNumberFormat="1"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1" fillId="5" borderId="25" xfId="0" applyFont="1" applyFill="1" applyBorder="1" applyAlignment="1" applyProtection="1">
      <alignment horizontal="center" vertical="center" wrapText="1"/>
    </xf>
    <xf numFmtId="0" fontId="181" fillId="5" borderId="43" xfId="0" applyFont="1" applyFill="1" applyBorder="1" applyAlignment="1" applyProtection="1">
      <alignment horizontal="center" vertical="center" wrapText="1"/>
    </xf>
    <xf numFmtId="0" fontId="181" fillId="5" borderId="44" xfId="0" applyFont="1" applyFill="1" applyBorder="1" applyAlignment="1" applyProtection="1">
      <alignment horizontal="center" vertical="center" wrapText="1"/>
    </xf>
    <xf numFmtId="180" fontId="175" fillId="5" borderId="44" xfId="0" applyNumberFormat="1" applyFont="1" applyFill="1" applyBorder="1" applyAlignment="1" applyProtection="1">
      <alignment horizontal="center" vertical="center" wrapText="1"/>
    </xf>
    <xf numFmtId="0" fontId="80" fillId="5" borderId="55" xfId="0" applyFont="1" applyFill="1" applyBorder="1" applyProtection="1">
      <alignment vertical="center"/>
    </xf>
    <xf numFmtId="0" fontId="175" fillId="5" borderId="69" xfId="0" applyFont="1" applyFill="1" applyBorder="1" applyAlignment="1" applyProtection="1">
      <alignment horizontal="center" vertical="center" wrapText="1"/>
    </xf>
    <xf numFmtId="0" fontId="97" fillId="0" borderId="0" xfId="0" applyFont="1" applyBorder="1" applyAlignment="1" applyProtection="1">
      <alignment horizontal="left" vertical="center" wrapText="1"/>
    </xf>
    <xf numFmtId="0" fontId="154" fillId="5" borderId="0" xfId="0" applyFont="1" applyFill="1" applyBorder="1" applyAlignment="1" applyProtection="1">
      <alignment horizontal="left" vertical="center"/>
    </xf>
    <xf numFmtId="0" fontId="91" fillId="5" borderId="0" xfId="0" applyFont="1" applyFill="1" applyBorder="1" applyAlignment="1" applyProtection="1">
      <alignment horizontal="left" vertical="center"/>
    </xf>
    <xf numFmtId="0" fontId="73" fillId="5" borderId="0" xfId="0" applyFont="1" applyFill="1" applyBorder="1" applyAlignment="1" applyProtection="1">
      <alignment vertical="center"/>
    </xf>
    <xf numFmtId="0" fontId="73" fillId="5" borderId="0" xfId="0" applyFont="1" applyFill="1" applyBorder="1" applyAlignment="1" applyProtection="1">
      <alignment horizontal="center" vertical="center"/>
    </xf>
    <xf numFmtId="9" fontId="80" fillId="5" borderId="0" xfId="0" applyNumberFormat="1" applyFont="1" applyFill="1" applyAlignment="1" applyProtection="1">
      <alignment horizontal="center" vertical="center"/>
    </xf>
    <xf numFmtId="0" fontId="161" fillId="5" borderId="5" xfId="0" applyFont="1" applyFill="1" applyBorder="1" applyAlignment="1" applyProtection="1">
      <alignment horizontal="center" vertical="center" wrapText="1"/>
    </xf>
    <xf numFmtId="0" fontId="161" fillId="5" borderId="8"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10" fontId="80" fillId="5" borderId="0" xfId="0" applyNumberFormat="1" applyFont="1" applyFill="1" applyAlignment="1" applyProtection="1">
      <alignment horizontal="center" vertical="center"/>
    </xf>
    <xf numFmtId="0" fontId="182" fillId="5" borderId="2"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3" fillId="5" borderId="2" xfId="0" applyFont="1" applyFill="1" applyBorder="1" applyAlignment="1" applyProtection="1">
      <alignment horizontal="center" vertical="center" wrapText="1"/>
    </xf>
    <xf numFmtId="10" fontId="183" fillId="5" borderId="2" xfId="0" applyNumberFormat="1" applyFont="1" applyFill="1" applyBorder="1" applyAlignment="1" applyProtection="1">
      <alignment horizontal="center" vertical="center"/>
    </xf>
    <xf numFmtId="0" fontId="83" fillId="5" borderId="0" xfId="0" applyFont="1" applyFill="1" applyProtection="1">
      <alignment vertical="center"/>
    </xf>
    <xf numFmtId="9" fontId="183" fillId="5" borderId="2" xfId="0" applyNumberFormat="1" applyFont="1" applyFill="1" applyBorder="1" applyAlignment="1" applyProtection="1">
      <alignment horizontal="center" vertical="center"/>
    </xf>
    <xf numFmtId="0" fontId="183" fillId="5" borderId="10" xfId="0" applyFont="1" applyFill="1" applyBorder="1" applyAlignment="1" applyProtection="1">
      <alignment horizontal="center" vertical="center" wrapText="1"/>
    </xf>
    <xf numFmtId="9" fontId="183" fillId="5" borderId="10" xfId="0" applyNumberFormat="1" applyFont="1" applyFill="1" applyBorder="1" applyAlignment="1" applyProtection="1">
      <alignment horizontal="center" vertical="center"/>
    </xf>
    <xf numFmtId="0" fontId="183" fillId="5" borderId="5" xfId="0" applyFont="1" applyFill="1" applyBorder="1" applyAlignment="1" applyProtection="1">
      <alignment vertical="center" wrapText="1"/>
    </xf>
    <xf numFmtId="0" fontId="183" fillId="5" borderId="8" xfId="0" applyFont="1" applyFill="1" applyBorder="1" applyAlignment="1" applyProtection="1">
      <alignment horizontal="center" vertical="center" wrapText="1"/>
    </xf>
    <xf numFmtId="0" fontId="183" fillId="5" borderId="9" xfId="0" applyFont="1" applyFill="1" applyBorder="1" applyAlignment="1" applyProtection="1">
      <alignment vertical="center" wrapText="1"/>
    </xf>
    <xf numFmtId="0" fontId="80" fillId="5" borderId="0" xfId="0" applyFont="1" applyFill="1" applyBorder="1" applyAlignment="1" applyProtection="1">
      <alignment horizontal="left" vertical="center" wrapText="1"/>
    </xf>
    <xf numFmtId="0" fontId="183" fillId="5" borderId="84" xfId="0" applyFont="1" applyFill="1" applyBorder="1" applyAlignment="1" applyProtection="1">
      <alignment vertical="center" wrapText="1"/>
    </xf>
    <xf numFmtId="0" fontId="183" fillId="5" borderId="85" xfId="0" applyFont="1" applyFill="1" applyBorder="1" applyAlignment="1" applyProtection="1">
      <alignment horizontal="center" vertical="center" wrapText="1"/>
    </xf>
    <xf numFmtId="0" fontId="183" fillId="5" borderId="86" xfId="0" applyFont="1" applyFill="1" applyBorder="1" applyAlignment="1" applyProtection="1">
      <alignment vertical="center" wrapText="1"/>
    </xf>
    <xf numFmtId="49" fontId="89" fillId="5" borderId="31" xfId="0" applyNumberFormat="1" applyFont="1" applyFill="1" applyBorder="1" applyAlignment="1" applyProtection="1">
      <alignment horizontal="left" vertical="center" wrapText="1"/>
    </xf>
    <xf numFmtId="0" fontId="99" fillId="5" borderId="0" xfId="0" applyFont="1" applyFill="1" applyBorder="1" applyAlignment="1" applyProtection="1">
      <alignment horizontal="left" vertical="center" wrapText="1"/>
    </xf>
    <xf numFmtId="178" fontId="99" fillId="5" borderId="0" xfId="0" applyNumberFormat="1" applyFont="1" applyFill="1" applyBorder="1" applyAlignment="1" applyProtection="1">
      <alignment horizontal="center" vertical="center" wrapText="1"/>
    </xf>
    <xf numFmtId="10" fontId="90" fillId="5" borderId="0"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left" vertical="center"/>
    </xf>
    <xf numFmtId="0" fontId="153" fillId="0" borderId="0" xfId="0" applyFont="1" applyFill="1" applyProtection="1">
      <alignment vertical="center"/>
    </xf>
    <xf numFmtId="0" fontId="80" fillId="5" borderId="0" xfId="4" applyFont="1" applyFill="1" applyBorder="1" applyAlignment="1" applyProtection="1">
      <alignment horizontal="left" vertical="center" wrapText="1"/>
    </xf>
    <xf numFmtId="0" fontId="153" fillId="5" borderId="0" xfId="4" applyFont="1" applyFill="1" applyAlignment="1" applyProtection="1">
      <alignment vertical="center" wrapText="1"/>
    </xf>
    <xf numFmtId="0" fontId="153" fillId="5" borderId="0" xfId="4" applyFont="1" applyFill="1" applyProtection="1"/>
    <xf numFmtId="0" fontId="153" fillId="5" borderId="0" xfId="0" applyFont="1" applyFill="1" applyAlignment="1" applyProtection="1">
      <alignment vertical="center"/>
    </xf>
    <xf numFmtId="0" fontId="153" fillId="5" borderId="0" xfId="0" applyFont="1" applyFill="1" applyAlignment="1" applyProtection="1">
      <alignment horizontal="left" vertical="center"/>
    </xf>
    <xf numFmtId="0" fontId="153" fillId="5" borderId="0" xfId="4" applyFont="1" applyFill="1" applyAlignment="1" applyProtection="1">
      <alignment horizontal="left"/>
    </xf>
    <xf numFmtId="0" fontId="75" fillId="6" borderId="2" xfId="0" applyFont="1" applyFill="1" applyBorder="1" applyProtection="1">
      <alignment vertical="center"/>
      <protection locked="0"/>
    </xf>
    <xf numFmtId="0" fontId="161" fillId="5" borderId="14" xfId="0" applyFont="1" applyFill="1" applyBorder="1" applyAlignment="1" applyProtection="1">
      <alignment horizontal="left" vertical="center" wrapText="1"/>
    </xf>
    <xf numFmtId="0" fontId="161" fillId="5" borderId="14" xfId="0" applyFont="1" applyFill="1" applyBorder="1" applyAlignment="1" applyProtection="1">
      <alignment horizontal="center" vertical="center" wrapText="1"/>
    </xf>
    <xf numFmtId="0" fontId="161" fillId="5" borderId="32" xfId="0" applyFont="1" applyFill="1" applyBorder="1" applyAlignment="1" applyProtection="1">
      <alignment horizontal="center" vertical="center" wrapText="1"/>
    </xf>
    <xf numFmtId="191" fontId="182" fillId="5" borderId="21" xfId="0" applyNumberFormat="1" applyFont="1" applyFill="1" applyBorder="1" applyAlignment="1" applyProtection="1">
      <alignment horizontal="center" vertical="center" wrapText="1"/>
    </xf>
    <xf numFmtId="0" fontId="90" fillId="5" borderId="2" xfId="2" applyFont="1" applyFill="1" applyBorder="1" applyAlignment="1" applyProtection="1">
      <alignment horizontal="left"/>
    </xf>
    <xf numFmtId="0" fontId="99" fillId="5" borderId="2" xfId="2" applyFont="1" applyFill="1" applyBorder="1" applyAlignment="1" applyProtection="1">
      <alignment horizontal="left"/>
    </xf>
    <xf numFmtId="0" fontId="90" fillId="5" borderId="2" xfId="2" applyFont="1" applyFill="1" applyBorder="1" applyAlignment="1" applyProtection="1"/>
    <xf numFmtId="0" fontId="160" fillId="5" borderId="9" xfId="2" applyFont="1" applyFill="1" applyBorder="1" applyAlignment="1" applyProtection="1">
      <alignment horizontal="left"/>
    </xf>
    <xf numFmtId="0" fontId="104" fillId="5" borderId="9" xfId="0" applyFont="1" applyFill="1" applyBorder="1" applyAlignment="1" applyProtection="1">
      <alignment vertical="center" wrapText="1"/>
    </xf>
    <xf numFmtId="0" fontId="160" fillId="5" borderId="2" xfId="0" applyFont="1" applyFill="1" applyBorder="1" applyAlignment="1" applyProtection="1">
      <alignment vertical="center" wrapText="1"/>
    </xf>
    <xf numFmtId="0" fontId="160" fillId="5" borderId="0" xfId="0" applyFont="1" applyFill="1" applyBorder="1" applyAlignment="1" applyProtection="1">
      <alignment vertical="center" wrapText="1"/>
    </xf>
    <xf numFmtId="0" fontId="104" fillId="5" borderId="0" xfId="0" applyFont="1" applyFill="1" applyBorder="1" applyAlignment="1" applyProtection="1">
      <alignment vertical="center" wrapText="1"/>
    </xf>
    <xf numFmtId="0" fontId="104" fillId="5" borderId="65" xfId="0" applyFont="1" applyFill="1" applyBorder="1" applyAlignment="1" applyProtection="1">
      <alignment vertical="center" wrapText="1"/>
    </xf>
    <xf numFmtId="0" fontId="102" fillId="0" borderId="0"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88"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188" fontId="88" fillId="3" borderId="9" xfId="0" applyNumberFormat="1" applyFont="1" applyFill="1" applyBorder="1" applyAlignment="1" applyProtection="1">
      <alignment horizontal="center" vertical="center"/>
    </xf>
    <xf numFmtId="188" fontId="88" fillId="3" borderId="9" xfId="0" applyNumberFormat="1" applyFont="1" applyFill="1" applyBorder="1" applyAlignment="1" applyProtection="1">
      <alignment horizontal="center" vertical="center" wrapText="1"/>
    </xf>
    <xf numFmtId="188" fontId="88" fillId="3" borderId="2" xfId="0" applyNumberFormat="1" applyFont="1" applyFill="1" applyBorder="1" applyAlignment="1" applyProtection="1">
      <alignment horizontal="center" vertical="center" wrapText="1"/>
    </xf>
    <xf numFmtId="188" fontId="88" fillId="0" borderId="0" xfId="0" applyNumberFormat="1" applyFont="1" applyFill="1" applyAlignment="1" applyProtection="1">
      <alignment horizontal="center" vertical="center"/>
    </xf>
    <xf numFmtId="182" fontId="88" fillId="0" borderId="0" xfId="0" applyNumberFormat="1" applyFont="1" applyFill="1" applyAlignment="1" applyProtection="1">
      <alignment horizontal="center" vertical="center"/>
    </xf>
    <xf numFmtId="0" fontId="109" fillId="0" borderId="0" xfId="0" applyFont="1" applyFill="1" applyAlignment="1" applyProtection="1">
      <alignment horizontal="center" vertical="center"/>
    </xf>
    <xf numFmtId="0" fontId="113" fillId="0" borderId="0" xfId="0" applyFont="1" applyFill="1" applyAlignment="1" applyProtection="1">
      <alignment horizontal="center" vertical="center"/>
    </xf>
    <xf numFmtId="49" fontId="75" fillId="0" borderId="0" xfId="0" applyNumberFormat="1" applyFont="1" applyFill="1" applyAlignment="1" applyProtection="1">
      <alignment horizontal="center" vertical="center"/>
    </xf>
    <xf numFmtId="0" fontId="103" fillId="5" borderId="11" xfId="0" applyNumberFormat="1" applyFont="1" applyFill="1" applyBorder="1" applyAlignment="1" applyProtection="1">
      <alignment horizontal="center" vertical="center" wrapText="1"/>
    </xf>
    <xf numFmtId="9" fontId="99" fillId="0" borderId="5" xfId="2" applyNumberFormat="1" applyFont="1" applyFill="1" applyBorder="1" applyAlignment="1" applyProtection="1">
      <alignment horizontal="center" vertical="center"/>
      <protection locked="0"/>
    </xf>
    <xf numFmtId="0" fontId="102" fillId="5" borderId="0" xfId="0" applyFont="1" applyFill="1" applyAlignment="1" applyProtection="1">
      <alignment vertical="center"/>
    </xf>
    <xf numFmtId="0" fontId="110" fillId="5" borderId="0" xfId="0" applyFont="1" applyFill="1" applyBorder="1" applyAlignment="1" applyProtection="1">
      <alignment vertical="center"/>
    </xf>
    <xf numFmtId="0" fontId="101" fillId="5" borderId="21" xfId="0" applyFont="1" applyFill="1" applyBorder="1" applyAlignment="1" applyProtection="1">
      <alignment vertical="center"/>
    </xf>
    <xf numFmtId="0" fontId="75" fillId="5" borderId="0" xfId="0" applyFont="1" applyFill="1" applyBorder="1" applyAlignment="1" applyProtection="1">
      <alignment horizontal="center"/>
    </xf>
    <xf numFmtId="0" fontId="75" fillId="5" borderId="0" xfId="0" applyFont="1" applyFill="1" applyBorder="1" applyAlignment="1" applyProtection="1"/>
    <xf numFmtId="0" fontId="75" fillId="5" borderId="65" xfId="0" applyFont="1" applyFill="1" applyBorder="1" applyAlignment="1" applyProtection="1"/>
    <xf numFmtId="0" fontId="75" fillId="5" borderId="10" xfId="0" applyFont="1" applyFill="1" applyBorder="1" applyAlignment="1" applyProtection="1"/>
    <xf numFmtId="0" fontId="75" fillId="5" borderId="5" xfId="0" applyFont="1" applyFill="1" applyBorder="1" applyAlignment="1" applyProtection="1">
      <alignment horizontal="center"/>
    </xf>
    <xf numFmtId="0" fontId="75" fillId="5" borderId="3" xfId="0" applyFont="1" applyFill="1" applyBorder="1" applyAlignment="1" applyProtection="1"/>
    <xf numFmtId="0" fontId="110" fillId="5" borderId="55" xfId="0" applyFont="1" applyFill="1" applyBorder="1" applyAlignment="1" applyProtection="1">
      <alignment vertical="center"/>
    </xf>
    <xf numFmtId="0" fontId="75" fillId="5" borderId="55" xfId="0" applyFont="1" applyFill="1" applyBorder="1" applyAlignment="1" applyProtection="1">
      <alignment horizontal="center"/>
    </xf>
    <xf numFmtId="0" fontId="75" fillId="5" borderId="55" xfId="0" applyFont="1" applyFill="1" applyBorder="1" applyAlignment="1" applyProtection="1"/>
    <xf numFmtId="0" fontId="110" fillId="0" borderId="0" xfId="0" applyFont="1" applyFill="1" applyAlignment="1" applyProtection="1">
      <alignment horizontal="center" vertical="center"/>
    </xf>
    <xf numFmtId="49" fontId="101" fillId="5" borderId="0" xfId="0" applyNumberFormat="1" applyFont="1" applyFill="1" applyBorder="1" applyAlignment="1" applyProtection="1">
      <alignment horizontal="center"/>
    </xf>
    <xf numFmtId="0" fontId="184" fillId="0" borderId="2" xfId="0" applyFont="1" applyBorder="1" applyAlignment="1" applyProtection="1">
      <alignment horizontal="center" vertical="center"/>
      <protection locked="0"/>
    </xf>
    <xf numFmtId="177" fontId="87" fillId="5" borderId="57" xfId="2" applyNumberFormat="1"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80" fillId="3" borderId="12" xfId="0" applyFont="1" applyFill="1" applyBorder="1" applyProtection="1">
      <alignment vertical="center"/>
      <protection locked="0"/>
    </xf>
    <xf numFmtId="0" fontId="75" fillId="3" borderId="25" xfId="0" applyFont="1" applyFill="1" applyBorder="1" applyProtection="1">
      <alignment vertical="center"/>
      <protection locked="0"/>
    </xf>
    <xf numFmtId="0" fontId="75" fillId="5" borderId="54" xfId="0" applyFont="1" applyFill="1" applyBorder="1" applyAlignment="1" applyProtection="1">
      <alignment vertical="center"/>
    </xf>
    <xf numFmtId="0" fontId="79" fillId="5" borderId="45" xfId="0" applyFont="1" applyFill="1" applyBorder="1" applyAlignment="1" applyProtection="1">
      <alignment vertical="center"/>
    </xf>
    <xf numFmtId="180" fontId="79" fillId="5" borderId="47" xfId="0" applyNumberFormat="1" applyFont="1" applyFill="1" applyBorder="1" applyAlignment="1" applyProtection="1">
      <alignment vertical="center"/>
    </xf>
    <xf numFmtId="180" fontId="79" fillId="5" borderId="44" xfId="0" applyNumberFormat="1" applyFont="1" applyFill="1" applyBorder="1" applyAlignment="1" applyProtection="1">
      <alignment vertical="center"/>
    </xf>
    <xf numFmtId="180" fontId="79" fillId="5" borderId="46" xfId="0" applyNumberFormat="1" applyFont="1" applyFill="1" applyBorder="1" applyAlignment="1" applyProtection="1">
      <alignment vertical="center"/>
    </xf>
    <xf numFmtId="49" fontId="56" fillId="0" borderId="50" xfId="0" applyNumberFormat="1" applyFont="1" applyFill="1" applyBorder="1" applyAlignment="1" applyProtection="1">
      <alignment horizontal="center" vertical="center" wrapText="1"/>
      <protection locked="0"/>
    </xf>
    <xf numFmtId="0" fontId="56" fillId="0" borderId="74" xfId="0" applyNumberFormat="1" applyFont="1" applyFill="1" applyBorder="1" applyAlignment="1" applyProtection="1">
      <alignment horizontal="center" vertical="center" wrapText="1"/>
      <protection locked="0"/>
    </xf>
    <xf numFmtId="0" fontId="134" fillId="0" borderId="74" xfId="0" applyNumberFormat="1" applyFont="1" applyFill="1" applyBorder="1" applyAlignment="1" applyProtection="1">
      <alignment horizontal="center" vertical="center" wrapText="1"/>
      <protection locked="0"/>
    </xf>
    <xf numFmtId="0" fontId="90" fillId="0" borderId="25" xfId="2" applyNumberFormat="1" applyFont="1" applyFill="1" applyBorder="1" applyAlignment="1" applyProtection="1">
      <alignment horizontal="center" vertical="center"/>
      <protection locked="0"/>
    </xf>
    <xf numFmtId="182" fontId="80" fillId="0" borderId="7" xfId="0" applyNumberFormat="1" applyFont="1" applyFill="1" applyBorder="1" applyAlignment="1" applyProtection="1">
      <alignment horizontal="center" vertical="center"/>
      <protection locked="0"/>
    </xf>
    <xf numFmtId="0" fontId="61" fillId="5" borderId="10" xfId="2" applyFont="1" applyFill="1" applyBorder="1" applyAlignment="1" applyProtection="1">
      <alignment vertical="center"/>
    </xf>
    <xf numFmtId="0" fontId="51" fillId="5" borderId="10" xfId="2" applyFont="1" applyFill="1" applyBorder="1" applyAlignment="1" applyProtection="1">
      <alignment vertical="center"/>
    </xf>
    <xf numFmtId="0" fontId="79" fillId="5" borderId="6" xfId="0" applyFont="1" applyFill="1" applyBorder="1" applyAlignment="1" applyProtection="1">
      <alignment vertical="center"/>
    </xf>
    <xf numFmtId="0" fontId="79" fillId="5" borderId="40" xfId="0" applyFont="1" applyFill="1" applyBorder="1" applyAlignment="1" applyProtection="1">
      <alignment horizontal="right" vertical="center"/>
    </xf>
    <xf numFmtId="0" fontId="89" fillId="5" borderId="57" xfId="0" applyFont="1" applyFill="1" applyBorder="1" applyAlignment="1" applyProtection="1">
      <alignment vertical="center"/>
    </xf>
    <xf numFmtId="0" fontId="79" fillId="5" borderId="2" xfId="0" applyFont="1" applyFill="1" applyBorder="1" applyProtection="1">
      <alignment vertical="center"/>
    </xf>
    <xf numFmtId="0" fontId="89" fillId="5" borderId="16" xfId="0" applyFont="1" applyFill="1" applyBorder="1" applyAlignment="1" applyProtection="1">
      <alignment vertical="center"/>
    </xf>
    <xf numFmtId="0" fontId="79" fillId="5" borderId="10" xfId="0" applyFont="1" applyFill="1" applyBorder="1" applyProtection="1">
      <alignment vertical="center"/>
    </xf>
    <xf numFmtId="0" fontId="89" fillId="5" borderId="16" xfId="0" applyFont="1" applyFill="1" applyBorder="1" applyProtection="1">
      <alignment vertical="center"/>
    </xf>
    <xf numFmtId="0" fontId="79" fillId="5" borderId="3" xfId="0" applyFont="1" applyFill="1" applyBorder="1" applyProtection="1">
      <alignment vertical="center"/>
    </xf>
    <xf numFmtId="0" fontId="89" fillId="5" borderId="14" xfId="0" applyFont="1" applyFill="1" applyBorder="1" applyAlignment="1" applyProtection="1">
      <alignment horizontal="right" vertical="center"/>
    </xf>
    <xf numFmtId="0" fontId="89" fillId="5" borderId="15" xfId="0" applyFont="1" applyFill="1" applyBorder="1" applyAlignment="1" applyProtection="1">
      <alignment horizontal="left" vertical="center"/>
    </xf>
    <xf numFmtId="0" fontId="74" fillId="5" borderId="2" xfId="0" applyFont="1" applyFill="1" applyBorder="1" applyAlignment="1" applyProtection="1">
      <alignment horizontal="right" vertical="center"/>
    </xf>
    <xf numFmtId="0" fontId="185" fillId="5" borderId="66" xfId="0" applyFont="1" applyFill="1" applyBorder="1" applyAlignment="1" applyProtection="1">
      <alignment horizontal="center" vertical="center" wrapText="1"/>
    </xf>
    <xf numFmtId="0" fontId="163"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52" fillId="0" borderId="2" xfId="1" applyFont="1" applyFill="1" applyBorder="1" applyAlignment="1" applyProtection="1">
      <alignment horizontal="center" vertical="center" wrapText="1"/>
      <protection locked="0"/>
    </xf>
    <xf numFmtId="0" fontId="136" fillId="0" borderId="2" xfId="1" applyFont="1" applyFill="1" applyBorder="1" applyAlignment="1" applyProtection="1">
      <alignment horizontal="center" vertical="center" wrapText="1"/>
      <protection locked="0"/>
    </xf>
    <xf numFmtId="0" fontId="167" fillId="0" borderId="2" xfId="1" applyFont="1" applyFill="1" applyBorder="1" applyAlignment="1" applyProtection="1">
      <alignment horizontal="center" vertical="center" wrapText="1"/>
      <protection locked="0"/>
    </xf>
    <xf numFmtId="0" fontId="186" fillId="5" borderId="59" xfId="3" applyFont="1" applyFill="1" applyBorder="1" applyAlignment="1" applyProtection="1">
      <alignment vertical="center"/>
    </xf>
    <xf numFmtId="0" fontId="51" fillId="5" borderId="30" xfId="3" applyFont="1" applyFill="1" applyBorder="1" applyAlignment="1" applyProtection="1">
      <alignment vertical="center"/>
    </xf>
    <xf numFmtId="0" fontId="44" fillId="5" borderId="0" xfId="3" applyFont="1" applyFill="1" applyAlignment="1" applyProtection="1">
      <alignment vertical="center" wrapText="1"/>
    </xf>
    <xf numFmtId="0" fontId="44" fillId="8" borderId="0" xfId="3" applyFont="1" applyFill="1" applyAlignment="1" applyProtection="1">
      <alignment vertical="center" wrapText="1"/>
    </xf>
    <xf numFmtId="0" fontId="44" fillId="8" borderId="0" xfId="3" applyFont="1" applyFill="1" applyAlignment="1" applyProtection="1">
      <alignment horizontal="center" vertical="center" wrapText="1"/>
    </xf>
    <xf numFmtId="0" fontId="44" fillId="0" borderId="0" xfId="3" applyFont="1" applyAlignment="1" applyProtection="1">
      <alignment horizontal="center" vertical="center" wrapText="1"/>
    </xf>
    <xf numFmtId="0" fontId="44" fillId="0" borderId="0" xfId="3" applyFont="1" applyAlignment="1" applyProtection="1">
      <alignment vertical="center" wrapText="1"/>
    </xf>
    <xf numFmtId="0" fontId="51" fillId="5" borderId="2" xfId="3" applyFont="1" applyFill="1" applyBorder="1" applyAlignment="1" applyProtection="1">
      <alignment vertical="center"/>
    </xf>
    <xf numFmtId="0" fontId="51" fillId="5" borderId="5" xfId="3" applyFont="1" applyFill="1" applyBorder="1" applyAlignment="1" applyProtection="1">
      <alignment vertical="center"/>
    </xf>
    <xf numFmtId="0" fontId="44" fillId="5" borderId="2" xfId="3" applyNumberFormat="1" applyFont="1" applyFill="1" applyBorder="1" applyAlignment="1" applyProtection="1">
      <alignment horizontal="left" vertical="center" wrapText="1"/>
    </xf>
    <xf numFmtId="0" fontId="44" fillId="6" borderId="2" xfId="3" applyNumberFormat="1" applyFont="1" applyFill="1" applyBorder="1" applyAlignment="1" applyProtection="1">
      <alignment horizontal="center" vertical="center" wrapText="1"/>
      <protection locked="0"/>
    </xf>
    <xf numFmtId="0" fontId="44" fillId="5" borderId="0" xfId="3" applyNumberFormat="1" applyFont="1" applyFill="1" applyAlignment="1" applyProtection="1">
      <alignment vertical="center" wrapText="1"/>
    </xf>
    <xf numFmtId="0" fontId="51" fillId="5" borderId="10" xfId="3" applyFont="1" applyFill="1" applyBorder="1" applyAlignment="1" applyProtection="1">
      <alignment vertical="center"/>
    </xf>
    <xf numFmtId="0" fontId="44" fillId="6" borderId="2" xfId="3" applyNumberFormat="1" applyFont="1" applyFill="1" applyBorder="1" applyAlignment="1" applyProtection="1">
      <alignment vertical="center" wrapText="1"/>
      <protection locked="0"/>
    </xf>
    <xf numFmtId="0" fontId="44" fillId="6" borderId="2" xfId="0" applyFont="1" applyFill="1" applyBorder="1" applyAlignment="1" applyProtection="1">
      <alignment horizontal="left" vertical="center"/>
      <protection locked="0"/>
    </xf>
    <xf numFmtId="0" fontId="44" fillId="5" borderId="2" xfId="3" applyFont="1" applyFill="1" applyBorder="1" applyAlignment="1" applyProtection="1">
      <alignment horizontal="left" vertical="center" wrapText="1"/>
    </xf>
    <xf numFmtId="0" fontId="61" fillId="5" borderId="10" xfId="3" applyFont="1" applyFill="1" applyBorder="1" applyAlignment="1" applyProtection="1">
      <alignment horizontal="left" vertical="center" wrapText="1"/>
    </xf>
    <xf numFmtId="0" fontId="61" fillId="5" borderId="14" xfId="3" applyFont="1" applyFill="1" applyBorder="1" applyAlignment="1" applyProtection="1">
      <alignment vertical="center" wrapText="1"/>
    </xf>
    <xf numFmtId="0" fontId="62" fillId="5" borderId="14" xfId="3" applyFont="1" applyFill="1" applyBorder="1" applyAlignment="1" applyProtection="1">
      <alignment vertical="center" wrapText="1"/>
    </xf>
    <xf numFmtId="0" fontId="62" fillId="5" borderId="32" xfId="3" applyFont="1" applyFill="1" applyBorder="1" applyAlignment="1" applyProtection="1">
      <alignment vertical="center" wrapText="1"/>
    </xf>
    <xf numFmtId="0" fontId="62" fillId="8" borderId="0" xfId="3" applyFont="1" applyFill="1" applyAlignment="1" applyProtection="1">
      <alignment horizontal="center" vertical="center" wrapText="1"/>
    </xf>
    <xf numFmtId="0" fontId="62" fillId="0" borderId="0" xfId="3" applyFont="1" applyAlignment="1" applyProtection="1">
      <alignment horizontal="center" vertical="center" wrapText="1"/>
    </xf>
    <xf numFmtId="0" fontId="62" fillId="0" borderId="0" xfId="3" applyFont="1" applyAlignment="1" applyProtection="1">
      <alignment vertical="center" wrapText="1"/>
    </xf>
    <xf numFmtId="0" fontId="46" fillId="5" borderId="37" xfId="3" applyFont="1" applyFill="1" applyBorder="1" applyAlignment="1" applyProtection="1">
      <alignment horizontal="left" vertical="center" wrapText="1"/>
    </xf>
    <xf numFmtId="0" fontId="188" fillId="5" borderId="49" xfId="3" applyFont="1" applyFill="1" applyBorder="1" applyAlignment="1" applyProtection="1">
      <alignment vertical="center"/>
    </xf>
    <xf numFmtId="0" fontId="46" fillId="5" borderId="37" xfId="3" applyFont="1" applyFill="1" applyBorder="1" applyAlignment="1" applyProtection="1">
      <alignment horizontal="center" vertical="center" wrapText="1"/>
    </xf>
    <xf numFmtId="0" fontId="44" fillId="5" borderId="37" xfId="3" applyFont="1" applyFill="1" applyBorder="1" applyAlignment="1" applyProtection="1">
      <alignment vertical="center" wrapText="1"/>
    </xf>
    <xf numFmtId="0" fontId="44" fillId="5" borderId="38" xfId="3" applyFont="1" applyFill="1" applyBorder="1" applyAlignment="1" applyProtection="1">
      <alignment vertical="center" wrapText="1"/>
    </xf>
    <xf numFmtId="0" fontId="46" fillId="5" borderId="6" xfId="3" applyFont="1" applyFill="1" applyBorder="1" applyAlignment="1" applyProtection="1">
      <alignment horizontal="left" vertical="center" wrapText="1"/>
    </xf>
    <xf numFmtId="0" fontId="44" fillId="5" borderId="6" xfId="3" applyFont="1" applyFill="1" applyBorder="1" applyAlignment="1" applyProtection="1">
      <alignment horizontal="center" vertical="center" wrapText="1"/>
    </xf>
    <xf numFmtId="0" fontId="44"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44" fillId="5" borderId="39" xfId="3" applyFont="1" applyFill="1" applyBorder="1" applyAlignment="1" applyProtection="1">
      <alignment vertical="center" wrapText="1"/>
    </xf>
    <xf numFmtId="0" fontId="44" fillId="5" borderId="5" xfId="3" applyFont="1" applyFill="1" applyBorder="1" applyAlignment="1" applyProtection="1">
      <alignment vertical="center"/>
    </xf>
    <xf numFmtId="0" fontId="44" fillId="5" borderId="8" xfId="3" applyFont="1" applyFill="1" applyBorder="1" applyAlignment="1" applyProtection="1">
      <alignment vertical="center" wrapText="1"/>
    </xf>
    <xf numFmtId="0" fontId="44" fillId="5" borderId="16" xfId="3" applyFont="1" applyFill="1" applyBorder="1" applyAlignment="1" applyProtection="1">
      <alignment vertical="center" wrapText="1"/>
    </xf>
    <xf numFmtId="0" fontId="44" fillId="5" borderId="10" xfId="3" applyFont="1" applyFill="1" applyBorder="1" applyAlignment="1" applyProtection="1">
      <alignment horizontal="left" vertical="center" wrapText="1"/>
    </xf>
    <xf numFmtId="0" fontId="44" fillId="5" borderId="4" xfId="3" applyFont="1" applyFill="1" applyBorder="1" applyAlignment="1" applyProtection="1">
      <alignment vertical="center"/>
    </xf>
    <xf numFmtId="0" fontId="44" fillId="5" borderId="14" xfId="3" applyFont="1" applyFill="1" applyBorder="1" applyAlignment="1" applyProtection="1">
      <alignment vertical="center" wrapText="1"/>
    </xf>
    <xf numFmtId="0" fontId="44" fillId="5" borderId="15" xfId="3" applyFont="1" applyFill="1" applyBorder="1" applyAlignment="1" applyProtection="1">
      <alignment vertical="center" wrapText="1"/>
    </xf>
    <xf numFmtId="0" fontId="46" fillId="5" borderId="27" xfId="3" applyFont="1" applyFill="1" applyBorder="1" applyAlignment="1" applyProtection="1">
      <alignment horizontal="left" vertical="center" wrapText="1"/>
    </xf>
    <xf numFmtId="0" fontId="44" fillId="5" borderId="29" xfId="3" applyFont="1" applyFill="1" applyBorder="1" applyAlignment="1" applyProtection="1">
      <alignment vertical="center"/>
    </xf>
    <xf numFmtId="0" fontId="44" fillId="5" borderId="30" xfId="3" applyFont="1" applyFill="1" applyBorder="1" applyAlignment="1" applyProtection="1">
      <alignment horizontal="center" vertical="center" wrapText="1"/>
    </xf>
    <xf numFmtId="0" fontId="44" fillId="5" borderId="30" xfId="3" applyFont="1" applyFill="1" applyBorder="1" applyAlignment="1" applyProtection="1">
      <alignment vertical="center" wrapText="1"/>
    </xf>
    <xf numFmtId="0" fontId="44" fillId="5" borderId="57" xfId="3" applyFont="1" applyFill="1" applyBorder="1" applyAlignment="1" applyProtection="1">
      <alignment vertical="center" wrapText="1"/>
    </xf>
    <xf numFmtId="0" fontId="169" fillId="5" borderId="10" xfId="3" applyFont="1" applyFill="1" applyBorder="1" applyAlignment="1" applyProtection="1">
      <alignment horizontal="left" vertical="center" wrapText="1"/>
    </xf>
    <xf numFmtId="0" fontId="169" fillId="5" borderId="9"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44" fillId="0" borderId="2" xfId="3" applyFont="1" applyFill="1" applyBorder="1" applyAlignment="1" applyProtection="1">
      <alignment horizontal="center" vertical="center"/>
      <protection locked="0"/>
    </xf>
    <xf numFmtId="0" fontId="44" fillId="0" borderId="2" xfId="3" applyFont="1" applyBorder="1" applyAlignment="1" applyProtection="1">
      <alignment horizontal="center" vertical="center" wrapText="1"/>
      <protection locked="0"/>
    </xf>
    <xf numFmtId="0" fontId="44" fillId="0" borderId="2" xfId="3" applyFont="1" applyFill="1" applyBorder="1" applyAlignment="1" applyProtection="1">
      <alignment horizontal="center" vertical="center" wrapText="1"/>
      <protection locked="0"/>
    </xf>
    <xf numFmtId="0" fontId="44" fillId="0" borderId="12" xfId="3" applyFont="1" applyFill="1" applyBorder="1" applyAlignment="1" applyProtection="1">
      <alignment horizontal="center" vertical="center" wrapText="1"/>
      <protection locked="0"/>
    </xf>
    <xf numFmtId="0" fontId="169" fillId="5" borderId="21" xfId="3" applyFont="1" applyFill="1" applyBorder="1" applyAlignment="1" applyProtection="1">
      <alignment horizontal="left" vertical="center" wrapText="1"/>
    </xf>
    <xf numFmtId="0" fontId="169" fillId="6" borderId="9" xfId="3" applyFont="1" applyFill="1" applyBorder="1" applyAlignment="1" applyProtection="1">
      <alignment horizontal="center" vertical="center" wrapText="1"/>
      <protection locked="0"/>
    </xf>
    <xf numFmtId="0" fontId="169" fillId="6" borderId="2" xfId="3" applyFont="1" applyFill="1" applyBorder="1" applyAlignment="1" applyProtection="1">
      <alignment horizontal="center" vertical="center" wrapText="1"/>
      <protection locked="0"/>
    </xf>
    <xf numFmtId="0" fontId="169" fillId="6" borderId="21" xfId="3" applyFont="1" applyFill="1" applyBorder="1" applyAlignment="1" applyProtection="1">
      <alignment horizontal="center" vertical="center" wrapText="1"/>
      <protection locked="0"/>
    </xf>
    <xf numFmtId="0" fontId="58" fillId="5" borderId="17" xfId="3" applyFont="1" applyFill="1" applyBorder="1" applyAlignment="1" applyProtection="1">
      <alignment vertical="center"/>
    </xf>
    <xf numFmtId="0" fontId="44" fillId="5" borderId="0" xfId="3" applyFont="1" applyFill="1" applyBorder="1" applyAlignment="1" applyProtection="1">
      <alignment vertical="center" wrapText="1"/>
    </xf>
    <xf numFmtId="0" fontId="188" fillId="5" borderId="19" xfId="3" applyFont="1" applyFill="1" applyBorder="1" applyAlignment="1" applyProtection="1">
      <alignment vertical="center"/>
    </xf>
    <xf numFmtId="0" fontId="188" fillId="5" borderId="63" xfId="3" applyFont="1" applyFill="1" applyBorder="1" applyAlignment="1" applyProtection="1">
      <alignment vertical="center"/>
    </xf>
    <xf numFmtId="0" fontId="169" fillId="5" borderId="55" xfId="3" applyFont="1" applyFill="1" applyBorder="1" applyAlignment="1" applyProtection="1">
      <alignment horizontal="left" vertical="center" wrapText="1"/>
    </xf>
    <xf numFmtId="0" fontId="44" fillId="5" borderId="27" xfId="3" applyFont="1" applyFill="1" applyBorder="1" applyAlignment="1" applyProtection="1">
      <alignment horizontal="left" vertical="center" wrapText="1"/>
    </xf>
    <xf numFmtId="0" fontId="44" fillId="6" borderId="27" xfId="3" applyFont="1" applyFill="1" applyBorder="1" applyAlignment="1" applyProtection="1">
      <alignment horizontal="center" vertical="center" wrapText="1"/>
      <protection locked="0"/>
    </xf>
    <xf numFmtId="0" fontId="44" fillId="6" borderId="6" xfId="3" applyFont="1" applyFill="1" applyBorder="1" applyAlignment="1" applyProtection="1">
      <alignment horizontal="right" vertical="center" wrapText="1"/>
      <protection locked="0"/>
    </xf>
    <xf numFmtId="0" fontId="44" fillId="6" borderId="6" xfId="3" applyFont="1" applyFill="1" applyBorder="1" applyAlignment="1" applyProtection="1">
      <alignment horizontal="center" vertical="center" wrapText="1"/>
      <protection locked="0"/>
    </xf>
    <xf numFmtId="0" fontId="44" fillId="5" borderId="11" xfId="3" applyFont="1" applyFill="1" applyBorder="1" applyAlignment="1" applyProtection="1">
      <alignment horizontal="center" vertical="center" wrapText="1"/>
    </xf>
    <xf numFmtId="0" fontId="44" fillId="5" borderId="10" xfId="3" applyFont="1" applyFill="1" applyBorder="1" applyAlignment="1" applyProtection="1">
      <alignment horizontal="left" vertical="center"/>
    </xf>
    <xf numFmtId="0" fontId="44" fillId="5" borderId="3" xfId="3" applyFont="1" applyFill="1" applyBorder="1" applyAlignment="1" applyProtection="1">
      <alignment horizontal="center" vertical="center" wrapText="1"/>
    </xf>
    <xf numFmtId="0" fontId="44" fillId="5" borderId="10" xfId="3" applyFont="1" applyFill="1" applyBorder="1" applyAlignment="1" applyProtection="1">
      <alignment vertical="center" wrapText="1"/>
    </xf>
    <xf numFmtId="0" fontId="44" fillId="5" borderId="10" xfId="0" applyFont="1" applyFill="1" applyBorder="1" applyAlignment="1" applyProtection="1">
      <alignment horizontal="center" vertical="center" wrapText="1"/>
    </xf>
    <xf numFmtId="9" fontId="44" fillId="5" borderId="43" xfId="3" applyNumberFormat="1" applyFont="1" applyFill="1" applyBorder="1" applyAlignment="1" applyProtection="1">
      <alignment horizontal="center" vertical="center" wrapText="1"/>
    </xf>
    <xf numFmtId="0" fontId="61" fillId="5" borderId="83" xfId="3" applyFont="1" applyFill="1" applyBorder="1" applyAlignment="1" applyProtection="1">
      <alignment horizontal="left" vertical="center" wrapText="1"/>
    </xf>
    <xf numFmtId="0" fontId="62" fillId="5" borderId="38" xfId="3" applyFont="1" applyFill="1" applyBorder="1" applyAlignment="1" applyProtection="1">
      <alignment vertical="center" wrapText="1"/>
    </xf>
    <xf numFmtId="0" fontId="62" fillId="8" borderId="0" xfId="3" applyFont="1" applyFill="1" applyAlignment="1" applyProtection="1">
      <alignment vertical="center" wrapText="1"/>
    </xf>
    <xf numFmtId="10" fontId="44" fillId="8" borderId="0" xfId="3" applyNumberFormat="1" applyFont="1" applyFill="1" applyAlignment="1" applyProtection="1">
      <alignment horizontal="center" vertical="center" wrapText="1"/>
    </xf>
    <xf numFmtId="0" fontId="62" fillId="5" borderId="83" xfId="3" applyFont="1" applyFill="1" applyBorder="1" applyAlignment="1" applyProtection="1">
      <alignment horizontal="center" vertical="center" wrapText="1"/>
    </xf>
    <xf numFmtId="0" fontId="62" fillId="6" borderId="83" xfId="3" applyFont="1" applyFill="1" applyBorder="1" applyAlignment="1" applyProtection="1">
      <alignment horizontal="center" vertical="center" wrapText="1"/>
      <protection locked="0"/>
    </xf>
    <xf numFmtId="0" fontId="44" fillId="5" borderId="7" xfId="3" applyFont="1" applyFill="1" applyBorder="1" applyAlignment="1" applyProtection="1">
      <alignment horizontal="center" vertical="center" wrapText="1"/>
    </xf>
    <xf numFmtId="10" fontId="44" fillId="0" borderId="0" xfId="3" applyNumberFormat="1" applyFont="1" applyAlignment="1" applyProtection="1">
      <alignment horizontal="center" vertical="center" wrapText="1"/>
    </xf>
    <xf numFmtId="0" fontId="62" fillId="5" borderId="11" xfId="3" applyFont="1" applyFill="1" applyBorder="1" applyAlignment="1" applyProtection="1">
      <alignment horizontal="center" vertical="center" wrapText="1"/>
    </xf>
    <xf numFmtId="0" fontId="61" fillId="5" borderId="21" xfId="3" applyFont="1" applyFill="1" applyBorder="1" applyAlignment="1" applyProtection="1">
      <alignment horizontal="center" vertical="center" wrapText="1"/>
    </xf>
    <xf numFmtId="0" fontId="61" fillId="6" borderId="21" xfId="3" applyFont="1" applyFill="1" applyBorder="1" applyAlignment="1" applyProtection="1">
      <alignment horizontal="left" vertical="center" wrapText="1"/>
      <protection locked="0"/>
    </xf>
    <xf numFmtId="0" fontId="62" fillId="5" borderId="0" xfId="3" applyFont="1" applyFill="1" applyAlignment="1" applyProtection="1">
      <alignment vertical="center" wrapText="1"/>
    </xf>
    <xf numFmtId="0" fontId="62" fillId="5" borderId="21" xfId="3" applyFont="1" applyFill="1" applyBorder="1" applyAlignment="1" applyProtection="1">
      <alignment vertical="center" wrapText="1"/>
    </xf>
    <xf numFmtId="0" fontId="62" fillId="5" borderId="2" xfId="3" applyFont="1" applyFill="1" applyBorder="1" applyAlignment="1" applyProtection="1">
      <alignment horizontal="left" vertical="center" wrapText="1"/>
    </xf>
    <xf numFmtId="0" fontId="62" fillId="5" borderId="43" xfId="3" applyFont="1" applyFill="1" applyBorder="1" applyAlignment="1" applyProtection="1">
      <alignment horizontal="center" vertical="center" wrapText="1"/>
    </xf>
    <xf numFmtId="0" fontId="61" fillId="5" borderId="53" xfId="3" applyFont="1" applyFill="1" applyBorder="1" applyAlignment="1" applyProtection="1">
      <alignment horizontal="center" vertical="center" wrapText="1"/>
    </xf>
    <xf numFmtId="0" fontId="61" fillId="5" borderId="29" xfId="3" applyFont="1" applyFill="1" applyBorder="1" applyAlignment="1" applyProtection="1">
      <alignment horizontal="left" vertical="center" wrapText="1"/>
    </xf>
    <xf numFmtId="0" fontId="46" fillId="5" borderId="30" xfId="3" applyFont="1" applyFill="1" applyBorder="1" applyAlignment="1" applyProtection="1">
      <alignment horizontal="center" vertical="center" wrapText="1"/>
    </xf>
    <xf numFmtId="0" fontId="46" fillId="5" borderId="28" xfId="3" applyFont="1" applyFill="1" applyBorder="1" applyAlignment="1" applyProtection="1">
      <alignment vertical="center" wrapText="1"/>
    </xf>
    <xf numFmtId="0" fontId="61" fillId="5" borderId="24" xfId="3" applyFont="1" applyFill="1" applyBorder="1" applyAlignment="1" applyProtection="1">
      <alignment horizontal="center" vertical="center" wrapText="1"/>
    </xf>
    <xf numFmtId="0" fontId="44" fillId="5" borderId="13" xfId="3" applyFont="1" applyFill="1" applyBorder="1" applyAlignment="1" applyProtection="1">
      <alignment vertical="center" wrapText="1"/>
    </xf>
    <xf numFmtId="0" fontId="46" fillId="5" borderId="0" xfId="3" applyFont="1" applyFill="1" applyBorder="1" applyAlignment="1" applyProtection="1">
      <alignment vertical="center" wrapText="1"/>
    </xf>
    <xf numFmtId="0" fontId="44" fillId="5" borderId="65" xfId="3" applyFont="1" applyFill="1" applyBorder="1" applyAlignment="1" applyProtection="1">
      <alignment vertical="center" wrapText="1"/>
    </xf>
    <xf numFmtId="0" fontId="62" fillId="5" borderId="0" xfId="3" applyFont="1" applyFill="1" applyBorder="1" applyAlignment="1" applyProtection="1">
      <alignment horizontal="left" vertical="center" wrapText="1"/>
    </xf>
    <xf numFmtId="0" fontId="44" fillId="5" borderId="68"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6" fillId="5" borderId="61" xfId="3" applyFont="1" applyFill="1" applyBorder="1" applyAlignment="1" applyProtection="1">
      <alignment vertical="center" wrapText="1"/>
    </xf>
    <xf numFmtId="0" fontId="44" fillId="5" borderId="66" xfId="3" applyFont="1" applyFill="1" applyBorder="1" applyAlignment="1" applyProtection="1">
      <alignment vertical="center" wrapText="1"/>
    </xf>
    <xf numFmtId="0" fontId="46" fillId="5" borderId="42" xfId="3" applyFont="1" applyFill="1" applyBorder="1" applyAlignment="1" applyProtection="1">
      <alignment vertical="center" wrapText="1"/>
    </xf>
    <xf numFmtId="0" fontId="61" fillId="5" borderId="6" xfId="3" applyFont="1" applyFill="1" applyBorder="1" applyAlignment="1" applyProtection="1">
      <alignment horizontal="center" vertical="center" wrapText="1"/>
    </xf>
    <xf numFmtId="0" fontId="61" fillId="5" borderId="29" xfId="3" applyFont="1" applyFill="1" applyBorder="1" applyAlignment="1" applyProtection="1">
      <alignment horizontal="center" vertical="center" wrapText="1"/>
    </xf>
    <xf numFmtId="0" fontId="46" fillId="5" borderId="29" xfId="3" applyFont="1" applyFill="1" applyBorder="1" applyAlignment="1" applyProtection="1">
      <alignment vertical="center" wrapText="1"/>
    </xf>
    <xf numFmtId="0" fontId="44" fillId="5" borderId="24" xfId="3" applyFont="1" applyFill="1" applyBorder="1" applyAlignment="1" applyProtection="1">
      <alignment horizontal="center" vertical="center" wrapText="1"/>
    </xf>
    <xf numFmtId="0" fontId="44" fillId="5" borderId="9" xfId="3" applyFont="1" applyFill="1" applyBorder="1" applyAlignment="1" applyProtection="1">
      <alignment horizontal="left" vertical="center" wrapText="1"/>
    </xf>
    <xf numFmtId="0" fontId="44" fillId="0" borderId="2" xfId="3" applyFont="1" applyBorder="1" applyAlignment="1" applyProtection="1">
      <alignment vertical="center" wrapText="1"/>
      <protection locked="0"/>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16" xfId="3" applyFont="1" applyFill="1" applyBorder="1" applyAlignment="1" applyProtection="1">
      <alignment vertical="center"/>
    </xf>
    <xf numFmtId="0" fontId="46" fillId="5" borderId="23" xfId="3" applyFont="1" applyFill="1" applyBorder="1" applyAlignment="1" applyProtection="1">
      <alignment vertical="center" wrapText="1"/>
    </xf>
    <xf numFmtId="0" fontId="44" fillId="5" borderId="47" xfId="3" applyFont="1" applyFill="1" applyBorder="1" applyAlignment="1" applyProtection="1">
      <alignment horizontal="left" vertical="center" wrapText="1"/>
    </xf>
    <xf numFmtId="0" fontId="44" fillId="0" borderId="44" xfId="3" applyFont="1" applyBorder="1" applyAlignment="1" applyProtection="1">
      <alignment vertical="center" wrapText="1"/>
      <protection locked="0"/>
    </xf>
    <xf numFmtId="0" fontId="44" fillId="5" borderId="44" xfId="3" applyFont="1" applyFill="1" applyBorder="1" applyAlignment="1" applyProtection="1">
      <alignment vertical="center"/>
    </xf>
    <xf numFmtId="0" fontId="44" fillId="5" borderId="56" xfId="3" applyFont="1" applyFill="1" applyBorder="1" applyAlignment="1" applyProtection="1">
      <alignment vertical="center" wrapText="1"/>
    </xf>
    <xf numFmtId="0" fontId="44" fillId="5" borderId="48" xfId="3" applyFont="1" applyFill="1" applyBorder="1" applyAlignment="1" applyProtection="1">
      <alignment vertical="center" wrapText="1"/>
    </xf>
    <xf numFmtId="0" fontId="46" fillId="5" borderId="53" xfId="3" applyFont="1" applyFill="1" applyBorder="1" applyAlignment="1" applyProtection="1">
      <alignment vertical="center" wrapText="1"/>
    </xf>
    <xf numFmtId="0" fontId="46" fillId="5" borderId="58" xfId="3" applyFont="1" applyFill="1" applyBorder="1" applyAlignment="1" applyProtection="1">
      <alignment horizontal="left" vertical="center" wrapText="1"/>
    </xf>
    <xf numFmtId="0" fontId="44" fillId="5" borderId="30" xfId="3" applyFont="1" applyFill="1" applyBorder="1" applyAlignment="1" applyProtection="1">
      <alignment vertical="center"/>
    </xf>
    <xf numFmtId="0" fontId="44" fillId="5" borderId="42" xfId="3" applyFont="1" applyFill="1" applyBorder="1" applyAlignment="1" applyProtection="1">
      <alignment vertical="center"/>
    </xf>
    <xf numFmtId="0" fontId="46" fillId="5" borderId="20" xfId="3" applyFont="1" applyFill="1" applyBorder="1" applyAlignment="1" applyProtection="1">
      <alignment vertical="center" wrapText="1"/>
    </xf>
    <xf numFmtId="0" fontId="61" fillId="5" borderId="9" xfId="3" applyFont="1" applyFill="1" applyBorder="1" applyAlignment="1" applyProtection="1">
      <alignment horizontal="center" vertical="center" wrapText="1"/>
    </xf>
    <xf numFmtId="0" fontId="61" fillId="5" borderId="2" xfId="3" applyFont="1" applyFill="1" applyBorder="1" applyAlignment="1" applyProtection="1">
      <alignment horizontal="center" vertical="center" wrapText="1"/>
    </xf>
    <xf numFmtId="0" fontId="44" fillId="5" borderId="2" xfId="3" applyFont="1" applyFill="1" applyBorder="1" applyAlignment="1" applyProtection="1">
      <alignment vertical="center" wrapText="1"/>
    </xf>
    <xf numFmtId="0" fontId="44" fillId="5" borderId="51" xfId="3" applyFont="1" applyFill="1" applyBorder="1" applyAlignment="1" applyProtection="1">
      <alignment vertical="center"/>
    </xf>
    <xf numFmtId="0" fontId="46" fillId="5" borderId="24" xfId="3" applyFont="1" applyFill="1" applyBorder="1" applyAlignment="1" applyProtection="1">
      <alignment vertical="center" wrapText="1"/>
    </xf>
    <xf numFmtId="0" fontId="169" fillId="5" borderId="20" xfId="3" applyFont="1" applyFill="1" applyBorder="1" applyAlignment="1" applyProtection="1">
      <alignment horizontal="center" vertical="center" wrapText="1"/>
    </xf>
    <xf numFmtId="0" fontId="44" fillId="5" borderId="65" xfId="3" applyFont="1" applyFill="1" applyBorder="1" applyAlignment="1" applyProtection="1">
      <alignment horizontal="center" vertical="center" wrapText="1"/>
    </xf>
    <xf numFmtId="0" fontId="169" fillId="5" borderId="47" xfId="3" applyFont="1" applyFill="1" applyBorder="1" applyAlignment="1" applyProtection="1">
      <alignment horizontal="center" vertical="center" wrapText="1"/>
    </xf>
    <xf numFmtId="0" fontId="44" fillId="5" borderId="66" xfId="3" applyFont="1" applyFill="1" applyBorder="1" applyAlignment="1" applyProtection="1">
      <alignment horizontal="center" vertical="center" wrapText="1"/>
    </xf>
    <xf numFmtId="0" fontId="44" fillId="0" borderId="0" xfId="3" applyFont="1" applyAlignment="1" applyProtection="1">
      <alignment horizontal="left" vertical="center" wrapText="1"/>
    </xf>
    <xf numFmtId="0" fontId="90" fillId="6" borderId="2" xfId="3" applyFont="1" applyFill="1" applyBorder="1" applyAlignment="1" applyProtection="1">
      <alignment horizontal="center" vertical="center" wrapText="1"/>
      <protection locked="0"/>
    </xf>
    <xf numFmtId="0" fontId="90" fillId="5" borderId="0" xfId="3" applyFont="1" applyFill="1" applyAlignment="1" applyProtection="1">
      <alignment vertical="center" wrapText="1"/>
    </xf>
    <xf numFmtId="186" fontId="90" fillId="5" borderId="3" xfId="3" applyNumberFormat="1" applyFont="1" applyFill="1" applyBorder="1" applyAlignment="1" applyProtection="1">
      <alignment horizontal="center" vertical="center" wrapText="1"/>
    </xf>
    <xf numFmtId="186" fontId="90" fillId="5" borderId="13" xfId="3" applyNumberFormat="1" applyFont="1" applyFill="1" applyBorder="1" applyAlignment="1" applyProtection="1">
      <alignment horizontal="center" vertical="center" wrapText="1"/>
    </xf>
    <xf numFmtId="0" fontId="90" fillId="5" borderId="9" xfId="3" applyFont="1" applyFill="1" applyBorder="1" applyAlignment="1" applyProtection="1">
      <alignment vertical="center" wrapText="1"/>
    </xf>
    <xf numFmtId="0" fontId="88" fillId="5" borderId="2" xfId="3" applyFont="1" applyFill="1" applyBorder="1" applyAlignment="1" applyProtection="1">
      <alignment vertical="center" wrapText="1"/>
    </xf>
    <xf numFmtId="0" fontId="90" fillId="5" borderId="14" xfId="3" applyFont="1" applyFill="1" applyBorder="1" applyAlignment="1" applyProtection="1">
      <alignment vertical="center"/>
    </xf>
    <xf numFmtId="0" fontId="88" fillId="5" borderId="10" xfId="3" applyFont="1" applyFill="1" applyBorder="1" applyAlignment="1" applyProtection="1">
      <alignment vertical="center" wrapText="1"/>
    </xf>
    <xf numFmtId="0" fontId="90" fillId="0" borderId="2" xfId="3" applyFont="1" applyBorder="1" applyAlignment="1" applyProtection="1">
      <alignment vertical="center" wrapText="1"/>
      <protection locked="0"/>
    </xf>
    <xf numFmtId="0" fontId="90" fillId="0" borderId="44" xfId="3" applyFont="1" applyBorder="1" applyAlignment="1" applyProtection="1">
      <alignment vertical="center" wrapText="1"/>
      <protection locked="0"/>
    </xf>
    <xf numFmtId="9" fontId="90" fillId="5" borderId="12" xfId="3" applyNumberFormat="1" applyFont="1" applyFill="1" applyBorder="1" applyAlignment="1" applyProtection="1">
      <alignment horizontal="center" vertical="center" wrapText="1"/>
    </xf>
    <xf numFmtId="10" fontId="90" fillId="5" borderId="44" xfId="3" applyNumberFormat="1" applyFont="1" applyFill="1" applyBorder="1" applyAlignment="1" applyProtection="1">
      <alignment horizontal="center" vertical="center" wrapText="1"/>
    </xf>
    <xf numFmtId="10" fontId="90" fillId="5" borderId="46" xfId="3" applyNumberFormat="1" applyFont="1" applyFill="1" applyBorder="1" applyAlignment="1" applyProtection="1">
      <alignment horizontal="center" vertical="center" wrapText="1"/>
    </xf>
    <xf numFmtId="10" fontId="88" fillId="0" borderId="9" xfId="3" applyNumberFormat="1" applyFont="1" applyFill="1" applyBorder="1" applyAlignment="1" applyProtection="1">
      <alignment horizontal="center" vertical="center" wrapText="1"/>
      <protection locked="0"/>
    </xf>
    <xf numFmtId="10" fontId="88" fillId="0" borderId="47" xfId="3" applyNumberFormat="1" applyFont="1" applyFill="1" applyBorder="1" applyAlignment="1" applyProtection="1">
      <alignment horizontal="center" vertical="center" wrapText="1"/>
      <protection locked="0"/>
    </xf>
    <xf numFmtId="0" fontId="90" fillId="5" borderId="26" xfId="3" applyFont="1" applyFill="1" applyBorder="1" applyAlignment="1" applyProtection="1">
      <alignment vertical="center"/>
    </xf>
    <xf numFmtId="0" fontId="90" fillId="5" borderId="39" xfId="3" applyFont="1" applyFill="1" applyBorder="1" applyAlignment="1" applyProtection="1">
      <alignment vertical="center" wrapText="1"/>
    </xf>
    <xf numFmtId="0" fontId="90" fillId="5" borderId="11" xfId="3" applyFont="1" applyFill="1" applyBorder="1" applyAlignment="1" applyProtection="1">
      <alignment vertical="center"/>
    </xf>
    <xf numFmtId="9" fontId="90" fillId="5" borderId="12" xfId="3" applyNumberFormat="1" applyFont="1" applyFill="1" applyBorder="1" applyAlignment="1" applyProtection="1">
      <alignment horizontal="center" vertical="center"/>
    </xf>
    <xf numFmtId="0" fontId="90" fillId="5" borderId="43" xfId="3" applyFont="1" applyFill="1" applyBorder="1" applyAlignment="1" applyProtection="1">
      <alignment vertical="center" wrapText="1"/>
    </xf>
    <xf numFmtId="9" fontId="90" fillId="5" borderId="46" xfId="3" applyNumberFormat="1"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protection locked="0"/>
    </xf>
    <xf numFmtId="0" fontId="171" fillId="5" borderId="0" xfId="0" applyFont="1" applyFill="1" applyAlignment="1" applyProtection="1">
      <alignment horizontal="center" vertical="center"/>
      <protection locked="0"/>
    </xf>
    <xf numFmtId="0" fontId="56" fillId="5" borderId="0" xfId="0" applyFont="1" applyFill="1" applyBorder="1" applyAlignment="1" applyProtection="1">
      <alignment horizontal="center" vertical="center"/>
      <protection locked="0"/>
    </xf>
    <xf numFmtId="0" fontId="153" fillId="5" borderId="0" xfId="0" applyFont="1" applyFill="1" applyBorder="1" applyAlignment="1" applyProtection="1">
      <alignment horizontal="center" vertical="center"/>
      <protection locked="0"/>
    </xf>
    <xf numFmtId="0" fontId="163"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156" fillId="0" borderId="2" xfId="0" applyFont="1" applyFill="1" applyBorder="1" applyAlignment="1" applyProtection="1">
      <alignment horizontal="center" vertical="center"/>
      <protection locked="0"/>
    </xf>
    <xf numFmtId="0" fontId="88" fillId="5" borderId="0" xfId="0" applyFont="1" applyFill="1" applyAlignment="1" applyProtection="1">
      <alignment horizontal="center" vertical="center"/>
    </xf>
    <xf numFmtId="0" fontId="24" fillId="6" borderId="6" xfId="0" applyFont="1" applyFill="1" applyBorder="1" applyAlignment="1" applyProtection="1">
      <alignment horizontal="center" vertical="center"/>
      <protection locked="0"/>
    </xf>
    <xf numFmtId="0" fontId="161" fillId="5" borderId="0" xfId="0" applyFont="1" applyFill="1" applyAlignment="1" applyProtection="1">
      <alignment horizontal="left" vertical="center"/>
    </xf>
    <xf numFmtId="182" fontId="105" fillId="5" borderId="14" xfId="0" applyNumberFormat="1" applyFont="1" applyFill="1" applyBorder="1" applyAlignment="1" applyProtection="1">
      <alignment vertical="center"/>
    </xf>
    <xf numFmtId="0" fontId="105" fillId="5" borderId="14"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5" fillId="5" borderId="19"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187" fontId="75" fillId="5" borderId="5" xfId="0" applyNumberFormat="1" applyFont="1" applyFill="1" applyBorder="1" applyAlignment="1" applyProtection="1">
      <alignment horizontal="center" vertical="center"/>
    </xf>
    <xf numFmtId="49" fontId="75" fillId="5" borderId="9" xfId="0" applyNumberFormat="1"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187" fontId="88" fillId="5" borderId="5" xfId="0" applyNumberFormat="1" applyFont="1" applyFill="1" applyBorder="1" applyAlignment="1" applyProtection="1">
      <alignment horizontal="center" vertical="center"/>
    </xf>
    <xf numFmtId="49" fontId="88" fillId="5" borderId="9"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8" fillId="5" borderId="21" xfId="0" applyFont="1" applyFill="1" applyBorder="1" applyAlignment="1" applyProtection="1">
      <alignment vertical="center" textRotation="255" wrapText="1"/>
    </xf>
    <xf numFmtId="182" fontId="88" fillId="5" borderId="0" xfId="0" applyNumberFormat="1" applyFont="1" applyFill="1" applyBorder="1" applyAlignment="1" applyProtection="1"/>
    <xf numFmtId="0" fontId="88" fillId="5" borderId="0" xfId="0" applyFont="1" applyFill="1" applyBorder="1" applyAlignment="1" applyProtection="1"/>
    <xf numFmtId="0" fontId="114" fillId="5" borderId="0" xfId="0" applyFont="1" applyFill="1" applyBorder="1" applyAlignment="1" applyProtection="1"/>
    <xf numFmtId="0" fontId="88" fillId="5" borderId="0" xfId="0" applyFont="1" applyFill="1" applyBorder="1" applyAlignment="1" applyProtection="1">
      <alignment horizontal="center"/>
    </xf>
    <xf numFmtId="188" fontId="88" fillId="5" borderId="0" xfId="0" applyNumberFormat="1" applyFont="1" applyFill="1" applyBorder="1" applyAlignment="1" applyProtection="1">
      <alignment horizontal="center"/>
    </xf>
    <xf numFmtId="0" fontId="88" fillId="8" borderId="0" xfId="0" applyFont="1" applyFill="1" applyAlignment="1" applyProtection="1">
      <alignment horizontal="center" vertical="center"/>
    </xf>
    <xf numFmtId="188" fontId="88" fillId="8" borderId="0" xfId="0" applyNumberFormat="1" applyFont="1" applyFill="1" applyAlignment="1" applyProtection="1">
      <alignment horizontal="center" vertical="center"/>
    </xf>
    <xf numFmtId="182" fontId="88" fillId="8" borderId="0" xfId="0" applyNumberFormat="1" applyFont="1" applyFill="1" applyAlignment="1" applyProtection="1">
      <alignment horizontal="center" vertical="center"/>
    </xf>
    <xf numFmtId="178" fontId="101" fillId="5" borderId="0" xfId="0" applyNumberFormat="1" applyFont="1" applyFill="1" applyBorder="1" applyAlignment="1" applyProtection="1"/>
    <xf numFmtId="49" fontId="101" fillId="5" borderId="0" xfId="0" applyNumberFormat="1" applyFont="1" applyFill="1" applyBorder="1" applyAlignment="1" applyProtection="1">
      <alignment horizontal="left"/>
    </xf>
    <xf numFmtId="0" fontId="110" fillId="5" borderId="0" xfId="0" applyFont="1" applyFill="1" applyAlignment="1" applyProtection="1">
      <alignment vertical="center"/>
    </xf>
    <xf numFmtId="0" fontId="120" fillId="5" borderId="0" xfId="0" applyFont="1" applyFill="1" applyAlignment="1" applyProtection="1">
      <alignment vertical="center"/>
    </xf>
    <xf numFmtId="0" fontId="62" fillId="5" borderId="0" xfId="3" applyFont="1" applyFill="1" applyAlignment="1" applyProtection="1">
      <alignment vertical="center"/>
    </xf>
    <xf numFmtId="0" fontId="44" fillId="5" borderId="0" xfId="3" applyFont="1" applyFill="1" applyAlignment="1" applyProtection="1">
      <alignment vertical="center"/>
    </xf>
    <xf numFmtId="0" fontId="90" fillId="5" borderId="0" xfId="3" applyFont="1" applyFill="1" applyAlignment="1" applyProtection="1">
      <alignment horizontal="center" vertical="center" wrapText="1"/>
    </xf>
    <xf numFmtId="10" fontId="90" fillId="5" borderId="0" xfId="3" applyNumberFormat="1" applyFont="1" applyFill="1" applyAlignment="1" applyProtection="1">
      <alignment horizontal="center" vertical="center" wrapText="1"/>
    </xf>
    <xf numFmtId="0" fontId="44" fillId="5" borderId="1" xfId="3" applyFont="1" applyFill="1" applyBorder="1" applyAlignment="1" applyProtection="1">
      <alignment horizontal="center" vertical="center" wrapText="1"/>
    </xf>
    <xf numFmtId="0" fontId="149" fillId="5" borderId="0" xfId="3" applyFill="1" applyAlignment="1" applyProtection="1">
      <alignment vertical="center"/>
    </xf>
    <xf numFmtId="0" fontId="168" fillId="5" borderId="14" xfId="3" applyFont="1" applyFill="1" applyBorder="1" applyAlignment="1" applyProtection="1">
      <alignment vertical="center"/>
    </xf>
    <xf numFmtId="0" fontId="106" fillId="5" borderId="14" xfId="0" applyFont="1" applyFill="1" applyBorder="1" applyAlignment="1" applyProtection="1">
      <alignment vertical="center"/>
    </xf>
    <xf numFmtId="0" fontId="101" fillId="5" borderId="0" xfId="0" applyFont="1" applyFill="1" applyBorder="1" applyAlignment="1" applyProtection="1">
      <alignment horizontal="center" vertical="center"/>
    </xf>
    <xf numFmtId="0" fontId="110" fillId="5" borderId="0"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84" fillId="5" borderId="2" xfId="0" applyFont="1" applyFill="1" applyBorder="1" applyAlignment="1" applyProtection="1">
      <alignment horizontal="center" vertical="center" wrapText="1"/>
    </xf>
    <xf numFmtId="188" fontId="88" fillId="5" borderId="16" xfId="0" applyNumberFormat="1" applyFont="1" applyFill="1" applyBorder="1" applyAlignment="1" applyProtection="1">
      <alignment horizontal="center" vertical="center"/>
    </xf>
    <xf numFmtId="188" fontId="88" fillId="5" borderId="16" xfId="0" applyNumberFormat="1" applyFont="1" applyFill="1" applyBorder="1" applyAlignment="1" applyProtection="1">
      <alignment horizontal="center" vertical="center" wrapText="1"/>
    </xf>
    <xf numFmtId="188" fontId="88" fillId="5" borderId="46"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xf>
    <xf numFmtId="0" fontId="88" fillId="0" borderId="72" xfId="0" applyNumberFormat="1" applyFont="1" applyFill="1" applyBorder="1" applyAlignment="1" applyProtection="1">
      <alignment horizontal="center" vertical="center" wrapText="1"/>
    </xf>
    <xf numFmtId="188" fontId="88" fillId="5" borderId="9" xfId="0" applyNumberFormat="1" applyFont="1" applyFill="1" applyBorder="1" applyAlignment="1" applyProtection="1">
      <alignment horizontal="center" vertical="center"/>
    </xf>
    <xf numFmtId="188" fontId="88" fillId="5" borderId="9" xfId="0" applyNumberFormat="1" applyFont="1" applyFill="1" applyBorder="1" applyAlignment="1" applyProtection="1">
      <alignment horizontal="center" vertical="center" wrapText="1"/>
    </xf>
    <xf numFmtId="188" fontId="88" fillId="5" borderId="2"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wrapText="1"/>
    </xf>
    <xf numFmtId="0" fontId="121" fillId="0" borderId="0" xfId="0" applyFont="1" applyProtection="1">
      <alignment vertical="center"/>
    </xf>
    <xf numFmtId="0" fontId="80" fillId="0" borderId="0" xfId="0" applyNumberFormat="1" applyFont="1" applyAlignment="1" applyProtection="1">
      <alignment horizontal="center" vertical="center"/>
    </xf>
    <xf numFmtId="49" fontId="138" fillId="5" borderId="11" xfId="0" applyNumberFormat="1" applyFont="1" applyFill="1" applyBorder="1" applyAlignment="1" applyProtection="1">
      <alignment vertical="center" wrapText="1"/>
    </xf>
    <xf numFmtId="49" fontId="138" fillId="5" borderId="43" xfId="0" applyNumberFormat="1" applyFont="1" applyFill="1" applyBorder="1" applyAlignment="1" applyProtection="1">
      <alignment vertical="center" wrapText="1"/>
    </xf>
    <xf numFmtId="49" fontId="86" fillId="5" borderId="11" xfId="0" applyNumberFormat="1" applyFont="1" applyFill="1" applyBorder="1" applyAlignment="1" applyProtection="1">
      <alignment vertical="center" wrapText="1"/>
    </xf>
    <xf numFmtId="0" fontId="74" fillId="5" borderId="87" xfId="0" applyFont="1" applyFill="1" applyBorder="1" applyAlignment="1" applyProtection="1"/>
    <xf numFmtId="0" fontId="74" fillId="5" borderId="19" xfId="0" applyFont="1" applyFill="1" applyBorder="1" applyAlignment="1" applyProtection="1"/>
    <xf numFmtId="0" fontId="74" fillId="5" borderId="63" xfId="0" applyFont="1" applyFill="1" applyBorder="1" applyAlignment="1" applyProtection="1"/>
    <xf numFmtId="185" fontId="79" fillId="5" borderId="29" xfId="0" applyNumberFormat="1" applyFont="1" applyFill="1" applyBorder="1" applyAlignment="1" applyProtection="1">
      <alignment horizontal="center"/>
    </xf>
    <xf numFmtId="0" fontId="80" fillId="5" borderId="45" xfId="0" applyFont="1" applyFill="1" applyBorder="1" applyAlignment="1" applyProtection="1"/>
    <xf numFmtId="185" fontId="156" fillId="0" borderId="44" xfId="0" applyNumberFormat="1" applyFont="1" applyFill="1" applyBorder="1" applyAlignment="1" applyProtection="1">
      <alignment horizontal="center"/>
      <protection locked="0"/>
    </xf>
    <xf numFmtId="185" fontId="80" fillId="0" borderId="44" xfId="0" applyNumberFormat="1" applyFont="1" applyFill="1" applyBorder="1" applyAlignment="1" applyProtection="1">
      <alignment horizontal="center"/>
      <protection locked="0"/>
    </xf>
    <xf numFmtId="185" fontId="80" fillId="0" borderId="46" xfId="0" applyNumberFormat="1" applyFont="1" applyFill="1" applyBorder="1" applyAlignment="1" applyProtection="1">
      <alignment horizontal="center"/>
      <protection locked="0"/>
    </xf>
    <xf numFmtId="178" fontId="80" fillId="5" borderId="44" xfId="0" applyNumberFormat="1" applyFont="1" applyFill="1" applyBorder="1" applyAlignment="1" applyProtection="1">
      <alignment horizontal="center" vertical="center" wrapText="1"/>
    </xf>
    <xf numFmtId="186" fontId="80" fillId="5" borderId="44" xfId="0" applyNumberFormat="1" applyFont="1" applyFill="1" applyBorder="1" applyAlignment="1" applyProtection="1">
      <alignment horizontal="center" vertical="center"/>
    </xf>
    <xf numFmtId="10" fontId="80" fillId="5" borderId="44" xfId="0" applyNumberFormat="1" applyFont="1" applyFill="1" applyBorder="1" applyAlignment="1" applyProtection="1">
      <alignment horizontal="center" vertical="center" wrapText="1"/>
    </xf>
    <xf numFmtId="49" fontId="80" fillId="5" borderId="11" xfId="0" applyNumberFormat="1" applyFont="1" applyFill="1" applyBorder="1" applyAlignment="1" applyProtection="1">
      <alignment horizontal="left"/>
    </xf>
    <xf numFmtId="49" fontId="80" fillId="5" borderId="43" xfId="0"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9" fillId="5" borderId="11" xfId="0" applyNumberFormat="1" applyFont="1" applyFill="1" applyBorder="1" applyAlignment="1" applyProtection="1">
      <alignment horizontal="left" vertical="center" wrapText="1"/>
    </xf>
    <xf numFmtId="49" fontId="80" fillId="5" borderId="43" xfId="0" applyNumberFormat="1" applyFont="1" applyFill="1" applyBorder="1" applyAlignment="1" applyProtection="1">
      <alignment horizontal="left" vertical="center" wrapText="1"/>
    </xf>
    <xf numFmtId="49" fontId="137" fillId="5" borderId="11" xfId="2" applyNumberFormat="1" applyFont="1" applyFill="1" applyBorder="1" applyAlignment="1" applyProtection="1">
      <alignment horizontal="left"/>
    </xf>
    <xf numFmtId="49" fontId="139" fillId="5" borderId="10" xfId="0" applyNumberFormat="1" applyFont="1" applyFill="1" applyBorder="1" applyAlignment="1" applyProtection="1">
      <alignment horizontal="left" vertical="center" wrapText="1"/>
    </xf>
    <xf numFmtId="49" fontId="140" fillId="5" borderId="33" xfId="0" applyNumberFormat="1" applyFont="1" applyFill="1" applyBorder="1" applyAlignment="1" applyProtection="1">
      <alignment horizontal="center" vertical="center" wrapText="1"/>
    </xf>
    <xf numFmtId="49" fontId="139" fillId="5" borderId="33" xfId="0" applyNumberFormat="1" applyFont="1" applyFill="1" applyBorder="1" applyAlignment="1" applyProtection="1">
      <alignment horizontal="left" vertical="center" wrapText="1"/>
    </xf>
    <xf numFmtId="49" fontId="139" fillId="5" borderId="53" xfId="0" applyNumberFormat="1" applyFont="1" applyFill="1" applyBorder="1" applyAlignment="1" applyProtection="1">
      <alignment horizontal="left" vertical="center" wrapText="1"/>
    </xf>
    <xf numFmtId="49" fontId="139" fillId="5" borderId="1" xfId="0" applyNumberFormat="1" applyFont="1" applyFill="1" applyBorder="1" applyAlignment="1" applyProtection="1">
      <alignment horizontal="left" vertical="center" wrapText="1"/>
    </xf>
    <xf numFmtId="49" fontId="24" fillId="5" borderId="22" xfId="0" applyNumberFormat="1" applyFont="1" applyFill="1" applyBorder="1" applyAlignment="1" applyProtection="1">
      <alignment horizontal="center" vertical="center" wrapText="1"/>
    </xf>
    <xf numFmtId="49" fontId="101" fillId="5" borderId="2" xfId="2" applyNumberFormat="1" applyFont="1" applyFill="1" applyBorder="1" applyAlignment="1" applyProtection="1">
      <alignment vertical="center"/>
    </xf>
    <xf numFmtId="49" fontId="61" fillId="5" borderId="2" xfId="2" applyNumberFormat="1" applyFont="1" applyFill="1" applyBorder="1" applyAlignment="1" applyProtection="1">
      <alignment vertical="center"/>
    </xf>
    <xf numFmtId="49" fontId="87" fillId="5" borderId="3" xfId="0" applyNumberFormat="1" applyFont="1" applyFill="1" applyBorder="1" applyAlignment="1" applyProtection="1">
      <alignment vertical="center"/>
    </xf>
    <xf numFmtId="49" fontId="101" fillId="5" borderId="0" xfId="2" applyNumberFormat="1" applyFont="1" applyFill="1" applyBorder="1" applyAlignment="1" applyProtection="1">
      <alignment vertical="center"/>
    </xf>
    <xf numFmtId="49" fontId="80" fillId="5" borderId="11" xfId="0" applyNumberFormat="1" applyFont="1" applyFill="1" applyBorder="1" applyAlignment="1" applyProtection="1">
      <alignment horizontal="right" vertical="center"/>
    </xf>
    <xf numFmtId="49" fontId="80" fillId="5" borderId="11"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center" vertical="center"/>
    </xf>
    <xf numFmtId="49" fontId="80" fillId="5" borderId="22" xfId="0" applyNumberFormat="1" applyFont="1" applyFill="1" applyBorder="1" applyAlignment="1" applyProtection="1">
      <alignment horizontal="right" vertical="center"/>
    </xf>
    <xf numFmtId="0" fontId="44" fillId="5" borderId="2" xfId="3" applyNumberFormat="1" applyFont="1" applyFill="1" applyBorder="1" applyAlignment="1" applyProtection="1">
      <alignment horizontal="center" vertical="center" wrapText="1"/>
    </xf>
    <xf numFmtId="0" fontId="90" fillId="5" borderId="2" xfId="3" applyNumberFormat="1" applyFont="1" applyFill="1" applyBorder="1" applyAlignment="1" applyProtection="1">
      <alignment horizontal="center" vertical="center" wrapText="1"/>
    </xf>
    <xf numFmtId="0" fontId="189" fillId="0" borderId="0" xfId="7" applyFont="1">
      <alignment vertical="center"/>
    </xf>
    <xf numFmtId="0" fontId="149" fillId="0" borderId="0" xfId="7">
      <alignment vertical="center"/>
    </xf>
    <xf numFmtId="0" fontId="189" fillId="0" borderId="0" xfId="7" applyFont="1" applyAlignment="1">
      <alignment vertical="top" wrapText="1"/>
    </xf>
    <xf numFmtId="14" fontId="190" fillId="0" borderId="0" xfId="7" applyNumberFormat="1" applyFont="1" applyAlignment="1">
      <alignment horizontal="left" vertical="center"/>
    </xf>
    <xf numFmtId="0" fontId="82" fillId="5" borderId="33"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2" xfId="0" applyFont="1" applyFill="1" applyBorder="1" applyAlignment="1" applyProtection="1">
      <alignment horizontal="left" vertical="center"/>
    </xf>
    <xf numFmtId="14" fontId="82" fillId="0" borderId="10" xfId="0" applyNumberFormat="1" applyFont="1" applyFill="1" applyBorder="1" applyAlignment="1" applyProtection="1">
      <alignment horizontal="left" vertical="center"/>
      <protection locked="0"/>
    </xf>
    <xf numFmtId="0" fontId="82" fillId="5" borderId="10" xfId="0" applyFont="1" applyFill="1" applyBorder="1" applyAlignment="1" applyProtection="1">
      <alignment vertical="center" wrapText="1"/>
    </xf>
    <xf numFmtId="0" fontId="82" fillId="5" borderId="71" xfId="0" applyFont="1" applyFill="1" applyBorder="1" applyAlignment="1" applyProtection="1">
      <alignment horizontal="left" vertical="center"/>
    </xf>
    <xf numFmtId="0" fontId="82" fillId="5" borderId="17" xfId="0" applyFont="1" applyFill="1" applyBorder="1" applyAlignment="1" applyProtection="1">
      <alignment vertical="center" wrapText="1"/>
    </xf>
    <xf numFmtId="0" fontId="82" fillId="8" borderId="19" xfId="0" applyFont="1" applyFill="1" applyBorder="1" applyAlignment="1" applyProtection="1">
      <alignment vertical="center" wrapText="1"/>
    </xf>
    <xf numFmtId="0" fontId="82" fillId="8" borderId="20" xfId="0" applyFont="1" applyFill="1" applyBorder="1" applyAlignment="1" applyProtection="1">
      <alignment vertical="center" wrapText="1"/>
    </xf>
    <xf numFmtId="0" fontId="82" fillId="8" borderId="32" xfId="0" applyFont="1" applyFill="1" applyBorder="1" applyAlignment="1" applyProtection="1">
      <alignment vertical="center" wrapText="1"/>
    </xf>
    <xf numFmtId="0" fontId="82" fillId="5" borderId="4" xfId="0" applyFont="1" applyFill="1" applyBorder="1" applyAlignment="1" applyProtection="1">
      <alignment vertical="center" wrapText="1"/>
    </xf>
    <xf numFmtId="0" fontId="82" fillId="6" borderId="5" xfId="0" applyFont="1" applyFill="1" applyBorder="1" applyAlignment="1" applyProtection="1">
      <alignment horizontal="left" vertical="center" wrapText="1"/>
      <protection locked="0"/>
    </xf>
    <xf numFmtId="0" fontId="82" fillId="6" borderId="8" xfId="0" applyFont="1" applyFill="1" applyBorder="1" applyAlignment="1" applyProtection="1">
      <alignment vertical="center" wrapText="1"/>
    </xf>
    <xf numFmtId="0" fontId="82" fillId="6" borderId="9" xfId="0" applyFont="1" applyFill="1" applyBorder="1" applyAlignment="1" applyProtection="1">
      <alignment vertical="center" wrapText="1"/>
    </xf>
    <xf numFmtId="0" fontId="82" fillId="5" borderId="84" xfId="0" applyFont="1" applyFill="1" applyBorder="1" applyAlignment="1" applyProtection="1">
      <alignment vertical="center" wrapText="1"/>
    </xf>
    <xf numFmtId="0" fontId="82" fillId="6" borderId="84" xfId="0" applyFont="1" applyFill="1" applyBorder="1" applyAlignment="1" applyProtection="1">
      <alignment horizontal="left" vertical="center"/>
      <protection locked="0"/>
    </xf>
    <xf numFmtId="0" fontId="82" fillId="6" borderId="85" xfId="0" applyFont="1" applyFill="1" applyBorder="1" applyAlignment="1" applyProtection="1">
      <alignment vertical="center" wrapText="1"/>
    </xf>
    <xf numFmtId="0" fontId="82" fillId="8" borderId="19" xfId="0" applyFont="1" applyFill="1" applyBorder="1" applyAlignment="1" applyProtection="1">
      <alignment vertical="center" wrapText="1"/>
      <protection locked="0"/>
    </xf>
    <xf numFmtId="49" fontId="82" fillId="5" borderId="21" xfId="0" applyNumberFormat="1" applyFont="1" applyFill="1" applyBorder="1" applyAlignment="1" applyProtection="1">
      <alignment horizontal="left" vertical="center" wrapText="1"/>
    </xf>
    <xf numFmtId="49" fontId="191" fillId="0" borderId="17" xfId="0" applyNumberFormat="1" applyFont="1" applyFill="1" applyBorder="1" applyAlignment="1" applyProtection="1">
      <alignment horizontal="left" vertical="center"/>
      <protection locked="0"/>
    </xf>
    <xf numFmtId="0" fontId="82" fillId="8" borderId="8" xfId="0" applyFont="1" applyFill="1" applyBorder="1" applyAlignment="1" applyProtection="1">
      <alignment vertical="center" wrapText="1"/>
      <protection locked="0"/>
    </xf>
    <xf numFmtId="49" fontId="82" fillId="5" borderId="10" xfId="0" applyNumberFormat="1" applyFont="1" applyFill="1" applyBorder="1" applyAlignment="1" applyProtection="1">
      <alignment horizontal="left" vertical="center" wrapText="1"/>
    </xf>
    <xf numFmtId="0" fontId="82" fillId="6" borderId="10" xfId="0" applyFont="1" applyFill="1" applyBorder="1" applyAlignment="1" applyProtection="1">
      <alignment horizontal="center" vertical="center" wrapText="1"/>
      <protection locked="0"/>
    </xf>
    <xf numFmtId="0" fontId="82" fillId="2" borderId="3" xfId="0" applyFont="1" applyFill="1" applyBorder="1" applyAlignment="1" applyProtection="1">
      <alignment horizontal="left" vertical="center" wrapText="1"/>
    </xf>
    <xf numFmtId="0" fontId="82" fillId="5" borderId="19" xfId="0" applyFont="1" applyFill="1" applyBorder="1" applyAlignment="1" applyProtection="1">
      <alignment vertical="center" wrapText="1"/>
    </xf>
    <xf numFmtId="178" fontId="82" fillId="6" borderId="2" xfId="2" applyNumberFormat="1" applyFont="1" applyFill="1" applyBorder="1" applyAlignment="1" applyProtection="1">
      <alignment horizontal="center" vertical="center"/>
      <protection locked="0"/>
    </xf>
    <xf numFmtId="180"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left" vertical="center" wrapText="1"/>
    </xf>
    <xf numFmtId="0" fontId="82" fillId="5" borderId="65" xfId="0" applyFont="1" applyFill="1" applyBorder="1" applyAlignment="1" applyProtection="1">
      <alignment vertical="center" wrapText="1"/>
    </xf>
    <xf numFmtId="0" fontId="82" fillId="5" borderId="88" xfId="0" applyFont="1" applyFill="1" applyBorder="1" applyAlignment="1" applyProtection="1">
      <alignment vertical="center" wrapText="1"/>
    </xf>
    <xf numFmtId="0" fontId="144" fillId="6" borderId="2" xfId="0" applyFont="1" applyFill="1" applyBorder="1" applyAlignment="1" applyProtection="1">
      <alignment horizontal="center" vertical="center" wrapText="1"/>
      <protection locked="0"/>
    </xf>
    <xf numFmtId="0" fontId="82" fillId="0" borderId="0" xfId="0" applyFont="1" applyAlignment="1" applyProtection="1">
      <alignment vertical="center" wrapText="1"/>
    </xf>
    <xf numFmtId="49" fontId="82" fillId="0" borderId="0" xfId="0" applyNumberFormat="1" applyFont="1" applyAlignment="1" applyProtection="1">
      <alignment horizontal="center" vertical="center" wrapText="1"/>
    </xf>
    <xf numFmtId="0" fontId="82" fillId="0" borderId="0" xfId="0" applyFont="1" applyAlignment="1" applyProtection="1">
      <alignment horizontal="center" vertical="center" wrapText="1"/>
    </xf>
    <xf numFmtId="0" fontId="82" fillId="5" borderId="0" xfId="0" applyFont="1" applyFill="1" applyAlignment="1" applyProtection="1">
      <alignment vertical="center" wrapText="1"/>
    </xf>
    <xf numFmtId="0" fontId="82" fillId="5" borderId="0" xfId="0" applyFont="1" applyFill="1" applyAlignment="1" applyProtection="1">
      <alignment horizontal="center" vertical="center" wrapText="1"/>
    </xf>
    <xf numFmtId="0" fontId="82" fillId="0" borderId="2" xfId="0" applyFont="1" applyBorder="1" applyAlignment="1" applyProtection="1">
      <alignment vertical="center" wrapText="1"/>
    </xf>
    <xf numFmtId="0" fontId="82" fillId="5" borderId="5" xfId="0" applyFont="1" applyFill="1" applyBorder="1" applyAlignment="1" applyProtection="1">
      <alignment vertical="center"/>
    </xf>
    <xf numFmtId="0" fontId="82" fillId="2" borderId="32" xfId="0" applyFont="1" applyFill="1" applyBorder="1" applyAlignment="1" applyProtection="1">
      <alignment horizontal="left" vertical="center" wrapText="1"/>
      <protection locked="0"/>
    </xf>
    <xf numFmtId="0" fontId="82" fillId="5" borderId="2" xfId="0" applyFont="1" applyFill="1" applyBorder="1" applyAlignment="1" applyProtection="1">
      <alignment vertical="center" wrapText="1"/>
    </xf>
    <xf numFmtId="184" fontId="82" fillId="0" borderId="2" xfId="0" applyNumberFormat="1" applyFont="1" applyFill="1" applyBorder="1" applyAlignment="1" applyProtection="1">
      <alignment horizontal="center" vertical="center" shrinkToFit="1"/>
      <protection locked="0"/>
    </xf>
    <xf numFmtId="0" fontId="82" fillId="5" borderId="3" xfId="0" applyFont="1" applyFill="1" applyBorder="1" applyAlignment="1" applyProtection="1">
      <alignment vertical="center"/>
    </xf>
    <xf numFmtId="0" fontId="82" fillId="6" borderId="3" xfId="0" applyFont="1" applyFill="1" applyBorder="1" applyAlignment="1" applyProtection="1">
      <alignment horizontal="center" vertical="center" wrapText="1"/>
      <protection locked="0"/>
    </xf>
    <xf numFmtId="0" fontId="82" fillId="5" borderId="55" xfId="0" applyFont="1" applyFill="1" applyBorder="1" applyAlignment="1" applyProtection="1">
      <alignment horizontal="center" vertical="center" wrapText="1"/>
    </xf>
    <xf numFmtId="0" fontId="82" fillId="6" borderId="55" xfId="0" applyFont="1" applyFill="1" applyBorder="1" applyAlignment="1" applyProtection="1">
      <alignment horizontal="center" vertical="center" wrapText="1"/>
      <protection locked="0"/>
    </xf>
    <xf numFmtId="0" fontId="192" fillId="5" borderId="55" xfId="0" applyFont="1" applyFill="1" applyBorder="1" applyAlignment="1" applyProtection="1">
      <alignment vertical="center" wrapText="1"/>
    </xf>
    <xf numFmtId="0" fontId="82" fillId="6" borderId="69" xfId="0"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xf>
    <xf numFmtId="0" fontId="82" fillId="5" borderId="35" xfId="0" applyFont="1" applyFill="1" applyBorder="1" applyAlignment="1" applyProtection="1">
      <alignment vertical="center"/>
    </xf>
    <xf numFmtId="0" fontId="82" fillId="6" borderId="12" xfId="0" applyFont="1" applyFill="1" applyBorder="1" applyAlignment="1" applyProtection="1">
      <alignment horizontal="center" vertical="center" wrapText="1"/>
      <protection locked="0"/>
    </xf>
    <xf numFmtId="0" fontId="191" fillId="0" borderId="11" xfId="0" applyFont="1" applyBorder="1" applyAlignment="1" applyProtection="1">
      <alignment vertical="center" wrapText="1"/>
      <protection locked="0"/>
    </xf>
    <xf numFmtId="0" fontId="82" fillId="6" borderId="5" xfId="0" applyFont="1" applyFill="1" applyBorder="1" applyAlignment="1" applyProtection="1">
      <alignment horizontal="center" vertical="center" wrapText="1"/>
      <protection locked="0"/>
    </xf>
    <xf numFmtId="0" fontId="82" fillId="0" borderId="89" xfId="0" applyFont="1" applyBorder="1" applyAlignment="1" applyProtection="1">
      <alignment vertical="center" wrapText="1"/>
      <protection locked="0"/>
    </xf>
    <xf numFmtId="184" fontId="191" fillId="0" borderId="12" xfId="0" applyNumberFormat="1" applyFont="1" applyFill="1" applyBorder="1" applyAlignment="1" applyProtection="1">
      <alignment horizontal="left" vertical="center" shrinkToFit="1"/>
      <protection locked="0"/>
    </xf>
    <xf numFmtId="184" fontId="191" fillId="0" borderId="57" xfId="0" applyNumberFormat="1" applyFont="1" applyFill="1" applyBorder="1" applyAlignment="1" applyProtection="1">
      <alignment horizontal="left" vertical="center" shrinkToFit="1"/>
      <protection locked="0"/>
    </xf>
    <xf numFmtId="0" fontId="191" fillId="0" borderId="12" xfId="0" applyFont="1" applyFill="1" applyBorder="1" applyAlignment="1" applyProtection="1">
      <alignment horizontal="left" vertical="center" wrapText="1"/>
      <protection locked="0"/>
    </xf>
    <xf numFmtId="0" fontId="191" fillId="0" borderId="16" xfId="0" applyFont="1" applyFill="1" applyBorder="1" applyAlignment="1" applyProtection="1">
      <alignment horizontal="left" vertical="center" wrapText="1"/>
      <protection locked="0"/>
    </xf>
    <xf numFmtId="0" fontId="191" fillId="0" borderId="72" xfId="0" applyFont="1" applyFill="1" applyBorder="1" applyAlignment="1" applyProtection="1">
      <alignment horizontal="left" vertical="center" wrapText="1"/>
      <protection locked="0"/>
    </xf>
    <xf numFmtId="0" fontId="191" fillId="0" borderId="90"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0" borderId="21" xfId="0" applyFont="1" applyBorder="1" applyAlignment="1" applyProtection="1">
      <alignment horizontal="left" vertical="center" wrapText="1"/>
      <protection locked="0"/>
    </xf>
    <xf numFmtId="0" fontId="82" fillId="2" borderId="5" xfId="0" applyFont="1" applyFill="1" applyBorder="1" applyAlignment="1" applyProtection="1">
      <alignment vertical="center"/>
      <protection locked="0"/>
    </xf>
    <xf numFmtId="0" fontId="82" fillId="6" borderId="2" xfId="0" applyFont="1" applyFill="1" applyBorder="1" applyAlignment="1" applyProtection="1">
      <alignment vertical="center" wrapText="1"/>
      <protection locked="0"/>
    </xf>
    <xf numFmtId="49" fontId="82" fillId="5" borderId="0" xfId="0" applyNumberFormat="1" applyFont="1" applyFill="1" applyAlignment="1" applyProtection="1">
      <alignment horizontal="center" vertical="center" wrapText="1"/>
    </xf>
    <xf numFmtId="0" fontId="82" fillId="5" borderId="5" xfId="0" applyFont="1" applyFill="1" applyBorder="1" applyAlignment="1" applyProtection="1">
      <alignment vertical="center" wrapText="1"/>
    </xf>
    <xf numFmtId="14" fontId="82" fillId="0" borderId="17" xfId="0" applyNumberFormat="1" applyFont="1" applyBorder="1" applyAlignment="1" applyProtection="1">
      <alignment vertical="center" wrapText="1"/>
      <protection locked="0"/>
    </xf>
    <xf numFmtId="0" fontId="82" fillId="5" borderId="20" xfId="0" applyFont="1" applyFill="1" applyBorder="1" applyAlignment="1" applyProtection="1">
      <alignment vertical="center" wrapText="1"/>
    </xf>
    <xf numFmtId="0" fontId="82" fillId="5" borderId="18" xfId="0" applyFont="1" applyFill="1" applyBorder="1" applyAlignment="1" applyProtection="1">
      <alignment vertical="center"/>
    </xf>
    <xf numFmtId="0" fontId="82" fillId="5" borderId="8" xfId="0" applyFont="1" applyFill="1" applyBorder="1" applyAlignment="1" applyProtection="1">
      <alignment vertical="center"/>
    </xf>
    <xf numFmtId="0" fontId="82" fillId="5" borderId="9" xfId="0" applyFont="1" applyFill="1" applyBorder="1" applyAlignment="1" applyProtection="1">
      <alignment vertical="center" wrapText="1"/>
    </xf>
    <xf numFmtId="0" fontId="82" fillId="0" borderId="2" xfId="0" applyFont="1" applyBorder="1" applyAlignment="1" applyProtection="1">
      <alignment horizontal="center" vertical="center" wrapText="1"/>
    </xf>
    <xf numFmtId="192" fontId="82" fillId="5" borderId="2" xfId="0" applyNumberFormat="1" applyFont="1" applyFill="1" applyBorder="1" applyAlignment="1" applyProtection="1">
      <alignment vertical="center" wrapText="1"/>
    </xf>
    <xf numFmtId="0" fontId="82" fillId="5" borderId="9" xfId="0" applyNumberFormat="1" applyFont="1" applyFill="1" applyBorder="1" applyAlignment="1" applyProtection="1">
      <alignment horizontal="center" vertical="center" wrapText="1"/>
    </xf>
    <xf numFmtId="0" fontId="82" fillId="5" borderId="2" xfId="0" applyFont="1" applyFill="1" applyBorder="1" applyAlignment="1" applyProtection="1">
      <alignment vertical="center"/>
    </xf>
    <xf numFmtId="0" fontId="82" fillId="0" borderId="2" xfId="0" applyFont="1" applyBorder="1" applyAlignment="1" applyProtection="1">
      <alignment vertical="center"/>
    </xf>
    <xf numFmtId="0" fontId="82" fillId="5" borderId="3" xfId="0" applyFont="1" applyFill="1" applyBorder="1" applyAlignment="1" applyProtection="1">
      <alignment vertical="center" wrapText="1"/>
    </xf>
    <xf numFmtId="0" fontId="82" fillId="0" borderId="2" xfId="0" applyFont="1" applyBorder="1" applyAlignment="1" applyProtection="1">
      <alignment horizontal="center" vertical="center" wrapText="1"/>
      <protection locked="0"/>
    </xf>
    <xf numFmtId="0" fontId="82" fillId="5" borderId="21" xfId="0" applyFont="1" applyFill="1" applyBorder="1" applyAlignment="1" applyProtection="1">
      <alignment vertical="center" wrapText="1"/>
    </xf>
    <xf numFmtId="49" fontId="82" fillId="6" borderId="2" xfId="0" applyNumberFormat="1" applyFont="1" applyFill="1" applyBorder="1" applyAlignment="1" applyProtection="1">
      <alignment horizontal="center" vertical="center" wrapText="1"/>
      <protection locked="0"/>
    </xf>
    <xf numFmtId="49" fontId="82" fillId="0" borderId="2" xfId="0" applyNumberFormat="1" applyFont="1" applyFill="1" applyBorder="1" applyAlignment="1" applyProtection="1">
      <alignment horizontal="center" vertical="center" wrapText="1"/>
      <protection locked="0"/>
    </xf>
    <xf numFmtId="0" fontId="50" fillId="5" borderId="5" xfId="0" applyFont="1" applyFill="1" applyBorder="1" applyAlignment="1" applyProtection="1">
      <alignment vertical="center"/>
    </xf>
    <xf numFmtId="0" fontId="82" fillId="5" borderId="8" xfId="0" applyFont="1" applyFill="1" applyBorder="1" applyAlignment="1" applyProtection="1">
      <alignment vertical="center" wrapText="1"/>
    </xf>
    <xf numFmtId="0" fontId="82" fillId="5" borderId="91" xfId="0" applyFont="1" applyFill="1" applyBorder="1" applyAlignment="1" applyProtection="1">
      <alignment vertical="center" wrapText="1"/>
    </xf>
    <xf numFmtId="0" fontId="82" fillId="5" borderId="91" xfId="0" applyFont="1" applyFill="1" applyBorder="1" applyAlignment="1" applyProtection="1">
      <alignment horizontal="center" vertical="center" wrapText="1"/>
    </xf>
    <xf numFmtId="0" fontId="82" fillId="5" borderId="17" xfId="0" applyFont="1" applyFill="1" applyBorder="1" applyAlignment="1" applyProtection="1">
      <alignment horizontal="left" vertical="center"/>
    </xf>
    <xf numFmtId="0" fontId="82" fillId="0" borderId="19" xfId="0" applyFont="1" applyFill="1" applyBorder="1" applyAlignment="1" applyProtection="1">
      <alignment vertical="center" wrapText="1"/>
    </xf>
    <xf numFmtId="0" fontId="82" fillId="8" borderId="19" xfId="0" applyFont="1" applyFill="1" applyBorder="1" applyAlignment="1" applyProtection="1">
      <alignment horizontal="center" vertical="center" wrapText="1"/>
    </xf>
    <xf numFmtId="0" fontId="82" fillId="6" borderId="86" xfId="0" applyFont="1" applyFill="1" applyBorder="1" applyAlignment="1" applyProtection="1">
      <alignment vertical="center" wrapText="1"/>
    </xf>
    <xf numFmtId="0" fontId="82" fillId="6" borderId="9" xfId="0" applyFont="1" applyFill="1" applyBorder="1" applyAlignment="1" applyProtection="1">
      <alignment horizontal="center" vertical="center" wrapText="1"/>
      <protection locked="0"/>
    </xf>
    <xf numFmtId="0" fontId="82" fillId="6" borderId="9" xfId="0" applyFont="1" applyFill="1" applyBorder="1" applyAlignment="1" applyProtection="1">
      <alignment horizontal="center" vertical="center" wrapText="1" shrinkToFit="1"/>
      <protection locked="0"/>
    </xf>
    <xf numFmtId="0" fontId="82" fillId="5" borderId="10" xfId="0" applyFont="1" applyFill="1" applyBorder="1" applyAlignment="1" applyProtection="1">
      <alignment horizontal="right" vertical="center" wrapText="1"/>
    </xf>
    <xf numFmtId="0" fontId="82" fillId="5" borderId="3" xfId="0" applyFont="1" applyFill="1" applyBorder="1" applyAlignment="1" applyProtection="1">
      <alignment horizontal="right" vertical="center" wrapText="1"/>
    </xf>
    <xf numFmtId="0" fontId="82" fillId="5" borderId="21"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wrapText="1"/>
    </xf>
    <xf numFmtId="0" fontId="82" fillId="5" borderId="86" xfId="0" applyFont="1" applyFill="1" applyBorder="1" applyAlignment="1" applyProtection="1">
      <alignment horizontal="right" vertical="center" wrapText="1"/>
    </xf>
    <xf numFmtId="0" fontId="82" fillId="5" borderId="22" xfId="0" applyFont="1" applyFill="1" applyBorder="1" applyAlignment="1" applyProtection="1">
      <alignment horizontal="right" vertical="center" wrapText="1"/>
    </xf>
    <xf numFmtId="0" fontId="82" fillId="5" borderId="24" xfId="0" applyFont="1" applyFill="1" applyBorder="1" applyAlignment="1" applyProtection="1">
      <alignment horizontal="left" vertical="center" wrapText="1"/>
    </xf>
    <xf numFmtId="0" fontId="82" fillId="5" borderId="92" xfId="0" applyFont="1" applyFill="1" applyBorder="1" applyAlignment="1" applyProtection="1">
      <alignment horizontal="left" vertical="center" wrapText="1"/>
    </xf>
    <xf numFmtId="180" fontId="82" fillId="5" borderId="10" xfId="0" applyNumberFormat="1" applyFont="1" applyFill="1" applyBorder="1" applyAlignment="1" applyProtection="1">
      <alignment horizontal="center" vertical="center" wrapText="1"/>
    </xf>
    <xf numFmtId="0" fontId="82" fillId="5" borderId="21" xfId="0" applyFont="1" applyFill="1" applyBorder="1" applyAlignment="1" applyProtection="1">
      <alignment horizontal="center" vertical="center" wrapText="1"/>
    </xf>
    <xf numFmtId="0" fontId="82" fillId="5" borderId="21" xfId="0" applyFont="1" applyFill="1" applyBorder="1" applyAlignment="1" applyProtection="1">
      <alignment horizontal="left" vertical="center" wrapText="1"/>
    </xf>
    <xf numFmtId="0" fontId="82" fillId="8" borderId="8" xfId="0" applyFont="1" applyFill="1" applyBorder="1" applyAlignment="1" applyProtection="1">
      <alignment vertical="center" wrapText="1"/>
    </xf>
    <xf numFmtId="0" fontId="82" fillId="8" borderId="9" xfId="0" applyFont="1" applyFill="1" applyBorder="1" applyAlignment="1" applyProtection="1">
      <alignment vertical="center" wrapText="1"/>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5" borderId="10" xfId="0" applyFont="1" applyFill="1" applyBorder="1" applyAlignment="1" applyProtection="1">
      <alignment horizontal="left" vertical="center" wrapText="1"/>
    </xf>
    <xf numFmtId="49" fontId="82" fillId="5" borderId="2" xfId="0" applyNumberFormat="1" applyFont="1" applyFill="1" applyBorder="1" applyAlignment="1" applyProtection="1">
      <alignment horizontal="center" vertical="center" wrapText="1"/>
    </xf>
    <xf numFmtId="0" fontId="169" fillId="5" borderId="0" xfId="0" applyFont="1" applyFill="1" applyBorder="1" applyAlignment="1" applyProtection="1">
      <alignment horizontal="left" vertical="center"/>
    </xf>
    <xf numFmtId="0" fontId="169" fillId="5" borderId="0" xfId="0" applyFont="1" applyFill="1" applyProtection="1">
      <alignment vertical="center"/>
    </xf>
    <xf numFmtId="0" fontId="169" fillId="5" borderId="0" xfId="0" applyFont="1" applyFill="1" applyAlignment="1" applyProtection="1">
      <alignment horizontal="center" vertical="center"/>
    </xf>
    <xf numFmtId="0" fontId="169" fillId="5" borderId="0" xfId="0" applyFont="1" applyFill="1" applyBorder="1" applyAlignment="1" applyProtection="1">
      <alignment horizontal="center" vertical="center"/>
    </xf>
    <xf numFmtId="0" fontId="171" fillId="0" borderId="0" xfId="0" applyFont="1" applyBorder="1" applyAlignment="1" applyProtection="1">
      <alignment horizontal="center" vertical="center"/>
    </xf>
    <xf numFmtId="49" fontId="82" fillId="5" borderId="5" xfId="0" applyNumberFormat="1" applyFont="1" applyFill="1" applyBorder="1" applyAlignment="1" applyProtection="1">
      <alignment horizontal="center" vertical="center" wrapText="1"/>
    </xf>
    <xf numFmtId="49" fontId="82" fillId="0" borderId="13" xfId="0" applyNumberFormat="1" applyFont="1" applyBorder="1" applyAlignment="1" applyProtection="1">
      <alignment horizontal="center" vertical="center" wrapText="1"/>
    </xf>
    <xf numFmtId="49" fontId="82" fillId="5" borderId="13" xfId="0" applyNumberFormat="1" applyFont="1" applyFill="1" applyBorder="1" applyAlignment="1" applyProtection="1">
      <alignment horizontal="center" vertical="center" wrapText="1"/>
    </xf>
    <xf numFmtId="49" fontId="82" fillId="5" borderId="13" xfId="0" applyNumberFormat="1" applyFont="1" applyFill="1" applyBorder="1" applyAlignment="1" applyProtection="1">
      <alignment horizontal="left" vertical="center"/>
    </xf>
    <xf numFmtId="0" fontId="82" fillId="5" borderId="5" xfId="0" applyFont="1" applyFill="1" applyBorder="1" applyAlignment="1" applyProtection="1">
      <alignment horizontal="left" vertical="center" wrapText="1"/>
    </xf>
    <xf numFmtId="0" fontId="193" fillId="5" borderId="0" xfId="0" applyFont="1" applyFill="1" applyProtection="1">
      <alignment vertical="center"/>
    </xf>
    <xf numFmtId="0" fontId="15" fillId="5" borderId="0" xfId="0" applyFont="1" applyFill="1" applyProtection="1">
      <alignment vertical="center"/>
    </xf>
    <xf numFmtId="0" fontId="194" fillId="0" borderId="0" xfId="0" applyFont="1" applyBorder="1" applyAlignment="1" applyProtection="1">
      <alignment horizontal="center" vertical="center"/>
    </xf>
    <xf numFmtId="0" fontId="164" fillId="0" borderId="0" xfId="0" applyFont="1" applyProtection="1">
      <alignment vertical="center"/>
    </xf>
    <xf numFmtId="0" fontId="164" fillId="0" borderId="0" xfId="0" applyFont="1" applyBorder="1" applyProtection="1">
      <alignment vertical="center"/>
    </xf>
    <xf numFmtId="184" fontId="195" fillId="0" borderId="0" xfId="0" applyNumberFormat="1" applyFont="1" applyAlignment="1" applyProtection="1">
      <alignment horizontal="left" vertical="center"/>
    </xf>
    <xf numFmtId="0" fontId="164" fillId="0" borderId="0" xfId="0" applyFont="1" applyAlignment="1" applyProtection="1">
      <alignment vertical="center" wrapText="1"/>
    </xf>
    <xf numFmtId="0" fontId="164" fillId="0" borderId="0" xfId="0" applyFont="1" applyAlignment="1" applyProtection="1">
      <alignment vertical="center" wrapText="1" shrinkToFit="1"/>
    </xf>
    <xf numFmtId="0" fontId="82" fillId="5" borderId="4" xfId="0" applyFont="1" applyFill="1" applyBorder="1" applyAlignment="1" applyProtection="1">
      <alignment vertical="center"/>
    </xf>
    <xf numFmtId="0" fontId="82" fillId="5" borderId="5" xfId="0" applyFont="1" applyFill="1" applyBorder="1" applyAlignment="1" applyProtection="1">
      <alignment horizontal="right" vertical="center" wrapText="1"/>
    </xf>
    <xf numFmtId="0" fontId="82" fillId="5" borderId="8"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xf>
    <xf numFmtId="0" fontId="82" fillId="8" borderId="5" xfId="0" applyFont="1" applyFill="1" applyBorder="1" applyAlignment="1" applyProtection="1">
      <alignment vertical="center"/>
      <protection locked="0"/>
    </xf>
    <xf numFmtId="0" fontId="82" fillId="6" borderId="2" xfId="0" applyFont="1" applyFill="1" applyBorder="1" applyAlignment="1" applyProtection="1">
      <alignment horizontal="center" vertical="center"/>
      <protection locked="0"/>
    </xf>
    <xf numFmtId="179" fontId="82" fillId="5" borderId="0" xfId="0" applyNumberFormat="1" applyFont="1" applyFill="1" applyBorder="1" applyAlignment="1" applyProtection="1">
      <alignment vertical="center" wrapText="1"/>
    </xf>
    <xf numFmtId="0" fontId="82" fillId="6" borderId="2" xfId="0" applyFont="1" applyFill="1" applyBorder="1" applyAlignment="1" applyProtection="1">
      <alignment horizontal="center" vertical="center" wrapText="1"/>
      <protection locked="0"/>
    </xf>
    <xf numFmtId="0" fontId="195"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0" fontId="198" fillId="0" borderId="0" xfId="0" applyFont="1" applyAlignment="1" applyProtection="1">
      <alignment horizontal="left" vertical="center"/>
    </xf>
    <xf numFmtId="0" fontId="16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199" fillId="0" borderId="0" xfId="0" applyFont="1" applyAlignment="1">
      <alignment horizontal="right" vertical="center" wrapText="1"/>
    </xf>
    <xf numFmtId="0" fontId="0" fillId="0" borderId="0" xfId="0" applyFont="1" applyAlignment="1">
      <alignment vertical="center" wrapText="1"/>
    </xf>
    <xf numFmtId="0" fontId="199" fillId="0" borderId="0" xfId="0" applyFont="1" applyAlignment="1">
      <alignment vertical="center" wrapText="1"/>
    </xf>
    <xf numFmtId="0" fontId="79" fillId="5" borderId="4" xfId="0" applyFont="1" applyFill="1" applyBorder="1" applyAlignment="1" applyProtection="1">
      <alignment horizontal="right" vertical="center"/>
    </xf>
    <xf numFmtId="0" fontId="22" fillId="5" borderId="2" xfId="0" applyFont="1" applyFill="1" applyBorder="1" applyProtection="1">
      <alignment vertical="center"/>
    </xf>
    <xf numFmtId="0" fontId="22" fillId="6" borderId="2" xfId="0" applyFont="1" applyFill="1" applyBorder="1" applyAlignment="1" applyProtection="1">
      <alignment horizontal="center" vertical="center"/>
      <protection locked="0"/>
    </xf>
    <xf numFmtId="0" fontId="22" fillId="6" borderId="2" xfId="0" applyFont="1" applyFill="1" applyBorder="1" applyAlignment="1" applyProtection="1">
      <alignment horizontal="center" vertical="center" wrapText="1"/>
      <protection locked="0"/>
    </xf>
    <xf numFmtId="0" fontId="200" fillId="0" borderId="0" xfId="0" applyFont="1">
      <alignment vertical="center"/>
    </xf>
    <xf numFmtId="0" fontId="201" fillId="0" borderId="0" xfId="0" applyFont="1">
      <alignment vertical="center"/>
    </xf>
    <xf numFmtId="0" fontId="200" fillId="0" borderId="0" xfId="0" applyFont="1" applyAlignment="1">
      <alignment horizontal="right" vertical="center"/>
    </xf>
    <xf numFmtId="0" fontId="200" fillId="0" borderId="2" xfId="0" applyFont="1" applyBorder="1" applyAlignment="1">
      <alignment horizontal="center" vertical="center" wrapText="1"/>
    </xf>
    <xf numFmtId="0" fontId="202"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0"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182" fontId="75" fillId="0" borderId="5" xfId="0" applyNumberFormat="1" applyFont="1" applyFill="1" applyBorder="1" applyAlignment="1" applyProtection="1">
      <alignment horizontal="center" vertical="center"/>
      <protection locked="0"/>
    </xf>
    <xf numFmtId="0" fontId="21" fillId="5" borderId="29" xfId="0" applyFont="1" applyFill="1" applyBorder="1" applyAlignment="1" applyProtection="1">
      <alignment horizontal="center" vertical="center" wrapText="1"/>
    </xf>
    <xf numFmtId="0" fontId="21" fillId="5" borderId="6"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xf>
    <xf numFmtId="0" fontId="80" fillId="5" borderId="27" xfId="0" applyFont="1" applyFill="1" applyBorder="1" applyAlignment="1" applyProtection="1">
      <alignment horizontal="center" vertical="center"/>
    </xf>
    <xf numFmtId="0" fontId="80" fillId="5" borderId="17" xfId="0" applyFont="1" applyFill="1" applyBorder="1" applyAlignment="1" applyProtection="1">
      <alignment horizontal="left" vertical="center"/>
    </xf>
    <xf numFmtId="0" fontId="80" fillId="5" borderId="32" xfId="0" applyFont="1" applyFill="1" applyBorder="1" applyAlignment="1" applyProtection="1">
      <alignment vertical="center"/>
    </xf>
    <xf numFmtId="0" fontId="80" fillId="5" borderId="18" xfId="0" applyFont="1" applyFill="1" applyBorder="1" applyAlignment="1" applyProtection="1">
      <alignment vertical="center"/>
    </xf>
    <xf numFmtId="0" fontId="80" fillId="5" borderId="20" xfId="0" applyFont="1" applyFill="1" applyBorder="1" applyAlignment="1" applyProtection="1">
      <alignment vertical="center"/>
    </xf>
    <xf numFmtId="0" fontId="89" fillId="5" borderId="32"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21" xfId="0" applyFont="1" applyFill="1" applyBorder="1" applyAlignment="1" applyProtection="1">
      <alignment horizontal="left" vertical="center"/>
    </xf>
    <xf numFmtId="49" fontId="80" fillId="5" borderId="53" xfId="0" applyNumberFormat="1" applyFont="1" applyFill="1" applyBorder="1" applyAlignment="1" applyProtection="1">
      <alignment horizontal="center" vertical="center"/>
    </xf>
    <xf numFmtId="49" fontId="89" fillId="5" borderId="50"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left" vertical="center"/>
    </xf>
    <xf numFmtId="49" fontId="80" fillId="5" borderId="50" xfId="0" applyNumberFormat="1" applyFont="1" applyFill="1" applyBorder="1" applyAlignment="1" applyProtection="1">
      <alignment horizontal="left" vertical="center"/>
    </xf>
    <xf numFmtId="49" fontId="80" fillId="5" borderId="10" xfId="0" applyNumberFormat="1" applyFont="1" applyFill="1" applyBorder="1" applyAlignment="1" applyProtection="1">
      <alignment horizontal="left" vertical="center"/>
    </xf>
    <xf numFmtId="49" fontId="80" fillId="5" borderId="21" xfId="0" applyNumberFormat="1" applyFont="1" applyFill="1" applyBorder="1" applyAlignment="1" applyProtection="1">
      <alignment vertical="center"/>
    </xf>
    <xf numFmtId="0" fontId="80" fillId="5" borderId="3" xfId="0" applyFont="1" applyFill="1" applyBorder="1" applyAlignment="1" applyProtection="1">
      <alignment horizontal="left" vertical="center"/>
    </xf>
    <xf numFmtId="0" fontId="82" fillId="5" borderId="9" xfId="0" applyFont="1" applyFill="1" applyBorder="1" applyAlignment="1" applyProtection="1">
      <alignment vertical="center"/>
    </xf>
    <xf numFmtId="0" fontId="82" fillId="2" borderId="9" xfId="0" applyFont="1" applyFill="1" applyBorder="1" applyAlignment="1" applyProtection="1">
      <alignment vertical="center"/>
    </xf>
    <xf numFmtId="0" fontId="82" fillId="0" borderId="5" xfId="0" applyFont="1" applyBorder="1" applyAlignment="1" applyProtection="1">
      <alignment horizontal="center" vertical="center" wrapText="1"/>
    </xf>
    <xf numFmtId="49" fontId="82" fillId="0" borderId="2" xfId="0" applyNumberFormat="1" applyFont="1" applyBorder="1" applyAlignment="1" applyProtection="1">
      <alignment horizontal="center" vertical="center" wrapText="1"/>
    </xf>
    <xf numFmtId="49" fontId="82" fillId="0" borderId="5" xfId="0" applyNumberFormat="1" applyFont="1" applyBorder="1" applyAlignment="1" applyProtection="1">
      <alignment vertical="center" wrapText="1"/>
    </xf>
    <xf numFmtId="0" fontId="82" fillId="0" borderId="0" xfId="0" applyFont="1" applyAlignment="1" applyProtection="1">
      <alignment vertical="center"/>
      <protection locked="0"/>
    </xf>
    <xf numFmtId="0" fontId="82" fillId="6" borderId="71" xfId="0" applyFont="1" applyFill="1" applyBorder="1" applyAlignment="1" applyProtection="1">
      <alignment vertical="center" wrapText="1"/>
      <protection locked="0"/>
    </xf>
    <xf numFmtId="0" fontId="82" fillId="6" borderId="5" xfId="0" applyFont="1" applyFill="1" applyBorder="1" applyAlignment="1" applyProtection="1">
      <alignment vertical="center" wrapText="1"/>
      <protection locked="0"/>
    </xf>
    <xf numFmtId="0" fontId="82" fillId="6" borderId="8" xfId="0" applyFont="1" applyFill="1" applyBorder="1" applyAlignment="1" applyProtection="1">
      <alignment horizontal="center" vertical="center" wrapText="1"/>
      <protection locked="0"/>
    </xf>
    <xf numFmtId="0" fontId="82" fillId="5" borderId="71"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49" fontId="61" fillId="5" borderId="59" xfId="0" applyNumberFormat="1" applyFont="1" applyFill="1" applyBorder="1" applyAlignment="1" applyProtection="1">
      <alignment vertical="center"/>
    </xf>
    <xf numFmtId="49" fontId="61" fillId="6" borderId="30" xfId="0" applyNumberFormat="1" applyFont="1" applyFill="1" applyBorder="1" applyAlignment="1" applyProtection="1">
      <alignment vertical="center"/>
      <protection locked="0"/>
    </xf>
    <xf numFmtId="0" fontId="51" fillId="5" borderId="10" xfId="0" applyFont="1" applyFill="1" applyBorder="1" applyAlignment="1" applyProtection="1">
      <alignment horizontal="center" vertical="center"/>
    </xf>
    <xf numFmtId="0" fontId="156" fillId="5" borderId="2" xfId="3" applyFont="1" applyFill="1" applyBorder="1" applyAlignment="1" applyProtection="1">
      <alignment horizontal="center" vertical="center"/>
    </xf>
    <xf numFmtId="0" fontId="168" fillId="0" borderId="44" xfId="3" applyNumberFormat="1" applyFont="1" applyFill="1" applyBorder="1" applyAlignment="1" applyProtection="1">
      <alignment horizontal="center" vertical="center" wrapText="1"/>
      <protection locked="0"/>
    </xf>
    <xf numFmtId="0" fontId="204" fillId="5" borderId="0" xfId="0" applyFont="1" applyFill="1" applyAlignment="1" applyProtection="1">
      <alignment horizontal="center" vertical="center"/>
    </xf>
    <xf numFmtId="0" fontId="170" fillId="5" borderId="4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1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6" xfId="0" applyFont="1" applyFill="1" applyBorder="1" applyAlignment="1" applyProtection="1">
      <alignment horizontal="center" vertical="center" wrapText="1"/>
    </xf>
    <xf numFmtId="10" fontId="156" fillId="0" borderId="6" xfId="0" applyNumberFormat="1" applyFont="1" applyBorder="1" applyAlignment="1">
      <alignment horizontal="center" vertical="center" wrapText="1"/>
    </xf>
    <xf numFmtId="10" fontId="156" fillId="0" borderId="7" xfId="0" applyNumberFormat="1" applyFont="1" applyBorder="1" applyAlignment="1">
      <alignment horizontal="center" vertical="center" wrapText="1"/>
    </xf>
    <xf numFmtId="0" fontId="169" fillId="5" borderId="2" xfId="0" applyFont="1" applyFill="1" applyBorder="1" applyAlignment="1" applyProtection="1">
      <alignment horizontal="center" vertical="center" wrapText="1"/>
    </xf>
    <xf numFmtId="10" fontId="156" fillId="0" borderId="2" xfId="0" applyNumberFormat="1" applyFont="1" applyBorder="1" applyAlignment="1">
      <alignment horizontal="center" vertical="center" wrapText="1"/>
    </xf>
    <xf numFmtId="10" fontId="156" fillId="0" borderId="12" xfId="0" applyNumberFormat="1" applyFont="1" applyBorder="1" applyAlignment="1">
      <alignment horizontal="center" vertical="center" wrapText="1"/>
    </xf>
    <xf numFmtId="0" fontId="169" fillId="5" borderId="21" xfId="0" applyFont="1" applyFill="1" applyBorder="1" applyAlignment="1" applyProtection="1">
      <alignment horizontal="center" vertical="center" wrapText="1"/>
    </xf>
    <xf numFmtId="0" fontId="169" fillId="5" borderId="33" xfId="0" applyFont="1" applyFill="1" applyBorder="1" applyAlignment="1" applyProtection="1">
      <alignment vertical="center" wrapText="1"/>
    </xf>
    <xf numFmtId="0" fontId="169" fillId="5" borderId="55" xfId="0" applyFont="1" applyFill="1" applyBorder="1" applyAlignment="1" applyProtection="1">
      <alignment horizontal="center" vertical="center" wrapText="1"/>
    </xf>
    <xf numFmtId="10" fontId="156"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9" fillId="5" borderId="44" xfId="0" applyFont="1" applyFill="1" applyBorder="1" applyAlignment="1" applyProtection="1">
      <alignment horizontal="center" vertical="center" wrapText="1"/>
    </xf>
    <xf numFmtId="10" fontId="156" fillId="0" borderId="46" xfId="0" applyNumberFormat="1" applyFont="1" applyBorder="1" applyAlignment="1">
      <alignment horizontal="center" vertical="center" wrapText="1"/>
    </xf>
    <xf numFmtId="0" fontId="169" fillId="5" borderId="10" xfId="0" applyFont="1" applyFill="1" applyBorder="1" applyAlignment="1" applyProtection="1">
      <alignment horizontal="center" vertical="center" wrapText="1"/>
    </xf>
    <xf numFmtId="10" fontId="156" fillId="0" borderId="10" xfId="0" applyNumberFormat="1" applyFont="1" applyBorder="1" applyAlignment="1">
      <alignment horizontal="center" vertical="center" wrapText="1"/>
    </xf>
    <xf numFmtId="0" fontId="169" fillId="5" borderId="83" xfId="0" applyFont="1" applyFill="1" applyBorder="1" applyAlignment="1" applyProtection="1">
      <alignment horizontal="center" vertical="center" wrapText="1"/>
    </xf>
    <xf numFmtId="10" fontId="0" fillId="0" borderId="37" xfId="0" applyNumberFormat="1" applyBorder="1">
      <alignment vertical="center"/>
    </xf>
    <xf numFmtId="10" fontId="156" fillId="0" borderId="34" xfId="0" applyNumberFormat="1" applyFont="1" applyBorder="1" applyAlignment="1">
      <alignment horizontal="center" vertical="center" wrapText="1"/>
    </xf>
    <xf numFmtId="0" fontId="169" fillId="5" borderId="24" xfId="0" applyFont="1" applyFill="1" applyBorder="1" applyAlignment="1" applyProtection="1">
      <alignment vertical="center" wrapText="1"/>
    </xf>
    <xf numFmtId="10" fontId="156"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3" fillId="5" borderId="1" xfId="0" applyNumberFormat="1" applyFont="1" applyFill="1" applyBorder="1" applyAlignment="1" applyProtection="1">
      <alignment horizontal="center" vertical="center"/>
    </xf>
    <xf numFmtId="0" fontId="153" fillId="5" borderId="29" xfId="0" applyNumberFormat="1" applyFont="1" applyFill="1" applyBorder="1" applyProtection="1">
      <alignment vertical="center"/>
    </xf>
    <xf numFmtId="10" fontId="90" fillId="5" borderId="7" xfId="3" applyNumberFormat="1" applyFont="1" applyFill="1" applyBorder="1" applyAlignment="1" applyProtection="1">
      <alignment vertical="center" wrapText="1"/>
    </xf>
    <xf numFmtId="0" fontId="153" fillId="5" borderId="11" xfId="0" applyNumberFormat="1" applyFont="1" applyFill="1" applyBorder="1" applyAlignment="1" applyProtection="1">
      <alignment horizontal="center" vertical="center"/>
    </xf>
    <xf numFmtId="0" fontId="153" fillId="5" borderId="5" xfId="0" applyNumberFormat="1" applyFont="1" applyFill="1" applyBorder="1" applyProtection="1">
      <alignment vertical="center"/>
    </xf>
    <xf numFmtId="10" fontId="90" fillId="5" borderId="12" xfId="3" applyNumberFormat="1" applyFont="1" applyFill="1" applyBorder="1" applyAlignment="1" applyProtection="1">
      <alignment vertical="center" wrapText="1"/>
    </xf>
    <xf numFmtId="0" fontId="153" fillId="5" borderId="43" xfId="0" applyNumberFormat="1" applyFont="1" applyFill="1" applyBorder="1" applyAlignment="1" applyProtection="1">
      <alignment horizontal="center" vertical="center"/>
    </xf>
    <xf numFmtId="0" fontId="153" fillId="5" borderId="45" xfId="0" applyNumberFormat="1" applyFont="1" applyFill="1" applyBorder="1" applyProtection="1">
      <alignment vertical="center"/>
    </xf>
    <xf numFmtId="10" fontId="90" fillId="5" borderId="46" xfId="3" applyNumberFormat="1" applyFont="1" applyFill="1" applyBorder="1" applyAlignment="1" applyProtection="1">
      <alignment vertical="center" wrapText="1"/>
    </xf>
    <xf numFmtId="0" fontId="51" fillId="5" borderId="5" xfId="3" applyFont="1" applyFill="1" applyBorder="1" applyAlignment="1" applyProtection="1">
      <alignment vertical="center" wrapText="1"/>
    </xf>
    <xf numFmtId="0" fontId="51" fillId="5" borderId="8" xfId="3" applyFont="1" applyFill="1" applyBorder="1" applyAlignment="1" applyProtection="1">
      <alignment vertical="center" wrapText="1"/>
    </xf>
    <xf numFmtId="0" fontId="51" fillId="5" borderId="9" xfId="3" applyFont="1" applyFill="1" applyBorder="1" applyAlignment="1" applyProtection="1">
      <alignment vertical="center" wrapText="1"/>
    </xf>
    <xf numFmtId="0" fontId="51" fillId="5" borderId="2" xfId="3" applyFont="1" applyFill="1" applyBorder="1" applyAlignment="1" applyProtection="1">
      <alignment vertical="center" wrapText="1"/>
    </xf>
    <xf numFmtId="0" fontId="56" fillId="5" borderId="5" xfId="0" applyFont="1" applyFill="1" applyBorder="1" applyAlignment="1" applyProtection="1">
      <alignment horizontal="center" vertical="center" wrapText="1"/>
    </xf>
    <xf numFmtId="0" fontId="56" fillId="5" borderId="73" xfId="0" applyNumberFormat="1" applyFont="1" applyFill="1" applyBorder="1" applyAlignment="1" applyProtection="1">
      <alignment horizontal="center" vertical="center" wrapText="1"/>
    </xf>
    <xf numFmtId="0" fontId="110" fillId="5" borderId="50" xfId="0" applyFont="1" applyFill="1" applyBorder="1" applyAlignment="1" applyProtection="1">
      <alignment horizontal="center" vertical="center"/>
    </xf>
    <xf numFmtId="0" fontId="110" fillId="0" borderId="21" xfId="0" applyFont="1" applyBorder="1" applyAlignment="1" applyProtection="1">
      <alignment horizontal="center" vertical="center"/>
      <protection locked="0"/>
    </xf>
    <xf numFmtId="0" fontId="110" fillId="0" borderId="17" xfId="0" applyFont="1" applyBorder="1" applyAlignment="1" applyProtection="1">
      <alignment horizontal="center" vertical="center"/>
      <protection locked="0"/>
    </xf>
    <xf numFmtId="0" fontId="110" fillId="0" borderId="93" xfId="0" applyFont="1" applyFill="1" applyBorder="1" applyAlignment="1" applyProtection="1">
      <alignment horizontal="center" vertical="center"/>
      <protection locked="0"/>
    </xf>
    <xf numFmtId="0" fontId="110" fillId="0" borderId="51" xfId="0" applyFont="1" applyBorder="1" applyAlignment="1" applyProtection="1">
      <alignment horizontal="center" vertical="center"/>
      <protection locked="0"/>
    </xf>
    <xf numFmtId="186" fontId="110" fillId="5" borderId="51" xfId="0" applyNumberFormat="1" applyFont="1" applyFill="1" applyBorder="1" applyAlignment="1" applyProtection="1">
      <alignment horizontal="center" vertical="center"/>
    </xf>
    <xf numFmtId="0" fontId="110" fillId="5" borderId="11" xfId="0" applyFont="1" applyFill="1" applyBorder="1" applyAlignment="1" applyProtection="1">
      <alignment horizontal="center" vertical="center"/>
    </xf>
    <xf numFmtId="0" fontId="110" fillId="0" borderId="2"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110" fillId="0" borderId="94" xfId="0" applyFont="1" applyFill="1" applyBorder="1" applyAlignment="1" applyProtection="1">
      <alignment horizontal="center" vertical="center"/>
      <protection locked="0"/>
    </xf>
    <xf numFmtId="0" fontId="110" fillId="0" borderId="12" xfId="0" applyFont="1" applyBorder="1" applyAlignment="1" applyProtection="1">
      <alignment horizontal="center" vertical="center"/>
      <protection locked="0"/>
    </xf>
    <xf numFmtId="0" fontId="110" fillId="5" borderId="12" xfId="0" applyFont="1" applyFill="1" applyBorder="1" applyAlignment="1" applyProtection="1">
      <alignment horizontal="center" vertical="center"/>
    </xf>
    <xf numFmtId="179" fontId="110" fillId="5" borderId="12" xfId="0" applyNumberFormat="1" applyFont="1" applyFill="1" applyBorder="1" applyAlignment="1" applyProtection="1">
      <alignment horizontal="center" vertical="center"/>
    </xf>
    <xf numFmtId="179" fontId="110" fillId="0" borderId="12" xfId="0" applyNumberFormat="1" applyFont="1" applyBorder="1" applyAlignment="1" applyProtection="1">
      <alignment horizontal="center" vertical="center"/>
      <protection locked="0"/>
    </xf>
    <xf numFmtId="0" fontId="153" fillId="0" borderId="94" xfId="0" applyFont="1" applyFill="1" applyBorder="1" applyAlignment="1" applyProtection="1">
      <alignment horizontal="center" vertical="center"/>
      <protection locked="0"/>
    </xf>
    <xf numFmtId="0" fontId="110" fillId="5" borderId="44" xfId="0" applyFont="1" applyFill="1" applyBorder="1" applyAlignment="1" applyProtection="1">
      <alignment horizontal="center" vertical="center"/>
    </xf>
    <xf numFmtId="0" fontId="110" fillId="0" borderId="44" xfId="0" applyFont="1" applyBorder="1" applyAlignment="1" applyProtection="1">
      <alignment horizontal="center" vertical="center"/>
      <protection locked="0"/>
    </xf>
    <xf numFmtId="179" fontId="110" fillId="5" borderId="46" xfId="0" applyNumberFormat="1" applyFont="1" applyFill="1" applyBorder="1" applyAlignment="1" applyProtection="1">
      <alignment horizontal="center" vertical="center"/>
    </xf>
    <xf numFmtId="0" fontId="187" fillId="0" borderId="0" xfId="0" applyFont="1" applyFill="1" applyAlignment="1" applyProtection="1">
      <alignment horizontal="left" vertical="center"/>
      <protection locked="0"/>
    </xf>
    <xf numFmtId="0" fontId="62" fillId="0" borderId="0" xfId="0" applyFont="1" applyFill="1" applyAlignment="1" applyProtection="1">
      <alignment horizontal="center" vertical="center"/>
      <protection locked="0"/>
    </xf>
    <xf numFmtId="188" fontId="62" fillId="0" borderId="0" xfId="0" applyNumberFormat="1" applyFont="1" applyFill="1" applyAlignment="1" applyProtection="1">
      <alignment horizontal="center" vertical="center"/>
      <protection locked="0"/>
    </xf>
    <xf numFmtId="0" fontId="164" fillId="5" borderId="26" xfId="0" applyFont="1" applyFill="1" applyBorder="1" applyAlignment="1" applyProtection="1">
      <alignment horizontal="center" vertical="center"/>
    </xf>
    <xf numFmtId="0" fontId="144" fillId="5" borderId="28" xfId="0" applyFont="1" applyFill="1" applyBorder="1" applyAlignment="1" applyProtection="1">
      <alignment horizontal="center" vertical="center"/>
    </xf>
    <xf numFmtId="0" fontId="62" fillId="5" borderId="28" xfId="0" applyFont="1" applyFill="1" applyBorder="1" applyAlignment="1" applyProtection="1">
      <alignment horizontal="center" vertical="center"/>
    </xf>
    <xf numFmtId="0" fontId="62" fillId="5" borderId="39" xfId="0" applyFont="1" applyFill="1" applyBorder="1" applyAlignment="1" applyProtection="1">
      <alignment horizontal="center" vertical="center"/>
    </xf>
    <xf numFmtId="0" fontId="164" fillId="5" borderId="28" xfId="0" applyFont="1" applyFill="1" applyBorder="1" applyAlignment="1" applyProtection="1">
      <alignment horizontal="center" vertical="center"/>
    </xf>
    <xf numFmtId="0" fontId="144" fillId="5" borderId="39" xfId="0" applyFont="1" applyFill="1" applyBorder="1" applyAlignment="1" applyProtection="1">
      <alignment horizontal="center" vertical="center"/>
    </xf>
    <xf numFmtId="0" fontId="144" fillId="5" borderId="87" xfId="0" applyFont="1" applyFill="1" applyBorder="1" applyProtection="1">
      <alignment vertical="center"/>
    </xf>
    <xf numFmtId="0" fontId="164" fillId="5" borderId="2" xfId="0" applyFont="1" applyFill="1" applyBorder="1" applyAlignment="1" applyProtection="1">
      <alignment horizontal="center" vertical="center"/>
    </xf>
    <xf numFmtId="0" fontId="164" fillId="5" borderId="5" xfId="0" applyFont="1" applyFill="1" applyBorder="1" applyAlignment="1" applyProtection="1">
      <alignment horizontal="center" vertical="center"/>
    </xf>
    <xf numFmtId="0" fontId="164" fillId="5" borderId="94" xfId="0" applyFont="1" applyFill="1" applyBorder="1" applyAlignment="1" applyProtection="1">
      <alignment horizontal="center" vertical="center"/>
    </xf>
    <xf numFmtId="0" fontId="164" fillId="5" borderId="12" xfId="0" applyFont="1" applyFill="1" applyBorder="1" applyAlignment="1" applyProtection="1">
      <alignment horizontal="center" vertical="center"/>
    </xf>
    <xf numFmtId="0" fontId="144" fillId="5" borderId="19" xfId="0" applyFont="1" applyFill="1" applyBorder="1" applyAlignment="1" applyProtection="1">
      <alignment horizontal="center" vertical="center"/>
    </xf>
    <xf numFmtId="0" fontId="164" fillId="0" borderId="21" xfId="0" applyFont="1" applyBorder="1" applyAlignment="1" applyProtection="1">
      <alignment horizontal="center" vertical="center"/>
      <protection locked="0"/>
    </xf>
    <xf numFmtId="0" fontId="164" fillId="5" borderId="20" xfId="0" applyFont="1" applyFill="1" applyBorder="1" applyAlignment="1" applyProtection="1">
      <alignment horizontal="center" vertical="center"/>
    </xf>
    <xf numFmtId="0" fontId="144" fillId="0" borderId="2" xfId="0" applyFont="1" applyBorder="1" applyAlignment="1" applyProtection="1">
      <alignment horizontal="center" vertical="center"/>
      <protection locked="0"/>
    </xf>
    <xf numFmtId="0" fontId="164" fillId="5" borderId="9" xfId="0" applyFont="1"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164" fillId="5" borderId="43" xfId="0" applyFont="1" applyFill="1" applyBorder="1" applyAlignment="1" applyProtection="1">
      <alignment horizontal="center" vertical="center"/>
    </xf>
    <xf numFmtId="0" fontId="144" fillId="5" borderId="61" xfId="0" applyFont="1" applyFill="1" applyBorder="1" applyAlignment="1" applyProtection="1">
      <alignment horizontal="center" vertical="center"/>
    </xf>
    <xf numFmtId="0" fontId="144" fillId="5" borderId="95" xfId="0" applyFont="1" applyFill="1" applyBorder="1" applyAlignment="1" applyProtection="1">
      <alignment horizontal="left" vertical="center"/>
    </xf>
    <xf numFmtId="0" fontId="62" fillId="5" borderId="61" xfId="0" applyFont="1" applyFill="1" applyBorder="1" applyAlignment="1" applyProtection="1">
      <alignment horizontal="center" vertical="center"/>
    </xf>
    <xf numFmtId="0" fontId="62" fillId="5" borderId="66" xfId="0" applyFont="1" applyFill="1" applyBorder="1" applyAlignment="1" applyProtection="1">
      <alignment horizontal="center" vertical="center"/>
    </xf>
    <xf numFmtId="0" fontId="164" fillId="5" borderId="47" xfId="0" applyFont="1" applyFill="1" applyBorder="1" applyAlignment="1" applyProtection="1">
      <alignment horizontal="center" vertical="center"/>
    </xf>
    <xf numFmtId="10" fontId="15" fillId="6" borderId="16" xfId="0" applyNumberFormat="1" applyFont="1" applyFill="1" applyBorder="1" applyAlignment="1" applyProtection="1">
      <alignment horizontal="left" vertical="center" wrapText="1"/>
      <protection locked="0"/>
    </xf>
    <xf numFmtId="0" fontId="163" fillId="0" borderId="11" xfId="0" applyFont="1" applyFill="1" applyBorder="1" applyProtection="1">
      <alignment vertical="center"/>
      <protection locked="0"/>
    </xf>
    <xf numFmtId="0" fontId="200" fillId="0" borderId="2" xfId="0" applyFont="1" applyBorder="1" applyAlignment="1">
      <alignment horizontal="left" vertical="center" wrapText="1"/>
    </xf>
    <xf numFmtId="0" fontId="113" fillId="5" borderId="2" xfId="0" applyFont="1" applyFill="1" applyBorder="1" applyAlignment="1" applyProtection="1">
      <alignment horizontal="center" vertical="center"/>
    </xf>
    <xf numFmtId="0" fontId="205" fillId="5" borderId="11" xfId="0" applyFont="1" applyFill="1" applyBorder="1" applyAlignment="1" applyProtection="1">
      <alignment horizontal="center" vertical="center"/>
    </xf>
    <xf numFmtId="0" fontId="113" fillId="6" borderId="11"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xf>
    <xf numFmtId="49" fontId="113" fillId="5" borderId="2" xfId="0" applyNumberFormat="1" applyFont="1" applyFill="1" applyBorder="1" applyAlignment="1" applyProtection="1">
      <alignment horizontal="center" vertical="center"/>
    </xf>
    <xf numFmtId="49" fontId="113" fillId="5" borderId="44" xfId="0" applyNumberFormat="1" applyFont="1" applyFill="1" applyBorder="1" applyAlignment="1" applyProtection="1">
      <alignment horizontal="center" vertical="center"/>
    </xf>
    <xf numFmtId="178" fontId="90" fillId="5" borderId="5" xfId="2" applyNumberFormat="1" applyFont="1" applyFill="1" applyBorder="1" applyAlignment="1" applyProtection="1">
      <alignment horizontal="center"/>
    </xf>
    <xf numFmtId="0" fontId="88" fillId="5" borderId="29" xfId="0" applyFont="1" applyFill="1" applyBorder="1" applyAlignment="1" applyProtection="1">
      <alignment horizontal="center" vertical="center"/>
    </xf>
    <xf numFmtId="0" fontId="163" fillId="5" borderId="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56" fillId="5" borderId="12" xfId="0" applyNumberFormat="1" applyFont="1" applyFill="1" applyBorder="1" applyAlignment="1" applyProtection="1">
      <alignment horizontal="center" vertical="center"/>
    </xf>
    <xf numFmtId="49" fontId="156" fillId="5" borderId="12" xfId="0" applyNumberFormat="1" applyFont="1" applyFill="1" applyBorder="1" applyAlignment="1" applyProtection="1">
      <alignment horizontal="center" vertical="center"/>
    </xf>
    <xf numFmtId="0" fontId="156" fillId="5" borderId="11" xfId="0" applyFont="1" applyFill="1" applyBorder="1" applyAlignment="1" applyProtection="1">
      <alignment horizontal="center" vertical="center"/>
    </xf>
    <xf numFmtId="0" fontId="156" fillId="5" borderId="43" xfId="0" applyFont="1" applyFill="1" applyBorder="1" applyAlignment="1" applyProtection="1">
      <alignment horizontal="center" vertical="center"/>
    </xf>
    <xf numFmtId="49" fontId="156" fillId="5" borderId="46" xfId="0" applyNumberFormat="1" applyFont="1" applyFill="1" applyBorder="1" applyAlignment="1" applyProtection="1">
      <alignment horizontal="center" vertical="center"/>
    </xf>
    <xf numFmtId="0" fontId="206" fillId="0" borderId="0" xfId="0" applyFont="1" applyFill="1" applyAlignment="1" applyProtection="1">
      <alignment horizontal="left" vertical="center"/>
      <protection locked="0"/>
    </xf>
    <xf numFmtId="0" fontId="46" fillId="5" borderId="2" xfId="2" applyFont="1" applyFill="1" applyBorder="1" applyAlignment="1" applyProtection="1">
      <alignment horizontal="left"/>
    </xf>
    <xf numFmtId="0" fontId="80" fillId="0" borderId="50"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5" borderId="96" xfId="0" applyNumberFormat="1" applyFont="1" applyFill="1" applyBorder="1" applyAlignment="1" applyProtection="1">
      <alignment horizontal="center" vertical="center" wrapText="1"/>
    </xf>
    <xf numFmtId="0" fontId="80" fillId="0" borderId="97" xfId="0" applyNumberFormat="1" applyFont="1" applyFill="1" applyBorder="1" applyAlignment="1" applyProtection="1">
      <alignment horizontal="center" vertical="center" wrapText="1"/>
      <protection locked="0"/>
    </xf>
    <xf numFmtId="0" fontId="90" fillId="0" borderId="98" xfId="0" applyNumberFormat="1" applyFont="1" applyFill="1" applyBorder="1" applyAlignment="1" applyProtection="1">
      <alignment horizontal="center" vertical="center" wrapText="1"/>
      <protection locked="0"/>
    </xf>
    <xf numFmtId="0" fontId="90" fillId="5" borderId="99" xfId="0" applyNumberFormat="1" applyFont="1" applyFill="1" applyBorder="1" applyAlignment="1" applyProtection="1">
      <alignment horizontal="center" vertical="center" wrapText="1"/>
    </xf>
    <xf numFmtId="0" fontId="80" fillId="5" borderId="97" xfId="0" applyNumberFormat="1" applyFont="1" applyFill="1" applyBorder="1" applyAlignment="1" applyProtection="1">
      <alignment horizontal="center" vertical="center" wrapText="1"/>
    </xf>
    <xf numFmtId="0" fontId="90" fillId="5" borderId="9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121" fillId="0" borderId="0" xfId="0" applyFont="1" applyProtection="1">
      <alignment vertical="center"/>
      <protection locked="0"/>
    </xf>
    <xf numFmtId="0" fontId="79"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xf>
    <xf numFmtId="0" fontId="75" fillId="5" borderId="0" xfId="0" applyFont="1" applyFill="1" applyProtection="1">
      <alignment vertical="center"/>
      <protection locked="0"/>
    </xf>
    <xf numFmtId="0" fontId="75" fillId="0" borderId="0" xfId="0" applyFont="1" applyProtection="1">
      <alignment vertical="center"/>
      <protection locked="0"/>
    </xf>
    <xf numFmtId="0" fontId="75" fillId="5" borderId="0" xfId="0" applyFont="1" applyFill="1" applyBorder="1" applyProtection="1">
      <alignment vertical="center"/>
      <protection locked="0"/>
    </xf>
    <xf numFmtId="0" fontId="75" fillId="5" borderId="0" xfId="0" applyFont="1" applyFill="1" applyBorder="1" applyAlignment="1" applyProtection="1">
      <alignment vertical="center"/>
      <protection locked="0"/>
    </xf>
    <xf numFmtId="177" fontId="75" fillId="0" borderId="0" xfId="0" applyNumberFormat="1" applyFont="1" applyProtection="1">
      <alignment vertical="center"/>
      <protection locked="0"/>
    </xf>
    <xf numFmtId="0" fontId="80" fillId="5" borderId="0" xfId="0" applyFont="1" applyFill="1" applyAlignment="1" applyProtection="1">
      <alignment vertical="center"/>
      <protection locked="0"/>
    </xf>
    <xf numFmtId="180" fontId="80" fillId="5" borderId="0" xfId="0" applyNumberFormat="1" applyFont="1" applyFill="1" applyAlignment="1" applyProtection="1">
      <alignment vertical="center"/>
      <protection locked="0"/>
    </xf>
    <xf numFmtId="0" fontId="80" fillId="5" borderId="0" xfId="0" applyFont="1" applyFill="1" applyAlignment="1" applyProtection="1">
      <alignment horizontal="center"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5" fillId="5" borderId="34" xfId="0" applyFont="1" applyFill="1" applyBorder="1" applyAlignment="1" applyProtection="1">
      <alignment horizontal="center" vertical="center"/>
      <protection locked="0"/>
    </xf>
    <xf numFmtId="180" fontId="75" fillId="5" borderId="0" xfId="0" applyNumberFormat="1" applyFont="1" applyFill="1" applyAlignment="1" applyProtection="1">
      <alignment horizontal="center"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180" fontId="80" fillId="0" borderId="0" xfId="0" applyNumberFormat="1" applyFont="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132" fillId="0" borderId="100" xfId="0" applyFont="1" applyBorder="1" applyAlignment="1" applyProtection="1">
      <alignment horizontal="center" vertical="center" wrapText="1"/>
      <protection locked="0"/>
    </xf>
    <xf numFmtId="0" fontId="132" fillId="0" borderId="100" xfId="0" applyNumberFormat="1" applyFont="1" applyFill="1" applyBorder="1" applyAlignment="1" applyProtection="1">
      <alignment horizontal="center" vertical="center" wrapText="1"/>
      <protection locked="0"/>
    </xf>
    <xf numFmtId="0" fontId="132" fillId="0" borderId="100" xfId="0" applyFont="1" applyFill="1" applyBorder="1" applyAlignment="1" applyProtection="1">
      <alignment horizontal="center" vertical="center" wrapText="1"/>
      <protection locked="0"/>
    </xf>
    <xf numFmtId="0" fontId="132" fillId="0" borderId="101" xfId="0" applyFont="1" applyBorder="1" applyAlignment="1" applyProtection="1">
      <alignment horizontal="center" vertical="center" wrapText="1"/>
      <protection locked="0"/>
    </xf>
    <xf numFmtId="0" fontId="133" fillId="0" borderId="0" xfId="0" applyNumberFormat="1" applyFont="1" applyAlignment="1" applyProtection="1">
      <alignment horizontal="center" vertical="center"/>
      <protection locked="0"/>
    </xf>
    <xf numFmtId="0" fontId="133"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49" fontId="56" fillId="5" borderId="0" xfId="0" applyNumberFormat="1"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56" fillId="0" borderId="0" xfId="0" applyNumberFormat="1" applyFont="1" applyFill="1" applyBorder="1" applyAlignment="1" applyProtection="1">
      <alignment horizontal="center" vertical="center" wrapText="1"/>
      <protection locked="0"/>
    </xf>
    <xf numFmtId="49" fontId="56" fillId="0"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132" fillId="0" borderId="0" xfId="0" applyFont="1" applyBorder="1" applyAlignment="1" applyProtection="1">
      <alignment horizontal="center" vertical="center" wrapText="1"/>
      <protection locked="0"/>
    </xf>
    <xf numFmtId="0" fontId="132" fillId="0" borderId="0" xfId="0" applyNumberFormat="1" applyFont="1" applyBorder="1" applyAlignment="1" applyProtection="1">
      <alignment horizontal="center" vertical="center" wrapText="1"/>
      <protection locked="0"/>
    </xf>
    <xf numFmtId="0" fontId="132" fillId="0" borderId="18" xfId="0" applyNumberFormat="1" applyFont="1" applyBorder="1" applyAlignment="1" applyProtection="1">
      <alignment horizontal="center" vertical="center" wrapText="1"/>
      <protection locked="0"/>
    </xf>
    <xf numFmtId="0" fontId="133" fillId="0" borderId="0" xfId="0" applyFont="1" applyAlignment="1" applyProtection="1">
      <alignment horizontal="center" vertical="center" wrapText="1"/>
      <protection locked="0"/>
    </xf>
    <xf numFmtId="0" fontId="133" fillId="0" borderId="0" xfId="0" applyNumberFormat="1" applyFont="1" applyFill="1" applyAlignment="1" applyProtection="1">
      <alignment horizontal="center" vertical="center" wrapText="1"/>
      <protection locked="0"/>
    </xf>
    <xf numFmtId="0" fontId="133" fillId="0"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Alignment="1" applyProtection="1">
      <alignment horizontal="center" vertical="center"/>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80" fillId="5" borderId="0" xfId="0" applyFont="1" applyFill="1" applyProtection="1">
      <alignment vertical="center"/>
      <protection locked="0"/>
    </xf>
    <xf numFmtId="0" fontId="157" fillId="5" borderId="0" xfId="0" applyFont="1" applyFill="1" applyAlignment="1" applyProtection="1">
      <alignment horizontal="center" vertical="center"/>
      <protection locked="0"/>
    </xf>
    <xf numFmtId="0" fontId="162" fillId="5" borderId="0" xfId="0" applyFont="1" applyFill="1" applyBorder="1" applyAlignment="1" applyProtection="1">
      <alignment horizontal="center" vertical="center"/>
      <protection locked="0"/>
    </xf>
    <xf numFmtId="0" fontId="162" fillId="5" borderId="0" xfId="0" applyFont="1" applyFill="1" applyProtection="1">
      <alignment vertical="center"/>
      <protection locked="0"/>
    </xf>
    <xf numFmtId="0" fontId="73" fillId="5" borderId="0" xfId="0" applyFont="1" applyFill="1" applyBorder="1" applyAlignment="1" applyProtection="1">
      <alignment horizontal="center" vertical="center"/>
      <protection locked="0"/>
    </xf>
    <xf numFmtId="0" fontId="153" fillId="5" borderId="0" xfId="0" applyFont="1" applyFill="1" applyProtection="1">
      <alignment vertical="center"/>
      <protection locked="0"/>
    </xf>
    <xf numFmtId="9" fontId="80" fillId="5" borderId="0" xfId="0" applyNumberFormat="1" applyFont="1" applyFill="1" applyAlignment="1" applyProtection="1">
      <alignment horizontal="center" vertical="center"/>
      <protection locked="0"/>
    </xf>
    <xf numFmtId="10" fontId="80" fillId="5" borderId="0" xfId="0" applyNumberFormat="1" applyFont="1" applyFill="1" applyAlignment="1" applyProtection="1">
      <alignment horizontal="center" vertical="center"/>
      <protection locked="0"/>
    </xf>
    <xf numFmtId="0" fontId="80" fillId="5" borderId="0" xfId="4" applyFont="1" applyFill="1" applyBorder="1" applyAlignment="1" applyProtection="1">
      <alignment horizontal="left" vertical="center" wrapText="1"/>
      <protection locked="0"/>
    </xf>
    <xf numFmtId="0" fontId="153" fillId="0" borderId="0" xfId="0" applyFont="1" applyFill="1" applyProtection="1">
      <alignment vertical="center"/>
      <protection locked="0"/>
    </xf>
    <xf numFmtId="0" fontId="153" fillId="5" borderId="0" xfId="4" applyFont="1" applyFill="1" applyAlignment="1" applyProtection="1">
      <alignment vertical="center" wrapText="1"/>
      <protection locked="0"/>
    </xf>
    <xf numFmtId="0" fontId="153" fillId="5" borderId="0" xfId="4" applyFont="1" applyFill="1" applyProtection="1">
      <protection locked="0"/>
    </xf>
    <xf numFmtId="0" fontId="80" fillId="8" borderId="0" xfId="0" applyFont="1" applyFill="1" applyBorder="1" applyProtection="1">
      <alignment vertical="center"/>
      <protection locked="0"/>
    </xf>
    <xf numFmtId="0" fontId="80" fillId="8" borderId="0" xfId="0" applyFont="1" applyFill="1" applyProtection="1">
      <alignment vertical="center"/>
      <protection locked="0"/>
    </xf>
    <xf numFmtId="0" fontId="80" fillId="8" borderId="0" xfId="0" applyFont="1" applyFill="1" applyBorder="1" applyAlignment="1" applyProtection="1">
      <alignment horizontal="right" vertical="center"/>
      <protection locked="0"/>
    </xf>
    <xf numFmtId="0" fontId="89" fillId="8" borderId="0" xfId="0" applyFont="1" applyFill="1" applyAlignment="1" applyProtection="1">
      <alignment horizontal="left" vertical="center"/>
      <protection locked="0"/>
    </xf>
    <xf numFmtId="2" fontId="80" fillId="8" borderId="0" xfId="0" applyNumberFormat="1" applyFont="1" applyFill="1" applyAlignment="1" applyProtection="1">
      <alignment vertical="center" wrapText="1"/>
      <protection locked="0"/>
    </xf>
    <xf numFmtId="0" fontId="89"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180" fillId="6" borderId="27" xfId="0" applyFont="1" applyFill="1" applyBorder="1" applyAlignment="1" applyProtection="1">
      <alignment horizontal="center" vertical="center" wrapText="1"/>
    </xf>
    <xf numFmtId="0" fontId="180" fillId="6" borderId="6" xfId="0" applyFont="1" applyFill="1" applyBorder="1" applyAlignment="1" applyProtection="1">
      <alignment horizontal="justify" vertical="center" wrapText="1"/>
    </xf>
    <xf numFmtId="0" fontId="180" fillId="6" borderId="7" xfId="0" applyFont="1" applyFill="1" applyBorder="1" applyAlignment="1" applyProtection="1">
      <alignment horizontal="justify" vertical="center" wrapText="1"/>
    </xf>
    <xf numFmtId="0" fontId="102" fillId="5" borderId="0" xfId="0" applyFont="1" applyFill="1" applyAlignment="1" applyProtection="1">
      <alignment vertical="center"/>
      <protection locked="0"/>
    </xf>
    <xf numFmtId="49" fontId="105" fillId="5" borderId="0" xfId="0" applyNumberFormat="1" applyFont="1" applyFill="1" applyBorder="1" applyAlignment="1" applyProtection="1">
      <alignment horizontal="center"/>
      <protection locked="0"/>
    </xf>
    <xf numFmtId="49" fontId="105"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110" fillId="5" borderId="0" xfId="0" applyFont="1" applyFill="1" applyBorder="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110" fillId="8" borderId="0" xfId="0" applyFont="1" applyFill="1" applyAlignment="1" applyProtection="1">
      <alignment vertical="center"/>
      <protection locked="0"/>
    </xf>
    <xf numFmtId="0" fontId="110" fillId="0" borderId="0" xfId="0" applyFont="1" applyFill="1" applyAlignment="1" applyProtection="1">
      <alignment vertical="center"/>
      <protection locked="0"/>
    </xf>
    <xf numFmtId="0" fontId="102" fillId="5" borderId="0" xfId="0" applyFont="1" applyFill="1" applyAlignment="1" applyProtection="1">
      <alignment horizontal="center" vertical="center"/>
      <protection locked="0"/>
    </xf>
    <xf numFmtId="0" fontId="110" fillId="5" borderId="0" xfId="0" applyFont="1" applyFill="1" applyAlignment="1" applyProtection="1">
      <alignment vertical="center"/>
      <protection locked="0"/>
    </xf>
    <xf numFmtId="0" fontId="120" fillId="8" borderId="0" xfId="0" applyFont="1" applyFill="1" applyAlignment="1" applyProtection="1">
      <alignment vertical="center"/>
      <protection locked="0"/>
    </xf>
    <xf numFmtId="0" fontId="120" fillId="0" borderId="0" xfId="0" applyFont="1" applyFill="1" applyAlignment="1" applyProtection="1">
      <alignment vertical="center"/>
      <protection locked="0"/>
    </xf>
    <xf numFmtId="49" fontId="99" fillId="5" borderId="0" xfId="0" applyNumberFormat="1" applyFont="1" applyFill="1" applyBorder="1" applyAlignment="1" applyProtection="1">
      <alignment horizontal="left" vertical="center"/>
      <protection locked="0"/>
    </xf>
    <xf numFmtId="0" fontId="99"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vertical="center"/>
      <protection locked="0"/>
    </xf>
    <xf numFmtId="0" fontId="90"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49" fontId="122" fillId="5" borderId="0" xfId="0" applyNumberFormat="1" applyFont="1" applyFill="1" applyBorder="1" applyAlignment="1" applyProtection="1">
      <alignment horizontal="left" vertical="center"/>
      <protection locked="0"/>
    </xf>
    <xf numFmtId="0" fontId="122" fillId="5" borderId="0" xfId="0" applyFont="1" applyFill="1" applyBorder="1" applyAlignment="1" applyProtection="1">
      <alignment horizontal="left" vertical="center"/>
      <protection locked="0"/>
    </xf>
    <xf numFmtId="0" fontId="123" fillId="5" borderId="0" xfId="0" applyFont="1" applyFill="1" applyBorder="1" applyAlignment="1" applyProtection="1">
      <alignment horizontal="center" vertical="center"/>
      <protection locked="0"/>
    </xf>
    <xf numFmtId="0" fontId="124" fillId="5" borderId="0" xfId="0" applyFont="1" applyFill="1" applyBorder="1" applyAlignment="1" applyProtection="1">
      <alignment vertical="center"/>
      <protection locked="0"/>
    </xf>
    <xf numFmtId="0" fontId="125" fillId="5" borderId="0" xfId="0" applyFont="1" applyFill="1" applyBorder="1" applyAlignment="1" applyProtection="1">
      <alignment horizontal="left" vertical="center"/>
      <protection locked="0"/>
    </xf>
    <xf numFmtId="180" fontId="123" fillId="5" borderId="0" xfId="0" applyNumberFormat="1" applyFont="1" applyFill="1" applyBorder="1" applyAlignment="1" applyProtection="1">
      <alignment horizontal="center" vertical="center"/>
      <protection locked="0"/>
    </xf>
    <xf numFmtId="0" fontId="153" fillId="5" borderId="0" xfId="0" applyFont="1" applyFill="1" applyAlignment="1" applyProtection="1">
      <protection locked="0"/>
    </xf>
    <xf numFmtId="0" fontId="153" fillId="5" borderId="0" xfId="0" applyFont="1" applyFill="1" applyAlignment="1" applyProtection="1">
      <alignment horizontal="left"/>
      <protection locked="0"/>
    </xf>
    <xf numFmtId="0" fontId="79" fillId="5" borderId="0" xfId="0" applyFont="1" applyFill="1" applyAlignment="1" applyProtection="1">
      <protection locked="0"/>
    </xf>
    <xf numFmtId="0" fontId="79" fillId="5" borderId="0" xfId="0" applyFont="1" applyFill="1" applyAlignment="1" applyProtection="1">
      <alignment horizontal="left"/>
      <protection locked="0"/>
    </xf>
    <xf numFmtId="0" fontId="126"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110" fillId="5" borderId="0" xfId="0" applyFont="1" applyFill="1" applyAlignment="1" applyProtection="1">
      <alignment horizontal="left" vertical="center"/>
      <protection locked="0"/>
    </xf>
    <xf numFmtId="49" fontId="75" fillId="8" borderId="0" xfId="0" applyNumberFormat="1" applyFont="1" applyFill="1" applyAlignment="1" applyProtection="1">
      <protection locked="0"/>
    </xf>
    <xf numFmtId="0" fontId="75" fillId="8" borderId="0" xfId="0" applyFont="1" applyFill="1" applyAlignment="1" applyProtection="1">
      <protection locked="0"/>
    </xf>
    <xf numFmtId="0" fontId="110" fillId="8" borderId="0" xfId="0" applyFont="1" applyFill="1" applyAlignment="1" applyProtection="1">
      <alignment horizontal="left" vertical="center"/>
      <protection locked="0"/>
    </xf>
    <xf numFmtId="176" fontId="75" fillId="8" borderId="0" xfId="0" applyNumberFormat="1" applyFont="1" applyFill="1" applyAlignment="1" applyProtection="1">
      <alignment horizontal="center"/>
      <protection locked="0"/>
    </xf>
    <xf numFmtId="0" fontId="75" fillId="8" borderId="0" xfId="0" applyFont="1" applyFill="1" applyBorder="1" applyAlignment="1" applyProtection="1">
      <protection locked="0"/>
    </xf>
    <xf numFmtId="0" fontId="90" fillId="8" borderId="0" xfId="0" applyFont="1" applyFill="1" applyBorder="1" applyAlignment="1" applyProtection="1">
      <alignment horizontal="left" vertical="center"/>
      <protection locked="0"/>
    </xf>
    <xf numFmtId="180" fontId="90" fillId="8" borderId="0" xfId="0" applyNumberFormat="1" applyFont="1" applyFill="1" applyBorder="1" applyAlignment="1" applyProtection="1">
      <alignment horizontal="center" vertical="center"/>
      <protection locked="0"/>
    </xf>
    <xf numFmtId="0" fontId="90" fillId="8" borderId="0" xfId="0" applyFont="1" applyFill="1" applyBorder="1" applyAlignment="1" applyProtection="1">
      <alignment vertical="center" wrapText="1"/>
      <protection locked="0"/>
    </xf>
    <xf numFmtId="10" fontId="90" fillId="8" borderId="0" xfId="0" applyNumberFormat="1" applyFont="1" applyFill="1" applyBorder="1" applyAlignment="1" applyProtection="1">
      <alignment horizontal="center"/>
      <protection locked="0"/>
    </xf>
    <xf numFmtId="49" fontId="99" fillId="8" borderId="0" xfId="0" applyNumberFormat="1" applyFont="1" applyFill="1" applyBorder="1" applyAlignment="1" applyProtection="1">
      <alignment horizontal="left" vertical="center"/>
      <protection locked="0"/>
    </xf>
    <xf numFmtId="0" fontId="121" fillId="8" borderId="0" xfId="0" applyFont="1" applyFill="1" applyBorder="1" applyAlignment="1" applyProtection="1">
      <alignment horizontal="center"/>
      <protection locked="0"/>
    </xf>
    <xf numFmtId="0" fontId="110" fillId="8" borderId="0" xfId="0" applyFont="1" applyFill="1" applyBorder="1" applyAlignment="1" applyProtection="1">
      <alignment vertical="center"/>
      <protection locked="0"/>
    </xf>
    <xf numFmtId="49" fontId="110" fillId="8" borderId="0" xfId="0" applyNumberFormat="1" applyFont="1" applyFill="1" applyAlignment="1" applyProtection="1">
      <alignment vertical="center"/>
      <protection locked="0"/>
    </xf>
    <xf numFmtId="0" fontId="110" fillId="8" borderId="0" xfId="0" applyFont="1" applyFill="1" applyAlignment="1" applyProtection="1">
      <alignment horizontal="center" vertical="center"/>
      <protection locked="0"/>
    </xf>
    <xf numFmtId="49" fontId="110" fillId="0" borderId="0" xfId="0" applyNumberFormat="1" applyFont="1" applyFill="1" applyAlignment="1" applyProtection="1">
      <alignment vertical="center"/>
      <protection locked="0"/>
    </xf>
    <xf numFmtId="0" fontId="110" fillId="0" borderId="0" xfId="0" applyFont="1" applyFill="1" applyAlignment="1" applyProtection="1">
      <alignment horizontal="center" vertical="center"/>
      <protection locked="0"/>
    </xf>
    <xf numFmtId="0" fontId="110" fillId="0" borderId="0" xfId="0" applyFont="1" applyFill="1" applyAlignment="1" applyProtection="1">
      <alignment horizontal="left" vertical="center"/>
      <protection locked="0"/>
    </xf>
    <xf numFmtId="0" fontId="101" fillId="5" borderId="2" xfId="2" applyFont="1" applyFill="1" applyBorder="1" applyAlignment="1" applyProtection="1">
      <alignment vertical="center"/>
      <protection locked="0"/>
    </xf>
    <xf numFmtId="0" fontId="75" fillId="8" borderId="0" xfId="0" applyFont="1" applyFill="1" applyAlignment="1" applyProtection="1">
      <alignment horizontal="center"/>
      <protection locked="0"/>
    </xf>
    <xf numFmtId="0" fontId="155" fillId="5" borderId="59" xfId="2" applyFont="1" applyFill="1" applyBorder="1" applyAlignment="1" applyProtection="1">
      <alignment vertical="center"/>
      <protection locked="0"/>
    </xf>
    <xf numFmtId="0" fontId="74" fillId="5" borderId="0" xfId="2" applyFont="1" applyFill="1" applyBorder="1" applyAlignment="1" applyProtection="1">
      <alignment vertical="center"/>
      <protection locked="0"/>
    </xf>
    <xf numFmtId="178" fontId="101" fillId="5" borderId="2" xfId="2" applyNumberFormat="1" applyFont="1" applyFill="1" applyBorder="1" applyAlignment="1" applyProtection="1">
      <alignment horizontal="right" vertical="center"/>
      <protection locked="0"/>
    </xf>
    <xf numFmtId="0" fontId="61" fillId="5" borderId="10" xfId="2" applyFont="1" applyFill="1" applyBorder="1" applyAlignment="1" applyProtection="1">
      <alignment vertical="center"/>
      <protection locked="0"/>
    </xf>
    <xf numFmtId="0" fontId="101" fillId="5" borderId="10" xfId="2" applyFont="1" applyFill="1" applyBorder="1" applyAlignment="1" applyProtection="1">
      <alignment horizontal="right" vertical="center"/>
      <protection locked="0"/>
    </xf>
    <xf numFmtId="0" fontId="101" fillId="5" borderId="0" xfId="2" applyFont="1" applyFill="1" applyBorder="1" applyAlignment="1" applyProtection="1">
      <alignment vertical="center"/>
      <protection locked="0"/>
    </xf>
    <xf numFmtId="0" fontId="74" fillId="5" borderId="30" xfId="0" applyFont="1" applyFill="1" applyBorder="1" applyAlignment="1" applyProtection="1">
      <protection locked="0"/>
    </xf>
    <xf numFmtId="0" fontId="74" fillId="5" borderId="57" xfId="0" applyFont="1" applyFill="1" applyBorder="1" applyAlignment="1" applyProtection="1">
      <protection locked="0"/>
    </xf>
    <xf numFmtId="0" fontId="103" fillId="8"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4" fillId="8" borderId="0" xfId="0" applyFont="1" applyFill="1" applyProtection="1">
      <alignment vertical="center"/>
      <protection locked="0"/>
    </xf>
    <xf numFmtId="0" fontId="84" fillId="0" borderId="0" xfId="0" applyFont="1" applyFill="1" applyProtection="1">
      <alignment vertical="center"/>
      <protection locked="0"/>
    </xf>
    <xf numFmtId="0" fontId="84" fillId="8" borderId="0" xfId="0" applyFont="1" applyFill="1" applyAlignment="1" applyProtection="1">
      <protection locked="0"/>
    </xf>
    <xf numFmtId="0" fontId="104" fillId="8" borderId="0" xfId="0" applyFont="1" applyFill="1" applyProtection="1">
      <alignment vertical="center"/>
      <protection locked="0"/>
    </xf>
    <xf numFmtId="0" fontId="83" fillId="8" borderId="0" xfId="0" applyFont="1" applyFill="1" applyAlignment="1" applyProtection="1">
      <protection locked="0"/>
    </xf>
    <xf numFmtId="0" fontId="104" fillId="8" borderId="0" xfId="0" applyFont="1" applyFill="1" applyAlignment="1" applyProtection="1">
      <protection locked="0"/>
    </xf>
    <xf numFmtId="0" fontId="84" fillId="8" borderId="0" xfId="0"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80" fillId="3" borderId="0" xfId="0" applyFont="1" applyFill="1" applyAlignment="1" applyProtection="1">
      <alignment horizontal="center"/>
      <protection locked="0"/>
    </xf>
    <xf numFmtId="185" fontId="80" fillId="3" borderId="0" xfId="0" applyNumberFormat="1" applyFont="1" applyFill="1" applyAlignment="1" applyProtection="1">
      <alignment horizontal="center"/>
      <protection locked="0"/>
    </xf>
    <xf numFmtId="0" fontId="104" fillId="8" borderId="0" xfId="0" applyFont="1" applyFill="1" applyAlignment="1" applyProtection="1">
      <alignment vertical="center" wrapText="1"/>
      <protection locked="0"/>
    </xf>
    <xf numFmtId="0" fontId="101"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188" fontId="105" fillId="5" borderId="0" xfId="0" applyNumberFormat="1" applyFont="1" applyFill="1" applyBorder="1" applyAlignment="1" applyProtection="1">
      <alignment horizontal="center" vertical="center"/>
      <protection locked="0"/>
    </xf>
    <xf numFmtId="182" fontId="105" fillId="5" borderId="0" xfId="0" applyNumberFormat="1" applyFont="1" applyFill="1" applyBorder="1" applyAlignment="1" applyProtection="1">
      <alignment vertical="center"/>
      <protection locked="0"/>
    </xf>
    <xf numFmtId="0" fontId="105" fillId="5" borderId="0"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vertical="center" wrapText="1"/>
      <protection locked="0"/>
    </xf>
    <xf numFmtId="0" fontId="88" fillId="5" borderId="0"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horizontal="center" vertical="center" wrapText="1"/>
      <protection locked="0"/>
    </xf>
    <xf numFmtId="0" fontId="88"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88" fillId="5" borderId="0" xfId="0" applyNumberFormat="1" applyFont="1" applyFill="1" applyBorder="1" applyAlignment="1" applyProtection="1">
      <alignment vertical="center" wrapText="1"/>
      <protection locked="0"/>
    </xf>
    <xf numFmtId="0" fontId="88" fillId="5" borderId="0" xfId="0" applyFont="1" applyFill="1" applyAlignment="1" applyProtection="1">
      <alignment horizontal="center" vertical="center"/>
      <protection locked="0"/>
    </xf>
    <xf numFmtId="0" fontId="109" fillId="5" borderId="0" xfId="0" applyFont="1" applyFill="1" applyAlignment="1" applyProtection="1">
      <alignment horizontal="center" vertical="center"/>
      <protection locked="0"/>
    </xf>
    <xf numFmtId="14" fontId="88" fillId="5" borderId="0" xfId="0" applyNumberFormat="1" applyFont="1" applyFill="1" applyAlignment="1" applyProtection="1">
      <alignment horizontal="center" vertical="center"/>
      <protection locked="0"/>
    </xf>
    <xf numFmtId="9" fontId="88" fillId="5" borderId="0" xfId="0" applyNumberFormat="1" applyFont="1" applyFill="1" applyAlignment="1" applyProtection="1">
      <alignment horizontal="center" vertical="center"/>
      <protection locked="0"/>
    </xf>
    <xf numFmtId="188" fontId="88" fillId="5" borderId="0" xfId="0" applyNumberFormat="1" applyFont="1" applyFill="1" applyAlignment="1" applyProtection="1">
      <alignment horizontal="center" vertical="center"/>
      <protection locked="0"/>
    </xf>
    <xf numFmtId="182" fontId="88" fillId="5" borderId="0" xfId="0" applyNumberFormat="1" applyFont="1" applyFill="1" applyAlignment="1" applyProtection="1">
      <alignment horizontal="center" vertical="center"/>
      <protection locked="0"/>
    </xf>
    <xf numFmtId="177" fontId="88" fillId="5" borderId="0" xfId="0" applyNumberFormat="1" applyFont="1" applyFill="1" applyAlignment="1" applyProtection="1">
      <alignment horizontal="center" vertical="center"/>
      <protection locked="0"/>
    </xf>
    <xf numFmtId="188" fontId="109" fillId="5" borderId="0" xfId="0" applyNumberFormat="1" applyFont="1" applyFill="1" applyAlignment="1" applyProtection="1">
      <alignment horizontal="center" vertical="center"/>
      <protection locked="0"/>
    </xf>
    <xf numFmtId="182" fontId="109" fillId="5" borderId="0" xfId="0" applyNumberFormat="1" applyFont="1" applyFill="1" applyAlignment="1" applyProtection="1">
      <alignment horizontal="center" vertical="center"/>
      <protection locked="0"/>
    </xf>
    <xf numFmtId="0" fontId="207"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90" fillId="5" borderId="0" xfId="0" applyFont="1" applyFill="1" applyAlignment="1" applyProtection="1">
      <protection locked="0"/>
    </xf>
    <xf numFmtId="0" fontId="88" fillId="5" borderId="0" xfId="0" applyFont="1" applyFill="1" applyBorder="1" applyAlignment="1" applyProtection="1">
      <protection locked="0"/>
    </xf>
    <xf numFmtId="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protection locked="0"/>
    </xf>
    <xf numFmtId="49" fontId="75" fillId="5" borderId="0" xfId="0" applyNumberFormat="1" applyFont="1" applyFill="1" applyAlignment="1" applyProtection="1">
      <alignment horizontal="center" vertical="center"/>
      <protection locked="0"/>
    </xf>
    <xf numFmtId="0" fontId="75" fillId="5" borderId="0" xfId="0" applyNumberFormat="1" applyFont="1" applyFill="1" applyBorder="1" applyAlignment="1" applyProtection="1">
      <alignment horizontal="center" vertical="center" wrapText="1"/>
      <protection locked="0"/>
    </xf>
    <xf numFmtId="0" fontId="153" fillId="5" borderId="0" xfId="0" applyFont="1" applyFill="1" applyBorder="1" applyAlignment="1" applyProtection="1">
      <alignment vertical="center"/>
      <protection locked="0"/>
    </xf>
    <xf numFmtId="0" fontId="109"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protection locked="0"/>
    </xf>
    <xf numFmtId="0" fontId="88"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0" xfId="0" applyFont="1" applyFill="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9" fontId="84" fillId="5" borderId="0" xfId="0" applyNumberFormat="1" applyFont="1" applyFill="1" applyBorder="1" applyAlignment="1" applyProtection="1">
      <alignment horizontal="center" vertical="center"/>
      <protection locked="0"/>
    </xf>
    <xf numFmtId="0" fontId="84" fillId="5" borderId="0" xfId="0" applyFont="1" applyFill="1" applyBorder="1" applyAlignment="1" applyProtection="1">
      <alignment vertical="center" wrapText="1"/>
      <protection locked="0"/>
    </xf>
    <xf numFmtId="0" fontId="75" fillId="5" borderId="0" xfId="0" applyFont="1" applyFill="1" applyBorder="1" applyAlignment="1" applyProtection="1">
      <alignment vertical="center" wrapText="1"/>
      <protection locked="0"/>
    </xf>
    <xf numFmtId="0" fontId="88" fillId="8" borderId="0" xfId="0" applyFont="1" applyFill="1" applyAlignment="1" applyProtection="1">
      <alignment horizontal="center" vertical="center"/>
      <protection locked="0"/>
    </xf>
    <xf numFmtId="188" fontId="88" fillId="8" borderId="0" xfId="0" applyNumberFormat="1" applyFont="1" applyFill="1" applyAlignment="1" applyProtection="1">
      <alignment horizontal="center" vertical="center"/>
      <protection locked="0"/>
    </xf>
    <xf numFmtId="182" fontId="88" fillId="8" borderId="0" xfId="0" applyNumberFormat="1"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188" fontId="88" fillId="0" borderId="0" xfId="0" applyNumberFormat="1" applyFont="1" applyFill="1" applyAlignment="1" applyProtection="1">
      <alignment horizontal="center" vertical="center"/>
      <protection locked="0"/>
    </xf>
    <xf numFmtId="182" fontId="88" fillId="0" borderId="0" xfId="0" applyNumberFormat="1" applyFont="1" applyFill="1" applyAlignment="1" applyProtection="1">
      <alignment horizontal="center" vertical="center"/>
      <protection locked="0"/>
    </xf>
    <xf numFmtId="0" fontId="101" fillId="5" borderId="28" xfId="2" applyFont="1" applyFill="1" applyBorder="1" applyAlignment="1" applyProtection="1">
      <alignment vertical="center"/>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90" fillId="3" borderId="0" xfId="0" applyFont="1" applyFill="1" applyAlignment="1" applyProtection="1">
      <alignment horizontal="left" vertical="center"/>
      <protection locked="0"/>
    </xf>
    <xf numFmtId="0" fontId="90" fillId="3" borderId="0" xfId="0" applyFont="1" applyFill="1" applyAlignment="1" applyProtection="1">
      <alignment vertical="center"/>
      <protection locked="0"/>
    </xf>
    <xf numFmtId="0" fontId="90" fillId="3" borderId="0" xfId="0" applyFont="1" applyFill="1" applyAlignment="1" applyProtection="1">
      <alignment horizontal="center" vertical="center"/>
      <protection locked="0"/>
    </xf>
    <xf numFmtId="0" fontId="90" fillId="8" borderId="0" xfId="0" applyFont="1" applyFill="1" applyAlignment="1" applyProtection="1">
      <alignment vertical="center"/>
      <protection locked="0"/>
    </xf>
    <xf numFmtId="0" fontId="44" fillId="5" borderId="0" xfId="3" applyFont="1" applyFill="1" applyAlignment="1" applyProtection="1">
      <alignment vertical="center" wrapText="1"/>
      <protection locked="0"/>
    </xf>
    <xf numFmtId="0" fontId="44" fillId="5" borderId="0" xfId="3" applyFont="1" applyFill="1" applyAlignment="1" applyProtection="1">
      <alignment horizontal="center" vertical="center" wrapText="1"/>
      <protection locked="0"/>
    </xf>
    <xf numFmtId="0" fontId="62" fillId="5" borderId="0" xfId="3" applyFont="1" applyFill="1" applyAlignment="1" applyProtection="1">
      <alignment horizontal="center" vertical="center" wrapText="1"/>
      <protection locked="0"/>
    </xf>
    <xf numFmtId="0" fontId="90" fillId="5" borderId="0" xfId="3" applyFont="1" applyFill="1" applyAlignment="1" applyProtection="1">
      <alignment vertical="center" wrapText="1"/>
      <protection locked="0"/>
    </xf>
    <xf numFmtId="0" fontId="90" fillId="5" borderId="0" xfId="3" applyFont="1" applyFill="1" applyAlignment="1" applyProtection="1">
      <alignment horizontal="center" vertical="center" wrapText="1"/>
      <protection locked="0"/>
    </xf>
    <xf numFmtId="10" fontId="90" fillId="5" borderId="0" xfId="3" applyNumberFormat="1"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44" fillId="8" borderId="0" xfId="3" applyFont="1" applyFill="1" applyAlignment="1" applyProtection="1">
      <alignment vertical="center" wrapText="1"/>
      <protection locked="0"/>
    </xf>
    <xf numFmtId="0" fontId="44" fillId="8" borderId="0" xfId="3" applyFont="1" applyFill="1" applyAlignment="1" applyProtection="1">
      <alignment horizontal="center" vertical="center" wrapText="1"/>
      <protection locked="0"/>
    </xf>
    <xf numFmtId="0" fontId="44" fillId="8" borderId="0" xfId="3" applyFont="1" applyFill="1" applyAlignment="1" applyProtection="1">
      <alignment horizontal="left" vertical="center" wrapText="1"/>
      <protection locked="0"/>
    </xf>
    <xf numFmtId="0" fontId="44" fillId="0" borderId="0" xfId="3" applyFont="1" applyAlignment="1" applyProtection="1">
      <alignment vertical="center" wrapText="1"/>
      <protection locked="0"/>
    </xf>
    <xf numFmtId="0" fontId="44" fillId="0" borderId="0" xfId="3" applyFont="1" applyAlignment="1" applyProtection="1">
      <alignment horizontal="center" vertical="center" wrapText="1"/>
      <protection locked="0"/>
    </xf>
    <xf numFmtId="0" fontId="77"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0" fontId="88" fillId="5" borderId="0" xfId="0" applyFont="1" applyFill="1" applyBorder="1" applyAlignment="1" applyProtection="1">
      <alignment horizontal="center" vertical="center" wrapText="1"/>
      <protection locked="0"/>
    </xf>
    <xf numFmtId="9" fontId="88" fillId="5" borderId="0" xfId="0" applyNumberFormat="1" applyFont="1" applyFill="1" applyBorder="1" applyAlignment="1" applyProtection="1">
      <alignment horizontal="center" vertical="center" wrapText="1"/>
      <protection locked="0"/>
    </xf>
    <xf numFmtId="0" fontId="105" fillId="5" borderId="13" xfId="0" applyFont="1" applyFill="1" applyBorder="1" applyAlignment="1" applyProtection="1">
      <alignment horizontal="center" vertical="center"/>
    </xf>
    <xf numFmtId="0" fontId="88" fillId="5" borderId="13" xfId="0" applyFont="1" applyFill="1" applyBorder="1" applyAlignment="1" applyProtection="1">
      <alignment horizontal="center" vertical="center"/>
      <protection locked="0"/>
    </xf>
    <xf numFmtId="0" fontId="109" fillId="5" borderId="13" xfId="0" applyFont="1" applyFill="1" applyBorder="1" applyAlignment="1" applyProtection="1">
      <alignment horizontal="center" vertical="center"/>
      <protection locked="0"/>
    </xf>
    <xf numFmtId="0" fontId="88" fillId="5" borderId="13" xfId="0" applyFont="1" applyFill="1" applyBorder="1" applyAlignment="1" applyProtection="1">
      <protection locked="0"/>
    </xf>
    <xf numFmtId="49" fontId="75" fillId="5" borderId="13" xfId="0" applyNumberFormat="1" applyFont="1" applyFill="1" applyBorder="1" applyAlignment="1" applyProtection="1">
      <alignment horizontal="center" vertical="center"/>
      <protection locked="0"/>
    </xf>
    <xf numFmtId="9" fontId="75" fillId="5" borderId="13" xfId="0" applyNumberFormat="1" applyFont="1" applyFill="1" applyBorder="1" applyAlignment="1" applyProtection="1">
      <alignment horizontal="center" vertical="center" wrapText="1"/>
      <protection locked="0"/>
    </xf>
    <xf numFmtId="0" fontId="153" fillId="5" borderId="13" xfId="0" applyFont="1" applyFill="1" applyBorder="1" applyAlignment="1" applyProtection="1">
      <alignment vertical="center"/>
      <protection locked="0"/>
    </xf>
    <xf numFmtId="0" fontId="75"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84" fillId="5" borderId="13"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0" fontId="88" fillId="5" borderId="13"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protection locked="0"/>
    </xf>
    <xf numFmtId="0" fontId="88" fillId="0" borderId="13" xfId="0" applyFont="1" applyFill="1" applyBorder="1" applyAlignment="1" applyProtection="1">
      <alignment horizontal="center" vertical="center"/>
    </xf>
    <xf numFmtId="0" fontId="88" fillId="5" borderId="0" xfId="0" applyFont="1" applyFill="1" applyBorder="1" applyAlignment="1" applyProtection="1">
      <alignment horizontal="center"/>
      <protection locked="0"/>
    </xf>
    <xf numFmtId="188" fontId="88" fillId="5" borderId="0" xfId="0" applyNumberFormat="1" applyFont="1" applyFill="1" applyBorder="1" applyAlignment="1" applyProtection="1">
      <alignment horizontal="center"/>
      <protection locked="0"/>
    </xf>
    <xf numFmtId="182" fontId="88" fillId="5" borderId="0" xfId="0" applyNumberFormat="1" applyFont="1" applyFill="1" applyBorder="1" applyAlignment="1" applyProtection="1">
      <protection locked="0"/>
    </xf>
    <xf numFmtId="0" fontId="80" fillId="5" borderId="0" xfId="0" applyNumberFormat="1" applyFont="1" applyFill="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148" fillId="5" borderId="28" xfId="0" applyFont="1" applyFill="1" applyBorder="1" applyAlignment="1" applyProtection="1">
      <alignment horizontal="center" vertical="center" wrapText="1"/>
      <protection locked="0"/>
    </xf>
    <xf numFmtId="0" fontId="113" fillId="5" borderId="2" xfId="0" applyFont="1" applyFill="1" applyBorder="1" applyAlignment="1" applyProtection="1">
      <alignment horizontal="center" vertical="center"/>
      <protection locked="0"/>
    </xf>
    <xf numFmtId="9" fontId="113" fillId="6" borderId="2" xfId="0" applyNumberFormat="1" applyFont="1" applyFill="1" applyBorder="1" applyAlignment="1" applyProtection="1">
      <alignment horizontal="center" vertical="center"/>
      <protection locked="0"/>
    </xf>
    <xf numFmtId="0" fontId="212" fillId="8" borderId="0" xfId="0" applyFont="1" applyFill="1" applyAlignment="1" applyProtection="1">
      <protection locked="0"/>
    </xf>
    <xf numFmtId="0" fontId="53" fillId="5" borderId="2" xfId="0" applyFont="1" applyFill="1" applyBorder="1" applyAlignment="1" applyProtection="1">
      <alignment horizontal="left" vertical="center"/>
    </xf>
    <xf numFmtId="0" fontId="49" fillId="5" borderId="10" xfId="0" applyFont="1" applyFill="1" applyBorder="1" applyAlignment="1" applyProtection="1">
      <alignment vertical="center" wrapText="1"/>
    </xf>
    <xf numFmtId="0" fontId="75" fillId="0" borderId="12" xfId="2" applyNumberFormat="1" applyFont="1" applyFill="1" applyBorder="1" applyAlignment="1" applyProtection="1">
      <alignment horizontal="center" vertical="center"/>
      <protection locked="0"/>
    </xf>
    <xf numFmtId="0" fontId="80" fillId="5" borderId="44" xfId="0" applyFont="1" applyFill="1" applyBorder="1" applyAlignment="1" applyProtection="1">
      <alignment horizontal="center" vertical="center"/>
    </xf>
    <xf numFmtId="0" fontId="99" fillId="5" borderId="4" xfId="0" applyNumberFormat="1" applyFont="1" applyFill="1" applyBorder="1" applyAlignment="1" applyProtection="1">
      <alignment vertical="center" wrapText="1"/>
      <protection locked="0"/>
    </xf>
    <xf numFmtId="0" fontId="80" fillId="5" borderId="57" xfId="0" applyNumberFormat="1" applyFont="1" applyFill="1" applyBorder="1" applyAlignment="1" applyProtection="1">
      <alignment horizontal="center" vertical="center" wrapText="1"/>
    </xf>
    <xf numFmtId="0" fontId="90"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textRotation="255" wrapText="1"/>
      <protection locked="0"/>
    </xf>
    <xf numFmtId="0" fontId="83"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3"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wrapText="1"/>
      <protection locked="0"/>
    </xf>
    <xf numFmtId="0" fontId="80" fillId="5" borderId="31"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90" fillId="5" borderId="65" xfId="0" applyNumberFormat="1" applyFont="1" applyFill="1" applyBorder="1" applyAlignment="1" applyProtection="1">
      <alignment horizontal="center" vertical="center" wrapText="1"/>
    </xf>
    <xf numFmtId="0" fontId="89" fillId="5" borderId="13" xfId="0" applyNumberFormat="1" applyFont="1" applyFill="1" applyBorder="1" applyAlignment="1" applyProtection="1">
      <alignment vertical="center" wrapText="1"/>
      <protection locked="0"/>
    </xf>
    <xf numFmtId="0" fontId="80" fillId="0" borderId="106"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left" vertical="center" wrapText="1"/>
      <protection locked="0"/>
    </xf>
    <xf numFmtId="0" fontId="80"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80" fillId="0" borderId="17" xfId="0" applyNumberFormat="1"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9"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protection locked="0"/>
    </xf>
    <xf numFmtId="0" fontId="80" fillId="0" borderId="65" xfId="0" applyFont="1" applyFill="1" applyBorder="1" applyAlignment="1" applyProtection="1">
      <alignment horizontal="center" vertical="center"/>
      <protection locked="0"/>
    </xf>
    <xf numFmtId="0" fontId="80" fillId="5" borderId="22" xfId="0" applyNumberFormat="1" applyFont="1" applyFill="1" applyBorder="1" applyAlignment="1" applyProtection="1">
      <alignment horizontal="center" vertical="center" wrapText="1"/>
    </xf>
    <xf numFmtId="0" fontId="90" fillId="5" borderId="10" xfId="0" applyNumberFormat="1" applyFont="1" applyFill="1" applyBorder="1" applyAlignment="1" applyProtection="1">
      <alignment horizontal="center" vertical="center" wrapText="1"/>
    </xf>
    <xf numFmtId="0" fontId="80" fillId="0" borderId="113" xfId="0" applyFont="1" applyFill="1" applyBorder="1" applyAlignment="1" applyProtection="1">
      <alignment horizontal="center" vertical="center"/>
      <protection locked="0"/>
    </xf>
    <xf numFmtId="0"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9"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protection locked="0"/>
    </xf>
    <xf numFmtId="0" fontId="80" fillId="0" borderId="110" xfId="0" applyFont="1" applyFill="1" applyBorder="1" applyAlignment="1" applyProtection="1">
      <alignment horizontal="center" vertical="center"/>
      <protection locked="0"/>
    </xf>
    <xf numFmtId="0" fontId="80" fillId="5" borderId="110" xfId="0" applyNumberFormat="1" applyFont="1" applyFill="1" applyBorder="1" applyAlignment="1" applyProtection="1">
      <alignment horizontal="center" vertical="center" wrapText="1"/>
    </xf>
    <xf numFmtId="0" fontId="90" fillId="0" borderId="111" xfId="0" applyNumberFormat="1" applyFont="1" applyFill="1" applyBorder="1" applyAlignment="1" applyProtection="1">
      <alignment horizontal="center" vertical="center" wrapText="1"/>
      <protection locked="0"/>
    </xf>
    <xf numFmtId="0" fontId="90" fillId="0" borderId="112" xfId="0" applyNumberFormat="1" applyFont="1" applyFill="1" applyBorder="1" applyAlignment="1" applyProtection="1">
      <alignment horizontal="center" vertical="center" wrapText="1"/>
      <protection locked="0"/>
    </xf>
    <xf numFmtId="0" fontId="138" fillId="5" borderId="115" xfId="0" applyNumberFormat="1" applyFont="1" applyFill="1" applyBorder="1" applyAlignment="1" applyProtection="1">
      <alignment horizontal="center" vertical="center" wrapText="1"/>
    </xf>
    <xf numFmtId="0" fontId="15" fillId="10" borderId="26" xfId="0" applyNumberFormat="1" applyFont="1" applyFill="1" applyBorder="1" applyAlignment="1" applyProtection="1">
      <alignment horizontal="center" vertical="center" wrapText="1"/>
    </xf>
    <xf numFmtId="0" fontId="80" fillId="10" borderId="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left" vertical="center" wrapText="1"/>
      <protection locked="0"/>
    </xf>
    <xf numFmtId="0" fontId="80" fillId="10" borderId="29" xfId="0" applyNumberFormat="1" applyFont="1" applyFill="1" applyBorder="1" applyAlignment="1" applyProtection="1">
      <alignment horizontal="center" vertical="center" wrapText="1"/>
      <protection locked="0"/>
    </xf>
    <xf numFmtId="0" fontId="80" fillId="10" borderId="40" xfId="0" applyFont="1" applyFill="1" applyBorder="1" applyAlignment="1" applyProtection="1">
      <alignment horizontal="center" vertical="center"/>
      <protection locked="0"/>
    </xf>
    <xf numFmtId="0"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wrapText="1"/>
      <protection locked="0"/>
    </xf>
    <xf numFmtId="9"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protection locked="0"/>
    </xf>
    <xf numFmtId="0" fontId="80" fillId="10" borderId="39" xfId="0" applyFont="1" applyFill="1" applyBorder="1" applyAlignment="1" applyProtection="1">
      <alignment horizontal="center" vertical="center"/>
      <protection locked="0"/>
    </xf>
    <xf numFmtId="0" fontId="89" fillId="10" borderId="116" xfId="0" applyNumberFormat="1" applyFont="1" applyFill="1" applyBorder="1" applyAlignment="1" applyProtection="1">
      <alignment vertical="center" wrapText="1"/>
      <protection locked="0"/>
    </xf>
    <xf numFmtId="0" fontId="80" fillId="10" borderId="54" xfId="0" applyNumberFormat="1" applyFont="1" applyFill="1" applyBorder="1" applyAlignment="1" applyProtection="1">
      <alignment horizontal="center" vertical="center" wrapText="1"/>
    </xf>
    <xf numFmtId="0" fontId="80" fillId="10" borderId="43" xfId="0" applyNumberFormat="1" applyFont="1" applyFill="1" applyBorder="1" applyAlignment="1" applyProtection="1">
      <alignment horizontal="center" vertical="center" wrapText="1"/>
      <protection locked="0"/>
    </xf>
    <xf numFmtId="0" fontId="90" fillId="10" borderId="44" xfId="0" applyNumberFormat="1" applyFont="1" applyFill="1" applyBorder="1" applyAlignment="1" applyProtection="1">
      <alignment horizontal="center" vertical="center" wrapText="1"/>
      <protection locked="0"/>
    </xf>
    <xf numFmtId="0" fontId="90" fillId="10" borderId="45" xfId="0" applyNumberFormat="1" applyFont="1" applyFill="1" applyBorder="1" applyAlignment="1" applyProtection="1">
      <alignment horizontal="center" vertical="center" wrapText="1"/>
      <protection locked="0"/>
    </xf>
    <xf numFmtId="0" fontId="90" fillId="10" borderId="4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56" fillId="5" borderId="28" xfId="0" applyFont="1" applyFill="1" applyBorder="1" applyAlignment="1" applyProtection="1">
      <alignment vertical="center"/>
    </xf>
    <xf numFmtId="0" fontId="85" fillId="5" borderId="5" xfId="0" applyFont="1" applyFill="1" applyBorder="1" applyProtection="1">
      <alignment vertical="center"/>
    </xf>
    <xf numFmtId="0" fontId="85" fillId="5" borderId="2" xfId="0" applyFont="1" applyFill="1" applyBorder="1" applyProtection="1">
      <alignment vertical="center"/>
    </xf>
    <xf numFmtId="177" fontId="75" fillId="5" borderId="2" xfId="0" applyNumberFormat="1" applyFont="1" applyFill="1" applyBorder="1" applyProtection="1">
      <alignment vertical="center"/>
    </xf>
    <xf numFmtId="178" fontId="134" fillId="5" borderId="11" xfId="2" applyNumberFormat="1" applyFont="1" applyFill="1" applyBorder="1" applyAlignment="1" applyProtection="1">
      <alignment horizontal="left" vertical="center"/>
    </xf>
    <xf numFmtId="178" fontId="75" fillId="5" borderId="11" xfId="2" applyNumberFormat="1" applyFont="1" applyFill="1" applyBorder="1" applyAlignment="1" applyProtection="1">
      <alignment horizontal="left" vertical="center" wrapText="1"/>
    </xf>
    <xf numFmtId="0" fontId="21" fillId="5" borderId="1" xfId="2"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8" fontId="75" fillId="5" borderId="2" xfId="2" applyNumberFormat="1" applyFont="1" applyFill="1" applyBorder="1" applyAlignment="1" applyProtection="1">
      <alignment vertical="center"/>
    </xf>
    <xf numFmtId="178" fontId="75" fillId="5" borderId="5" xfId="2" applyNumberFormat="1" applyFont="1" applyFill="1" applyBorder="1" applyAlignment="1" applyProtection="1">
      <alignment vertical="center"/>
    </xf>
    <xf numFmtId="178" fontId="75" fillId="5" borderId="11" xfId="2"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182" fontId="84" fillId="5" borderId="2" xfId="0" applyNumberFormat="1" applyFont="1" applyFill="1" applyBorder="1" applyAlignment="1" applyProtection="1">
      <alignment horizontal="center" vertical="center"/>
    </xf>
    <xf numFmtId="180" fontId="75" fillId="5" borderId="43" xfId="2" applyNumberFormat="1" applyFont="1" applyFill="1" applyBorder="1" applyAlignment="1" applyProtection="1">
      <alignment horizontal="center" vertical="center"/>
    </xf>
    <xf numFmtId="178" fontId="85" fillId="5" borderId="11" xfId="2"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xf>
    <xf numFmtId="0" fontId="53" fillId="5" borderId="5" xfId="0" applyFont="1" applyFill="1" applyBorder="1" applyAlignment="1" applyProtection="1">
      <alignment horizontal="left" vertical="center"/>
    </xf>
    <xf numFmtId="0" fontId="86" fillId="5" borderId="9" xfId="0"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0" fontId="75" fillId="0" borderId="12" xfId="2" applyNumberFormat="1" applyFont="1" applyFill="1" applyBorder="1" applyAlignment="1" applyProtection="1">
      <alignment horizontal="center" vertical="center"/>
    </xf>
    <xf numFmtId="9" fontId="75" fillId="5" borderId="5" xfId="0"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82" fontId="75" fillId="5" borderId="2" xfId="0" applyNumberFormat="1" applyFont="1" applyFill="1" applyBorder="1" applyAlignment="1" applyProtection="1">
      <alignment vertical="center"/>
    </xf>
    <xf numFmtId="182" fontId="75" fillId="5" borderId="5" xfId="0" applyNumberFormat="1" applyFont="1" applyFill="1" applyBorder="1" applyAlignment="1" applyProtection="1">
      <alignment vertical="center"/>
    </xf>
    <xf numFmtId="182" fontId="75" fillId="5" borderId="12" xfId="0" applyNumberFormat="1" applyFont="1" applyFill="1" applyBorder="1" applyAlignment="1" applyProtection="1">
      <alignment vertical="center"/>
    </xf>
    <xf numFmtId="182" fontId="75" fillId="5" borderId="2" xfId="0" applyNumberFormat="1" applyFont="1" applyFill="1" applyBorder="1" applyAlignment="1" applyProtection="1">
      <alignment horizontal="center" vertical="center"/>
    </xf>
    <xf numFmtId="182" fontId="75" fillId="5" borderId="5" xfId="0" applyNumberFormat="1" applyFont="1" applyFill="1" applyBorder="1" applyAlignment="1" applyProtection="1">
      <alignment horizontal="center" vertical="center"/>
    </xf>
    <xf numFmtId="10" fontId="75" fillId="5" borderId="2" xfId="0" applyNumberFormat="1" applyFont="1" applyFill="1" applyBorder="1" applyAlignment="1" applyProtection="1">
      <alignment horizontal="center" vertical="center"/>
    </xf>
    <xf numFmtId="183" fontId="75" fillId="5" borderId="2"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0" fillId="5" borderId="20" xfId="0" applyFont="1" applyFill="1" applyBorder="1" applyAlignment="1" applyProtection="1">
      <alignment horizontal="left" vertical="center"/>
      <protection locked="0"/>
    </xf>
    <xf numFmtId="0" fontId="137" fillId="5" borderId="47" xfId="0" applyFont="1" applyFill="1" applyBorder="1" applyAlignment="1" applyProtection="1">
      <alignment vertical="center"/>
    </xf>
    <xf numFmtId="0" fontId="56" fillId="5" borderId="2" xfId="0" applyFont="1" applyFill="1" applyBorder="1" applyAlignment="1" applyProtection="1">
      <alignment vertical="center"/>
    </xf>
    <xf numFmtId="0" fontId="44" fillId="5" borderId="11" xfId="2" applyFont="1" applyFill="1" applyBorder="1" applyAlignment="1" applyProtection="1"/>
    <xf numFmtId="0" fontId="214" fillId="5" borderId="9" xfId="0" applyFont="1" applyFill="1" applyBorder="1" applyAlignment="1" applyProtection="1">
      <alignment horizontal="right" vertical="center"/>
    </xf>
    <xf numFmtId="0" fontId="215" fillId="5" borderId="5" xfId="0" applyFont="1" applyFill="1" applyBorder="1" applyAlignment="1" applyProtection="1">
      <alignment horizontal="left" vertical="center"/>
    </xf>
    <xf numFmtId="0" fontId="216" fillId="5" borderId="9" xfId="0" applyFont="1" applyFill="1" applyBorder="1" applyAlignment="1" applyProtection="1">
      <alignment horizontal="right" vertical="center"/>
    </xf>
    <xf numFmtId="0" fontId="86" fillId="5" borderId="9" xfId="0" applyFont="1" applyFill="1" applyBorder="1" applyAlignment="1" applyProtection="1">
      <alignment horizontal="right" vertical="center"/>
    </xf>
    <xf numFmtId="178" fontId="56" fillId="5" borderId="2" xfId="2" applyNumberFormat="1" applyFont="1" applyFill="1" applyBorder="1" applyAlignment="1" applyProtection="1">
      <alignment vertical="center"/>
    </xf>
    <xf numFmtId="14" fontId="79" fillId="5" borderId="34" xfId="0" applyNumberFormat="1" applyFont="1" applyFill="1" applyBorder="1" applyAlignment="1" applyProtection="1">
      <alignment horizontal="center" vertical="center"/>
    </xf>
    <xf numFmtId="0" fontId="190" fillId="0" borderId="0" xfId="7" applyFont="1" applyAlignment="1">
      <alignment horizontal="center" vertical="center"/>
    </xf>
    <xf numFmtId="0" fontId="217" fillId="0" borderId="0" xfId="7" applyFont="1" applyAlignment="1">
      <alignment horizontal="center" vertical="center"/>
    </xf>
    <xf numFmtId="0" fontId="217" fillId="0" borderId="0" xfId="7" applyFont="1">
      <alignment vertical="center"/>
    </xf>
    <xf numFmtId="0" fontId="184" fillId="0" borderId="0" xfId="7" applyFont="1">
      <alignment vertical="center"/>
    </xf>
    <xf numFmtId="0" fontId="218" fillId="0" borderId="10" xfId="7" applyFont="1" applyFill="1" applyBorder="1" applyAlignment="1">
      <alignment vertical="center"/>
    </xf>
    <xf numFmtId="0" fontId="218" fillId="0" borderId="2" xfId="7" applyFont="1" applyFill="1" applyBorder="1" applyAlignment="1">
      <alignment horizontal="center" vertical="center"/>
    </xf>
    <xf numFmtId="0" fontId="218" fillId="0" borderId="5" xfId="7" applyFont="1" applyFill="1" applyBorder="1" applyAlignment="1">
      <alignment horizontal="center" vertical="center"/>
    </xf>
    <xf numFmtId="0" fontId="218" fillId="0" borderId="10" xfId="7" applyFont="1" applyFill="1" applyBorder="1" applyAlignment="1">
      <alignment horizontal="center" vertical="center"/>
    </xf>
    <xf numFmtId="184" fontId="218" fillId="0" borderId="10" xfId="7" applyNumberFormat="1" applyFont="1" applyFill="1" applyBorder="1" applyAlignment="1">
      <alignment horizontal="center" vertical="center"/>
    </xf>
    <xf numFmtId="0" fontId="184" fillId="0" borderId="0" xfId="7" applyFont="1" applyFill="1">
      <alignment vertical="center"/>
    </xf>
    <xf numFmtId="0" fontId="219" fillId="0" borderId="2" xfId="7" applyFont="1" applyFill="1" applyBorder="1" applyAlignment="1">
      <alignment vertical="center"/>
    </xf>
    <xf numFmtId="0" fontId="218" fillId="0" borderId="2" xfId="7" applyFont="1" applyBorder="1" applyAlignment="1">
      <alignment horizontal="right" vertical="center"/>
    </xf>
    <xf numFmtId="0" fontId="218" fillId="0" borderId="2" xfId="7" applyFont="1" applyFill="1" applyBorder="1" applyAlignment="1">
      <alignment horizontal="right" vertical="center"/>
    </xf>
    <xf numFmtId="0" fontId="190" fillId="0" borderId="0" xfId="7" applyFont="1">
      <alignment vertical="center"/>
    </xf>
    <xf numFmtId="0" fontId="190" fillId="0" borderId="2" xfId="7" applyFont="1" applyBorder="1">
      <alignment vertical="center"/>
    </xf>
    <xf numFmtId="184" fontId="218" fillId="0" borderId="2" xfId="7" applyNumberFormat="1" applyFont="1" applyFill="1" applyBorder="1" applyAlignment="1">
      <alignment horizontal="right" vertical="center"/>
    </xf>
    <xf numFmtId="184" fontId="218" fillId="0" borderId="2" xfId="0" applyNumberFormat="1" applyFont="1" applyFill="1" applyBorder="1" applyAlignment="1">
      <alignment horizontal="right" vertical="center"/>
    </xf>
    <xf numFmtId="14" fontId="190" fillId="0" borderId="2" xfId="7" applyNumberFormat="1" applyFont="1" applyBorder="1">
      <alignment vertical="center"/>
    </xf>
    <xf numFmtId="0" fontId="220" fillId="0" borderId="2" xfId="7" applyFont="1" applyBorder="1">
      <alignment vertical="center"/>
    </xf>
    <xf numFmtId="184" fontId="220" fillId="0" borderId="2" xfId="0" applyNumberFormat="1" applyFont="1" applyFill="1" applyBorder="1" applyAlignment="1">
      <alignment horizontal="right" vertical="center"/>
    </xf>
    <xf numFmtId="14" fontId="184" fillId="0" borderId="0" xfId="7" applyNumberFormat="1" applyFont="1">
      <alignment vertical="center"/>
    </xf>
    <xf numFmtId="0" fontId="156" fillId="5" borderId="2" xfId="0" applyFont="1" applyFill="1" applyBorder="1" applyAlignment="1" applyProtection="1">
      <alignment horizontal="left" vertical="center" wrapText="1"/>
      <protection locked="0"/>
    </xf>
    <xf numFmtId="0" fontId="86" fillId="5" borderId="2" xfId="0" applyFont="1" applyFill="1" applyBorder="1" applyAlignment="1" applyProtection="1">
      <alignment horizontal="center" vertical="center" wrapText="1"/>
    </xf>
    <xf numFmtId="177" fontId="80" fillId="0" borderId="2" xfId="0" applyNumberFormat="1" applyFont="1" applyFill="1" applyBorder="1" applyAlignment="1" applyProtection="1">
      <alignment horizontal="center" vertical="center" wrapText="1"/>
      <protection locked="0"/>
    </xf>
    <xf numFmtId="0" fontId="85" fillId="5" borderId="21" xfId="0" applyFont="1" applyFill="1" applyBorder="1" applyProtection="1">
      <alignment vertical="center"/>
    </xf>
    <xf numFmtId="0" fontId="85" fillId="5" borderId="0" xfId="0" applyFont="1" applyFill="1" applyAlignment="1" applyProtection="1">
      <alignment vertical="center"/>
      <protection locked="0"/>
    </xf>
    <xf numFmtId="0" fontId="156" fillId="5" borderId="0" xfId="0" applyFont="1" applyFill="1" applyAlignment="1" applyProtection="1">
      <alignment vertical="center"/>
      <protection locked="0"/>
    </xf>
    <xf numFmtId="0" fontId="153" fillId="5" borderId="0" xfId="0" applyFont="1" applyFill="1" applyAlignment="1" applyProtection="1">
      <alignment horizontal="center" vertical="center"/>
      <protection locked="0"/>
    </xf>
    <xf numFmtId="0" fontId="153" fillId="5" borderId="0" xfId="0" applyFont="1" applyFill="1" applyAlignment="1" applyProtection="1">
      <alignment horizontal="left"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left" vertical="center" wrapText="1"/>
      <protection locked="0"/>
    </xf>
    <xf numFmtId="0" fontId="153" fillId="0" borderId="12" xfId="0" applyNumberFormat="1" applyFont="1" applyFill="1" applyBorder="1" applyAlignment="1" applyProtection="1">
      <alignment horizontal="center" vertical="center" wrapText="1"/>
      <protection locked="0"/>
    </xf>
    <xf numFmtId="0" fontId="221" fillId="2" borderId="14" xfId="0" applyFont="1" applyFill="1" applyBorder="1" applyAlignment="1" applyProtection="1">
      <alignment vertical="center"/>
      <protection locked="0"/>
    </xf>
    <xf numFmtId="182" fontId="89" fillId="0" borderId="12" xfId="0" applyNumberFormat="1" applyFont="1" applyFill="1" applyBorder="1" applyAlignment="1" applyProtection="1">
      <alignment horizontal="center" vertical="center"/>
      <protection locked="0"/>
    </xf>
    <xf numFmtId="49" fontId="89" fillId="5" borderId="53" xfId="0" applyNumberFormat="1" applyFont="1" applyFill="1" applyBorder="1" applyAlignment="1" applyProtection="1">
      <alignment vertical="center"/>
    </xf>
    <xf numFmtId="0" fontId="89" fillId="5" borderId="27" xfId="0" applyFont="1" applyFill="1" applyBorder="1" applyAlignment="1" applyProtection="1">
      <alignment vertical="center" wrapText="1"/>
    </xf>
    <xf numFmtId="0" fontId="89" fillId="5" borderId="27" xfId="0" applyFont="1" applyFill="1" applyBorder="1" applyAlignment="1" applyProtection="1">
      <alignment horizontal="center" vertical="center"/>
    </xf>
    <xf numFmtId="0" fontId="80" fillId="5" borderId="27" xfId="0" applyFont="1" applyFill="1" applyBorder="1" applyAlignment="1" applyProtection="1">
      <alignment vertical="center"/>
    </xf>
    <xf numFmtId="0" fontId="53" fillId="5" borderId="6" xfId="0" applyFont="1" applyFill="1" applyBorder="1" applyAlignment="1" applyProtection="1">
      <alignment horizontal="left" vertical="center"/>
    </xf>
    <xf numFmtId="0" fontId="89" fillId="0" borderId="7" xfId="0" applyFont="1" applyFill="1" applyBorder="1" applyAlignment="1" applyProtection="1">
      <alignment horizontal="center" vertical="center"/>
      <protection locked="0"/>
    </xf>
    <xf numFmtId="0" fontId="222" fillId="8" borderId="36" xfId="0" applyFont="1" applyFill="1" applyBorder="1" applyAlignment="1" applyProtection="1">
      <alignment vertical="center"/>
      <protection locked="0"/>
    </xf>
    <xf numFmtId="0" fontId="110" fillId="8" borderId="37" xfId="0" applyFont="1" applyFill="1" applyBorder="1" applyAlignment="1" applyProtection="1">
      <alignment vertical="center"/>
      <protection locked="0"/>
    </xf>
    <xf numFmtId="0" fontId="110" fillId="8" borderId="38" xfId="0" applyFont="1" applyFill="1" applyBorder="1" applyAlignment="1" applyProtection="1">
      <alignment horizontal="left" vertical="center"/>
      <protection locked="0"/>
    </xf>
    <xf numFmtId="0" fontId="158" fillId="5" borderId="82" xfId="0" applyFont="1" applyFill="1" applyBorder="1" applyAlignment="1" applyProtection="1">
      <alignment horizontal="center" vertical="center"/>
      <protection locked="0"/>
    </xf>
    <xf numFmtId="0" fontId="136" fillId="5" borderId="1" xfId="0" applyFont="1" applyFill="1" applyBorder="1" applyAlignment="1" applyProtection="1">
      <alignment vertical="center"/>
      <protection locked="0"/>
    </xf>
    <xf numFmtId="0" fontId="136" fillId="5" borderId="11" xfId="0" applyFont="1" applyFill="1" applyBorder="1" applyAlignment="1" applyProtection="1">
      <alignment vertical="center"/>
      <protection locked="0"/>
    </xf>
    <xf numFmtId="49" fontId="136" fillId="5" borderId="11" xfId="0" applyNumberFormat="1" applyFont="1" applyFill="1" applyBorder="1" applyAlignment="1" applyProtection="1">
      <alignment horizontal="left" vertical="center"/>
      <protection locked="0"/>
    </xf>
    <xf numFmtId="0" fontId="136" fillId="5" borderId="43" xfId="0" applyFont="1" applyFill="1" applyBorder="1" applyAlignment="1" applyProtection="1">
      <alignment vertical="center"/>
      <protection locked="0"/>
    </xf>
    <xf numFmtId="0" fontId="136" fillId="5" borderId="33" xfId="0" applyFont="1" applyFill="1" applyBorder="1" applyAlignment="1" applyProtection="1">
      <alignment vertical="center" wrapText="1"/>
      <protection locked="0"/>
    </xf>
    <xf numFmtId="0" fontId="136" fillId="6" borderId="7" xfId="0" applyFont="1" applyFill="1" applyBorder="1" applyAlignment="1" applyProtection="1">
      <alignment horizontal="center" vertical="center"/>
      <protection locked="0"/>
    </xf>
    <xf numFmtId="0" fontId="136" fillId="5" borderId="1" xfId="0" applyFont="1" applyFill="1" applyBorder="1" applyAlignment="1" applyProtection="1">
      <alignment horizontal="left" vertical="center"/>
      <protection locked="0"/>
    </xf>
    <xf numFmtId="0" fontId="110" fillId="5" borderId="7" xfId="0" applyFont="1" applyFill="1" applyBorder="1" applyAlignment="1" applyProtection="1">
      <alignment horizontal="center" vertical="center"/>
      <protection locked="0"/>
    </xf>
    <xf numFmtId="0" fontId="152" fillId="6" borderId="12" xfId="0" applyFont="1" applyFill="1" applyBorder="1" applyAlignment="1" applyProtection="1">
      <alignment horizontal="center"/>
      <protection locked="0"/>
    </xf>
    <xf numFmtId="0" fontId="152" fillId="5" borderId="11" xfId="0" applyFont="1" applyFill="1" applyBorder="1" applyAlignment="1" applyProtection="1">
      <alignment horizontal="left"/>
      <protection locked="0"/>
    </xf>
    <xf numFmtId="0" fontId="110" fillId="5" borderId="12" xfId="0" applyFont="1" applyFill="1" applyBorder="1" applyAlignment="1" applyProtection="1">
      <alignment horizontal="center" vertical="center"/>
      <protection locked="0"/>
    </xf>
    <xf numFmtId="0" fontId="110" fillId="8" borderId="12" xfId="0" applyFont="1" applyFill="1" applyBorder="1" applyAlignment="1" applyProtection="1">
      <alignment horizontal="center" vertical="center"/>
      <protection locked="0"/>
    </xf>
    <xf numFmtId="0" fontId="163" fillId="5" borderId="11" xfId="0" applyFont="1" applyFill="1" applyBorder="1" applyAlignment="1" applyProtection="1">
      <alignment horizontal="left"/>
      <protection locked="0"/>
    </xf>
    <xf numFmtId="0" fontId="110" fillId="0" borderId="12" xfId="0" applyFont="1" applyFill="1" applyBorder="1" applyAlignment="1" applyProtection="1">
      <alignment horizontal="center" vertical="center"/>
      <protection locked="0"/>
    </xf>
    <xf numFmtId="0" fontId="180" fillId="5" borderId="12" xfId="0" applyFont="1" applyFill="1" applyBorder="1" applyAlignment="1" applyProtection="1">
      <alignment horizontal="center"/>
      <protection locked="0"/>
    </xf>
    <xf numFmtId="0" fontId="110" fillId="5" borderId="12" xfId="0" applyNumberFormat="1" applyFont="1" applyFill="1" applyBorder="1" applyAlignment="1" applyProtection="1">
      <alignment horizontal="center" vertical="center"/>
      <protection locked="0"/>
    </xf>
    <xf numFmtId="193" fontId="110" fillId="5" borderId="12" xfId="0" applyNumberFormat="1" applyFont="1" applyFill="1" applyBorder="1" applyAlignment="1" applyProtection="1">
      <alignment horizontal="center" vertical="center"/>
      <protection locked="0"/>
    </xf>
    <xf numFmtId="10" fontId="110" fillId="0" borderId="46" xfId="0" applyNumberFormat="1" applyFont="1" applyFill="1" applyBorder="1" applyAlignment="1" applyProtection="1">
      <alignment horizontal="center" vertical="center"/>
      <protection locked="0"/>
    </xf>
    <xf numFmtId="0" fontId="110" fillId="5" borderId="83" xfId="0" applyFont="1" applyFill="1" applyBorder="1" applyAlignment="1" applyProtection="1">
      <alignment horizontal="center" vertical="center"/>
      <protection locked="0"/>
    </xf>
    <xf numFmtId="0" fontId="223" fillId="5" borderId="26" xfId="0" applyFont="1" applyFill="1" applyBorder="1" applyAlignment="1" applyProtection="1">
      <alignment horizontal="center" vertical="center"/>
      <protection locked="0"/>
    </xf>
    <xf numFmtId="0" fontId="110" fillId="6" borderId="57" xfId="0" applyFont="1" applyFill="1" applyBorder="1" applyAlignment="1" applyProtection="1">
      <alignment horizontal="center" vertical="center"/>
      <protection locked="0"/>
    </xf>
    <xf numFmtId="0" fontId="136" fillId="5" borderId="50" xfId="0" applyFont="1" applyFill="1" applyBorder="1" applyAlignment="1" applyProtection="1">
      <alignment vertical="center" wrapText="1"/>
      <protection locked="0"/>
    </xf>
    <xf numFmtId="0" fontId="136" fillId="5" borderId="11" xfId="0" applyFont="1" applyFill="1" applyBorder="1" applyAlignment="1" applyProtection="1">
      <alignment vertical="center" wrapText="1"/>
      <protection locked="0"/>
    </xf>
    <xf numFmtId="49" fontId="223" fillId="5" borderId="43" xfId="0" applyNumberFormat="1" applyFont="1" applyFill="1" applyBorder="1" applyAlignment="1" applyProtection="1">
      <alignment horizontal="left" vertical="center"/>
      <protection locked="0"/>
    </xf>
    <xf numFmtId="0" fontId="110" fillId="5" borderId="5" xfId="0" applyFont="1" applyFill="1" applyBorder="1" applyAlignment="1" applyProtection="1">
      <alignment horizontal="center" vertical="center"/>
      <protection locked="0"/>
    </xf>
    <xf numFmtId="0" fontId="110" fillId="5" borderId="46" xfId="0" applyFont="1" applyFill="1" applyBorder="1" applyAlignment="1" applyProtection="1">
      <alignment horizontal="center" vertical="center"/>
      <protection locked="0"/>
    </xf>
    <xf numFmtId="0" fontId="223" fillId="5" borderId="43" xfId="0" applyFont="1" applyFill="1" applyBorder="1" applyAlignment="1" applyProtection="1">
      <alignment horizontal="center" vertical="center"/>
      <protection locked="0"/>
    </xf>
    <xf numFmtId="0" fontId="136" fillId="5" borderId="2" xfId="0" applyFont="1" applyFill="1" applyBorder="1" applyAlignment="1" applyProtection="1">
      <protection locked="0"/>
    </xf>
    <xf numFmtId="0" fontId="136" fillId="5" borderId="2" xfId="0" applyFont="1" applyFill="1" applyBorder="1" applyAlignment="1" applyProtection="1">
      <alignment horizontal="center"/>
      <protection locked="0"/>
    </xf>
    <xf numFmtId="49" fontId="36" fillId="5" borderId="0" xfId="0" applyNumberFormat="1" applyFont="1" applyFill="1" applyBorder="1" applyAlignment="1" applyProtection="1">
      <alignment horizontal="center"/>
    </xf>
    <xf numFmtId="0" fontId="110" fillId="5" borderId="0" xfId="0" applyNumberFormat="1" applyFont="1" applyFill="1" applyBorder="1" applyAlignment="1" applyProtection="1">
      <alignment horizontal="center"/>
    </xf>
    <xf numFmtId="182" fontId="75" fillId="0" borderId="5" xfId="0" applyNumberFormat="1" applyFont="1" applyBorder="1" applyAlignment="1" applyProtection="1">
      <alignment horizontal="center" vertical="center"/>
      <protection locked="0"/>
    </xf>
    <xf numFmtId="0" fontId="21" fillId="5" borderId="2" xfId="0" applyFont="1" applyFill="1" applyBorder="1" applyAlignment="1" applyProtection="1">
      <alignment horizontal="center" vertical="center" wrapText="1"/>
      <protection locked="0"/>
    </xf>
    <xf numFmtId="0" fontId="75" fillId="6" borderId="2"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20" fillId="8" borderId="0" xfId="0" applyFont="1" applyFill="1" applyAlignment="1" applyProtection="1">
      <alignment horizontal="center" vertical="center"/>
      <protection locked="0"/>
    </xf>
    <xf numFmtId="0" fontId="224" fillId="5" borderId="0" xfId="0" applyFont="1" applyFill="1" applyAlignment="1" applyProtection="1">
      <alignment vertical="center"/>
    </xf>
    <xf numFmtId="0" fontId="152" fillId="5" borderId="82" xfId="0" applyFont="1" applyFill="1" applyBorder="1" applyAlignment="1" applyProtection="1">
      <alignment vertical="center" wrapText="1"/>
    </xf>
    <xf numFmtId="0" fontId="152" fillId="5" borderId="38" xfId="0" applyFont="1" applyFill="1" applyBorder="1" applyAlignment="1" applyProtection="1">
      <alignment vertical="center"/>
    </xf>
    <xf numFmtId="0" fontId="152" fillId="5" borderId="38" xfId="0" applyFont="1" applyFill="1" applyBorder="1" applyAlignment="1" applyProtection="1">
      <alignment horizontal="center" vertical="center" wrapText="1"/>
    </xf>
    <xf numFmtId="0" fontId="180" fillId="5" borderId="80" xfId="0" applyFont="1" applyFill="1" applyBorder="1" applyAlignment="1" applyProtection="1">
      <alignment vertical="center" wrapText="1"/>
    </xf>
    <xf numFmtId="0" fontId="152" fillId="5" borderId="66" xfId="0" applyFont="1" applyFill="1" applyBorder="1" applyAlignment="1" applyProtection="1">
      <alignment vertical="center"/>
    </xf>
    <xf numFmtId="0" fontId="180" fillId="5" borderId="66" xfId="0" applyFont="1" applyFill="1" applyBorder="1" applyAlignment="1" applyProtection="1">
      <alignment horizontal="center" vertical="center" wrapText="1"/>
    </xf>
    <xf numFmtId="0" fontId="180" fillId="5" borderId="80" xfId="0" applyFont="1" applyFill="1" applyBorder="1" applyAlignment="1" applyProtection="1">
      <alignment horizontal="right" vertical="center" wrapText="1"/>
    </xf>
    <xf numFmtId="10" fontId="180" fillId="5" borderId="66" xfId="0" applyNumberFormat="1" applyFont="1" applyFill="1" applyBorder="1" applyAlignment="1" applyProtection="1">
      <alignment horizontal="center" vertical="center" wrapText="1"/>
    </xf>
    <xf numFmtId="0" fontId="180" fillId="5" borderId="66" xfId="0" applyFont="1" applyFill="1" applyBorder="1" applyAlignment="1" applyProtection="1">
      <alignment vertical="center"/>
    </xf>
    <xf numFmtId="0" fontId="176" fillId="5" borderId="0" xfId="0" applyFont="1" applyFill="1" applyAlignment="1" applyProtection="1">
      <alignment vertical="center"/>
    </xf>
    <xf numFmtId="193" fontId="180"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229" fillId="5" borderId="66" xfId="0" applyFont="1" applyFill="1" applyBorder="1" applyAlignment="1" applyProtection="1">
      <alignment vertical="center"/>
    </xf>
    <xf numFmtId="0" fontId="168" fillId="5" borderId="2" xfId="3" applyNumberFormat="1" applyFont="1" applyFill="1" applyBorder="1" applyAlignment="1" applyProtection="1">
      <alignment horizontal="center" vertical="center" wrapText="1"/>
    </xf>
    <xf numFmtId="0" fontId="168" fillId="5" borderId="10" xfId="3" applyNumberFormat="1" applyFont="1" applyFill="1" applyBorder="1" applyAlignment="1" applyProtection="1">
      <alignment horizontal="center" vertical="center" wrapText="1"/>
    </xf>
    <xf numFmtId="0" fontId="168" fillId="5" borderId="44" xfId="3" applyNumberFormat="1" applyFont="1" applyFill="1" applyBorder="1" applyAlignment="1" applyProtection="1">
      <alignment horizontal="center" vertical="center" wrapText="1"/>
    </xf>
    <xf numFmtId="49" fontId="168" fillId="5" borderId="2" xfId="3" applyNumberFormat="1" applyFont="1" applyFill="1" applyBorder="1" applyAlignment="1" applyProtection="1">
      <alignment horizontal="center" vertical="center" wrapText="1"/>
    </xf>
    <xf numFmtId="49" fontId="168" fillId="5" borderId="55" xfId="3" applyNumberFormat="1" applyFont="1" applyFill="1" applyBorder="1" applyAlignment="1" applyProtection="1">
      <alignment horizontal="center" vertical="center" wrapText="1"/>
    </xf>
    <xf numFmtId="49" fontId="168" fillId="5" borderId="44" xfId="3" applyNumberFormat="1" applyFont="1" applyFill="1" applyBorder="1" applyAlignment="1" applyProtection="1">
      <alignment horizontal="center" vertical="center" wrapText="1"/>
    </xf>
    <xf numFmtId="0" fontId="215" fillId="5" borderId="2" xfId="0" applyFont="1" applyFill="1" applyBorder="1" applyAlignment="1" applyProtection="1">
      <alignment horizontal="center" vertical="center" wrapText="1"/>
    </xf>
    <xf numFmtId="10" fontId="153" fillId="0" borderId="2" xfId="3" applyNumberFormat="1" applyFont="1" applyBorder="1" applyAlignment="1" applyProtection="1">
      <alignment horizontal="center" vertical="center"/>
      <protection locked="0"/>
    </xf>
    <xf numFmtId="183" fontId="153" fillId="5" borderId="2" xfId="3" applyNumberFormat="1" applyFont="1" applyFill="1" applyBorder="1" applyAlignment="1" applyProtection="1">
      <alignment horizontal="center" vertical="center"/>
    </xf>
    <xf numFmtId="10" fontId="156" fillId="5" borderId="2" xfId="3" applyNumberFormat="1" applyFont="1" applyFill="1" applyBorder="1" applyAlignment="1" applyProtection="1">
      <alignment horizontal="center" vertical="center" wrapText="1"/>
    </xf>
    <xf numFmtId="10" fontId="153" fillId="0" borderId="2" xfId="0" applyNumberFormat="1" applyFont="1" applyBorder="1" applyAlignment="1" applyProtection="1">
      <alignment horizontal="center" vertical="center"/>
      <protection locked="0"/>
    </xf>
    <xf numFmtId="0" fontId="208" fillId="5" borderId="0" xfId="3" applyFont="1" applyFill="1" applyProtection="1">
      <alignment vertical="center"/>
    </xf>
    <xf numFmtId="0" fontId="149" fillId="5" borderId="0" xfId="3" applyNumberFormat="1" applyFill="1" applyAlignment="1" applyProtection="1">
      <alignment horizontal="center" vertical="center" wrapText="1"/>
    </xf>
    <xf numFmtId="0" fontId="163" fillId="5" borderId="0" xfId="3" applyFont="1" applyFill="1" applyProtection="1">
      <alignment vertical="center"/>
    </xf>
    <xf numFmtId="0" fontId="153" fillId="5" borderId="0" xfId="3" applyFont="1" applyFill="1" applyProtection="1">
      <alignment vertical="center"/>
    </xf>
    <xf numFmtId="0" fontId="153" fillId="5" borderId="0" xfId="3" applyFont="1" applyFill="1" applyAlignment="1" applyProtection="1">
      <alignment horizontal="center" vertical="center"/>
    </xf>
    <xf numFmtId="0" fontId="208" fillId="5" borderId="59" xfId="3" applyFont="1" applyFill="1" applyBorder="1" applyAlignment="1" applyProtection="1">
      <alignment vertical="center"/>
    </xf>
    <xf numFmtId="0" fontId="150" fillId="5" borderId="28" xfId="3" applyNumberFormat="1" applyFont="1" applyFill="1" applyBorder="1" applyAlignment="1" applyProtection="1">
      <alignment horizontal="center" vertical="center" wrapText="1"/>
    </xf>
    <xf numFmtId="0" fontId="163" fillId="5" borderId="28" xfId="3" applyFont="1" applyFill="1" applyBorder="1" applyProtection="1">
      <alignment vertical="center"/>
    </xf>
    <xf numFmtId="0" fontId="209" fillId="5" borderId="30" xfId="3" applyFont="1" applyFill="1" applyBorder="1" applyAlignment="1" applyProtection="1">
      <alignment vertical="center"/>
    </xf>
    <xf numFmtId="0" fontId="209" fillId="5" borderId="57" xfId="3" applyFont="1" applyFill="1" applyBorder="1" applyAlignment="1" applyProtection="1">
      <alignment horizontal="center" vertical="center"/>
    </xf>
    <xf numFmtId="0" fontId="208" fillId="5" borderId="0" xfId="3" applyFont="1" applyFill="1" applyBorder="1" applyAlignment="1" applyProtection="1">
      <alignment vertical="center"/>
    </xf>
    <xf numFmtId="0" fontId="167" fillId="5" borderId="2" xfId="3" applyFont="1" applyFill="1" applyBorder="1" applyAlignment="1" applyProtection="1">
      <alignment horizontal="center" vertical="center" wrapText="1"/>
    </xf>
    <xf numFmtId="0" fontId="156" fillId="5" borderId="2" xfId="3" applyFont="1" applyFill="1" applyBorder="1" applyAlignment="1" applyProtection="1">
      <alignment horizontal="center" vertical="center" wrapText="1"/>
    </xf>
    <xf numFmtId="0" fontId="90" fillId="5" borderId="12" xfId="3" applyFont="1" applyFill="1" applyBorder="1" applyAlignment="1" applyProtection="1">
      <alignment horizontal="center" vertical="center" wrapText="1"/>
    </xf>
    <xf numFmtId="0" fontId="215" fillId="5" borderId="13" xfId="0" applyFont="1" applyFill="1" applyBorder="1" applyAlignment="1" applyProtection="1">
      <alignment horizontal="center" vertical="center" wrapText="1"/>
    </xf>
    <xf numFmtId="0" fontId="75" fillId="5" borderId="2" xfId="3" applyNumberFormat="1" applyFont="1" applyFill="1" applyBorder="1" applyAlignment="1" applyProtection="1">
      <alignment horizontal="center" vertical="center" wrapText="1"/>
    </xf>
    <xf numFmtId="9" fontId="156" fillId="5" borderId="2" xfId="3" applyNumberFormat="1" applyFont="1" applyFill="1" applyBorder="1" applyAlignment="1" applyProtection="1">
      <alignment horizontal="center" vertical="center" wrapText="1"/>
    </xf>
    <xf numFmtId="10" fontId="90" fillId="5" borderId="25"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horizontal="center" vertical="center" wrapText="1"/>
    </xf>
    <xf numFmtId="10" fontId="88" fillId="5" borderId="2" xfId="3" applyNumberFormat="1" applyFont="1" applyFill="1" applyBorder="1" applyAlignment="1" applyProtection="1">
      <alignment horizontal="center" vertical="center" wrapText="1"/>
    </xf>
    <xf numFmtId="10" fontId="90" fillId="5" borderId="52" xfId="3" applyNumberFormat="1" applyFont="1" applyFill="1" applyBorder="1" applyAlignment="1" applyProtection="1">
      <alignment vertical="center" wrapText="1"/>
    </xf>
    <xf numFmtId="0" fontId="168" fillId="5" borderId="64"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9" fontId="156" fillId="5" borderId="44" xfId="3" applyNumberFormat="1" applyFont="1" applyFill="1" applyBorder="1" applyAlignment="1" applyProtection="1">
      <alignment horizontal="center" vertical="center" wrapText="1"/>
    </xf>
    <xf numFmtId="10" fontId="90" fillId="5" borderId="69" xfId="3" applyNumberFormat="1" applyFont="1" applyFill="1" applyBorder="1" applyAlignment="1" applyProtection="1">
      <alignment vertical="center" wrapText="1"/>
    </xf>
    <xf numFmtId="0" fontId="210" fillId="5" borderId="30" xfId="3" applyFont="1" applyFill="1" applyBorder="1" applyAlignment="1" applyProtection="1">
      <alignment vertical="center"/>
    </xf>
    <xf numFmtId="10" fontId="90" fillId="5" borderId="52"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vertical="center" wrapText="1"/>
    </xf>
    <xf numFmtId="10" fontId="90" fillId="5" borderId="69" xfId="3" applyNumberFormat="1" applyFont="1" applyFill="1" applyBorder="1" applyAlignment="1" applyProtection="1">
      <alignment horizontal="center" vertical="center" wrapText="1"/>
    </xf>
    <xf numFmtId="0" fontId="168" fillId="5" borderId="0" xfId="3" applyFont="1" applyFill="1" applyAlignment="1" applyProtection="1">
      <alignment horizontal="left" vertical="center"/>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180" fontId="162" fillId="5" borderId="3" xfId="5" applyNumberFormat="1" applyFont="1" applyFill="1" applyBorder="1" applyAlignment="1" applyProtection="1">
      <alignment horizontal="center" vertical="center" wrapText="1"/>
    </xf>
    <xf numFmtId="0" fontId="44" fillId="0" borderId="2" xfId="3" applyFont="1" applyFill="1" applyBorder="1" applyAlignment="1" applyProtection="1">
      <alignment vertical="center" wrapText="1"/>
      <protection locked="0"/>
    </xf>
    <xf numFmtId="0" fontId="101" fillId="5" borderId="2" xfId="3" applyFont="1" applyFill="1" applyBorder="1" applyAlignment="1" applyProtection="1">
      <alignment horizontal="right" vertical="center" wrapText="1"/>
    </xf>
    <xf numFmtId="0" fontId="82" fillId="5" borderId="13"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0" xfId="0" applyFont="1" applyFill="1" applyBorder="1" applyAlignment="1" applyProtection="1">
      <alignment vertical="center"/>
    </xf>
    <xf numFmtId="0" fontId="82" fillId="5" borderId="13" xfId="0" applyFont="1" applyFill="1" applyBorder="1" applyAlignment="1" applyProtection="1">
      <alignment vertical="center" wrapText="1"/>
    </xf>
    <xf numFmtId="0" fontId="182" fillId="0" borderId="5" xfId="0" applyFont="1" applyFill="1" applyBorder="1" applyAlignment="1" applyProtection="1">
      <alignment horizontal="center" vertical="center" wrapText="1"/>
      <protection locked="0"/>
    </xf>
    <xf numFmtId="0" fontId="182" fillId="0" borderId="8" xfId="0" applyFont="1" applyFill="1" applyBorder="1" applyAlignment="1" applyProtection="1">
      <alignment horizontal="center" vertical="center" wrapText="1"/>
      <protection locked="0"/>
    </xf>
    <xf numFmtId="0" fontId="182" fillId="0" borderId="9" xfId="0" applyFont="1" applyFill="1" applyBorder="1" applyAlignment="1" applyProtection="1">
      <alignment horizontal="center" vertical="center" wrapText="1"/>
      <protection locked="0"/>
    </xf>
    <xf numFmtId="10" fontId="153" fillId="5" borderId="2" xfId="3" applyNumberFormat="1" applyFont="1" applyFill="1" applyBorder="1" applyAlignment="1" applyProtection="1">
      <alignment horizontal="center" vertical="center"/>
    </xf>
    <xf numFmtId="10" fontId="153" fillId="5" borderId="2" xfId="0" applyNumberFormat="1" applyFont="1" applyFill="1" applyBorder="1" applyAlignment="1" applyProtection="1">
      <alignment horizontal="center" vertical="center"/>
    </xf>
    <xf numFmtId="0" fontId="175" fillId="5" borderId="31" xfId="0" applyFont="1" applyFill="1" applyBorder="1" applyAlignment="1" applyProtection="1">
      <alignment horizontal="left" vertical="center"/>
    </xf>
    <xf numFmtId="0" fontId="80" fillId="5" borderId="8" xfId="0" applyFont="1" applyFill="1" applyBorder="1" applyProtection="1">
      <alignment vertical="center"/>
      <protection locked="0"/>
    </xf>
    <xf numFmtId="0" fontId="80" fillId="5" borderId="16" xfId="0" applyFont="1" applyFill="1" applyBorder="1" applyProtection="1">
      <alignment vertical="center"/>
      <protection locked="0"/>
    </xf>
    <xf numFmtId="0" fontId="80" fillId="5" borderId="0" xfId="0" applyFont="1" applyFill="1" applyBorder="1" applyProtection="1">
      <alignment vertical="center"/>
      <protection locked="0"/>
    </xf>
    <xf numFmtId="0" fontId="80" fillId="5" borderId="65" xfId="0" applyFont="1" applyFill="1" applyBorder="1" applyProtection="1">
      <alignment vertical="center"/>
      <protection locked="0"/>
    </xf>
    <xf numFmtId="0" fontId="73" fillId="5" borderId="64" xfId="0" applyFont="1" applyFill="1" applyBorder="1" applyProtection="1">
      <alignment vertical="center"/>
      <protection locked="0"/>
    </xf>
    <xf numFmtId="49" fontId="99" fillId="5" borderId="11" xfId="2" applyNumberFormat="1" applyFont="1" applyFill="1" applyBorder="1" applyAlignment="1" applyProtection="1">
      <alignment horizontal="left" vertical="center"/>
    </xf>
    <xf numFmtId="49" fontId="99" fillId="5" borderId="11" xfId="0" applyNumberFormat="1" applyFont="1" applyFill="1" applyBorder="1" applyAlignment="1" applyProtection="1">
      <alignment horizontal="left" vertical="center"/>
    </xf>
    <xf numFmtId="49" fontId="99" fillId="5" borderId="43" xfId="2" applyNumberFormat="1" applyFont="1" applyFill="1" applyBorder="1" applyAlignment="1" applyProtection="1">
      <alignment horizontal="left" vertical="center"/>
    </xf>
    <xf numFmtId="0" fontId="64" fillId="5" borderId="5" xfId="2" applyFont="1" applyFill="1" applyBorder="1" applyAlignment="1" applyProtection="1">
      <alignment vertical="center"/>
    </xf>
    <xf numFmtId="178" fontId="99" fillId="0" borderId="2" xfId="2" applyNumberFormat="1" applyFont="1" applyFill="1" applyBorder="1" applyAlignment="1" applyProtection="1">
      <alignment horizontal="center" vertical="center"/>
      <protection locked="0"/>
    </xf>
    <xf numFmtId="10" fontId="90" fillId="5" borderId="5" xfId="2" applyNumberFormat="1" applyFont="1" applyFill="1" applyBorder="1" applyAlignment="1" applyProtection="1">
      <alignment horizontal="center" vertical="center"/>
    </xf>
    <xf numFmtId="0" fontId="231" fillId="5" borderId="5" xfId="2" applyFont="1" applyFill="1" applyBorder="1" applyAlignment="1" applyProtection="1">
      <alignment vertical="center"/>
    </xf>
    <xf numFmtId="49" fontId="230" fillId="5" borderId="11" xfId="2" applyNumberFormat="1" applyFont="1" applyFill="1" applyBorder="1" applyAlignment="1" applyProtection="1">
      <alignment horizontal="left" vertical="center"/>
    </xf>
    <xf numFmtId="0" fontId="131" fillId="5" borderId="12" xfId="2" applyFont="1" applyFill="1" applyBorder="1" applyAlignment="1" applyProtection="1">
      <alignment vertical="center" wrapText="1"/>
    </xf>
    <xf numFmtId="0" fontId="131" fillId="5" borderId="12" xfId="2" applyFont="1" applyFill="1" applyBorder="1" applyAlignment="1" applyProtection="1">
      <alignment horizontal="left" vertical="center"/>
    </xf>
    <xf numFmtId="0" fontId="46" fillId="6" borderId="12" xfId="2" applyFont="1" applyFill="1" applyBorder="1" applyAlignment="1" applyProtection="1">
      <alignment vertical="center"/>
      <protection locked="0"/>
    </xf>
    <xf numFmtId="10" fontId="80" fillId="5" borderId="25" xfId="0" applyNumberFormat="1" applyFont="1" applyFill="1" applyBorder="1" applyAlignment="1" applyProtection="1">
      <alignment horizontal="center" vertical="center"/>
    </xf>
    <xf numFmtId="0" fontId="233" fillId="8" borderId="0" xfId="0" applyFont="1" applyFill="1" applyAlignment="1" applyProtection="1">
      <alignment vertical="center"/>
      <protection locked="0"/>
    </xf>
    <xf numFmtId="0" fontId="160" fillId="5" borderId="64" xfId="0" applyFont="1" applyFill="1" applyBorder="1" applyAlignment="1" applyProtection="1">
      <alignment vertical="center"/>
    </xf>
    <xf numFmtId="0" fontId="52" fillId="5" borderId="45" xfId="0" applyFont="1" applyFill="1" applyBorder="1" applyAlignment="1" applyProtection="1"/>
    <xf numFmtId="0" fontId="80"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21" fillId="5" borderId="22" xfId="0" applyFont="1" applyFill="1" applyBorder="1" applyAlignment="1" applyProtection="1">
      <alignment vertical="center" wrapText="1"/>
    </xf>
    <xf numFmtId="49" fontId="80" fillId="5" borderId="24" xfId="0" applyNumberFormat="1" applyFont="1" applyFill="1" applyBorder="1" applyAlignment="1" applyProtection="1">
      <alignment horizontal="center" vertical="center"/>
    </xf>
    <xf numFmtId="0" fontId="80" fillId="5" borderId="17" xfId="0" applyFont="1" applyFill="1" applyBorder="1" applyAlignment="1" applyProtection="1">
      <alignment horizontal="right" vertical="center"/>
    </xf>
    <xf numFmtId="0" fontId="80" fillId="5" borderId="63" xfId="0" applyFont="1" applyFill="1" applyBorder="1" applyAlignment="1" applyProtection="1">
      <alignment horizontal="center" vertical="center"/>
    </xf>
    <xf numFmtId="182" fontId="89" fillId="5" borderId="15" xfId="0" applyNumberFormat="1" applyFont="1" applyFill="1" applyBorder="1" applyAlignment="1" applyProtection="1">
      <alignment horizontal="center" vertical="center"/>
    </xf>
    <xf numFmtId="49" fontId="80" fillId="5" borderId="18" xfId="0" applyNumberFormat="1" applyFont="1" applyFill="1" applyBorder="1" applyAlignment="1" applyProtection="1">
      <alignment horizontal="left" vertical="center"/>
    </xf>
    <xf numFmtId="0" fontId="15" fillId="5" borderId="32" xfId="0" applyFont="1" applyFill="1" applyBorder="1" applyAlignment="1" applyProtection="1">
      <alignment vertical="center" wrapText="1"/>
    </xf>
    <xf numFmtId="0" fontId="235" fillId="5" borderId="2" xfId="0" applyFont="1" applyFill="1" applyBorder="1" applyAlignment="1" applyProtection="1">
      <alignment horizontal="right" vertical="center" wrapText="1"/>
    </xf>
    <xf numFmtId="0" fontId="130" fillId="5" borderId="10" xfId="0" applyFont="1" applyFill="1" applyBorder="1" applyAlignment="1" applyProtection="1">
      <alignment vertical="center"/>
    </xf>
    <xf numFmtId="0" fontId="15" fillId="5" borderId="10" xfId="0" applyFont="1" applyFill="1" applyBorder="1" applyAlignment="1" applyProtection="1">
      <alignment vertical="center"/>
    </xf>
    <xf numFmtId="0" fontId="15" fillId="5" borderId="10" xfId="0" applyFont="1" applyFill="1" applyBorder="1" applyAlignment="1" applyProtection="1">
      <alignment horizontal="left" vertical="center"/>
    </xf>
    <xf numFmtId="0" fontId="89" fillId="5" borderId="2" xfId="0" applyFont="1" applyFill="1" applyBorder="1" applyAlignment="1" applyProtection="1">
      <alignment horizontal="center" vertical="center"/>
      <protection locked="0"/>
    </xf>
    <xf numFmtId="49" fontId="80" fillId="5" borderId="3" xfId="0" applyNumberFormat="1" applyFont="1" applyFill="1" applyBorder="1" applyAlignment="1" applyProtection="1">
      <alignment horizontal="left" vertical="center"/>
    </xf>
    <xf numFmtId="0" fontId="15" fillId="5" borderId="32" xfId="0" applyFont="1" applyFill="1" applyBorder="1" applyAlignment="1" applyProtection="1">
      <alignment vertical="center"/>
    </xf>
    <xf numFmtId="49" fontId="89" fillId="5" borderId="22" xfId="0" applyNumberFormat="1" applyFont="1" applyFill="1" applyBorder="1" applyAlignment="1" applyProtection="1">
      <alignment horizontal="left" vertical="center"/>
    </xf>
    <xf numFmtId="49" fontId="89" fillId="5" borderId="24"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center" vertical="center"/>
    </xf>
    <xf numFmtId="49" fontId="89" fillId="5" borderId="24" xfId="0" applyNumberFormat="1" applyFont="1" applyFill="1" applyBorder="1" applyAlignment="1" applyProtection="1">
      <alignment horizontal="center" vertical="center"/>
    </xf>
    <xf numFmtId="49" fontId="80" fillId="5" borderId="50" xfId="0" applyNumberFormat="1" applyFont="1" applyFill="1" applyBorder="1" applyAlignment="1" applyProtection="1">
      <alignment horizontal="right" vertical="center"/>
    </xf>
    <xf numFmtId="0" fontId="131" fillId="0" borderId="2" xfId="0" applyFont="1" applyFill="1" applyBorder="1" applyAlignment="1">
      <alignment horizontal="center" vertical="center"/>
    </xf>
    <xf numFmtId="178" fontId="131" fillId="0" borderId="12" xfId="0" applyNumberFormat="1" applyFont="1" applyFill="1" applyBorder="1" applyAlignment="1">
      <alignment horizontal="center" vertical="center"/>
    </xf>
    <xf numFmtId="0" fontId="205" fillId="0" borderId="2" xfId="0" applyFont="1" applyFill="1" applyBorder="1" applyAlignment="1">
      <alignment horizontal="center" vertical="center"/>
    </xf>
    <xf numFmtId="9" fontId="131" fillId="0" borderId="2" xfId="0" applyNumberFormat="1" applyFont="1" applyFill="1" applyBorder="1" applyAlignment="1">
      <alignment horizontal="center" vertical="center"/>
    </xf>
    <xf numFmtId="178" fontId="131" fillId="0" borderId="2" xfId="0" applyNumberFormat="1" applyFont="1" applyFill="1" applyBorder="1" applyAlignment="1">
      <alignment horizontal="center" vertical="center"/>
    </xf>
    <xf numFmtId="0" fontId="131" fillId="0" borderId="12" xfId="0" applyFont="1" applyFill="1" applyBorder="1" applyAlignment="1">
      <alignment horizontal="center" vertical="center"/>
    </xf>
    <xf numFmtId="0" fontId="239" fillId="0" borderId="2" xfId="0" applyFont="1" applyFill="1" applyBorder="1" applyAlignment="1">
      <alignment horizontal="center" vertical="center"/>
    </xf>
    <xf numFmtId="9" fontId="230" fillId="0" borderId="2" xfId="0" applyNumberFormat="1" applyFont="1" applyFill="1" applyBorder="1" applyAlignment="1">
      <alignment horizontal="center" vertical="center"/>
    </xf>
    <xf numFmtId="178" fontId="230" fillId="0" borderId="2" xfId="0" applyNumberFormat="1" applyFont="1" applyFill="1" applyBorder="1" applyAlignment="1">
      <alignment horizontal="center" vertical="center"/>
    </xf>
    <xf numFmtId="0" fontId="230" fillId="0" borderId="12" xfId="0" applyFont="1" applyFill="1" applyBorder="1" applyAlignment="1">
      <alignment horizontal="center" vertical="center"/>
    </xf>
    <xf numFmtId="0" fontId="36" fillId="0" borderId="2" xfId="0" applyFont="1" applyFill="1" applyBorder="1" applyAlignment="1">
      <alignment horizontal="center" vertical="center"/>
    </xf>
    <xf numFmtId="0" fontId="0" fillId="0" borderId="2" xfId="0" applyFill="1" applyBorder="1" applyAlignment="1">
      <alignment vertical="center"/>
    </xf>
    <xf numFmtId="0" fontId="239" fillId="0" borderId="12" xfId="0" applyFont="1" applyFill="1" applyBorder="1" applyAlignment="1">
      <alignment horizontal="center" vertical="center"/>
    </xf>
    <xf numFmtId="0" fontId="205" fillId="0" borderId="2" xfId="0" applyFont="1" applyFill="1" applyBorder="1" applyAlignment="1">
      <alignment horizontal="center" vertical="center" wrapText="1"/>
    </xf>
    <xf numFmtId="0" fontId="36" fillId="0" borderId="2" xfId="0" applyFont="1" applyFill="1" applyBorder="1" applyAlignment="1">
      <alignment vertical="center"/>
    </xf>
    <xf numFmtId="0" fontId="205" fillId="0" borderId="12" xfId="0" applyFont="1" applyFill="1" applyBorder="1" applyAlignment="1">
      <alignment horizontal="center" vertical="center"/>
    </xf>
    <xf numFmtId="9" fontId="239" fillId="0" borderId="2" xfId="0" applyNumberFormat="1" applyFont="1" applyFill="1" applyBorder="1" applyAlignment="1">
      <alignment horizontal="center" vertical="center"/>
    </xf>
    <xf numFmtId="0" fontId="205" fillId="0" borderId="2" xfId="0" applyFont="1" applyBorder="1" applyAlignment="1">
      <alignment horizontal="center" vertical="center"/>
    </xf>
    <xf numFmtId="9" fontId="205" fillId="0" borderId="2" xfId="0" applyNumberFormat="1" applyFont="1" applyBorder="1" applyAlignment="1">
      <alignment horizontal="center" vertical="center"/>
    </xf>
    <xf numFmtId="0" fontId="239" fillId="0" borderId="44" xfId="0" applyFont="1" applyFill="1" applyBorder="1" applyAlignment="1">
      <alignment horizontal="center" vertical="center"/>
    </xf>
    <xf numFmtId="9" fontId="239" fillId="0" borderId="44" xfId="0" applyNumberFormat="1" applyFont="1" applyFill="1" applyBorder="1" applyAlignment="1">
      <alignment horizontal="center" vertical="center"/>
    </xf>
    <xf numFmtId="178" fontId="239" fillId="0" borderId="44" xfId="0" applyNumberFormat="1" applyFont="1" applyFill="1" applyBorder="1" applyAlignment="1">
      <alignment horizontal="center" vertical="center"/>
    </xf>
    <xf numFmtId="0" fontId="230" fillId="0" borderId="46" xfId="0" applyFont="1" applyFill="1" applyBorder="1" applyAlignment="1">
      <alignment horizontal="center" vertical="center"/>
    </xf>
    <xf numFmtId="0" fontId="239" fillId="11" borderId="2" xfId="0" applyFont="1" applyFill="1" applyBorder="1" applyAlignment="1">
      <alignment vertical="center"/>
    </xf>
    <xf numFmtId="0" fontId="131" fillId="0" borderId="2" xfId="0" applyFont="1" applyBorder="1" applyAlignment="1">
      <alignment horizontal="center"/>
    </xf>
    <xf numFmtId="0" fontId="131" fillId="0" borderId="2" xfId="0" applyFont="1" applyBorder="1" applyAlignment="1"/>
    <xf numFmtId="49" fontId="131" fillId="0" borderId="2" xfId="0" applyNumberFormat="1" applyFont="1" applyBorder="1" applyAlignment="1">
      <alignment horizontal="center"/>
    </xf>
    <xf numFmtId="9" fontId="131" fillId="0" borderId="2" xfId="0" applyNumberFormat="1" applyFont="1" applyBorder="1" applyAlignment="1"/>
    <xf numFmtId="0" fontId="131" fillId="0" borderId="2" xfId="0" applyFont="1" applyFill="1" applyBorder="1" applyAlignment="1">
      <alignment horizontal="center"/>
    </xf>
    <xf numFmtId="182" fontId="80" fillId="5" borderId="5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vertical="center"/>
    </xf>
    <xf numFmtId="0" fontId="15" fillId="5" borderId="86" xfId="0" applyFont="1" applyFill="1" applyBorder="1" applyAlignment="1" applyProtection="1">
      <alignment vertical="center" wrapText="1"/>
    </xf>
    <xf numFmtId="0" fontId="89" fillId="0" borderId="71" xfId="0" applyFont="1" applyFill="1" applyBorder="1" applyAlignment="1" applyProtection="1">
      <alignment horizontal="center" vertical="center"/>
      <protection locked="0"/>
    </xf>
    <xf numFmtId="0" fontId="80" fillId="5" borderId="71" xfId="0" applyFont="1" applyFill="1" applyBorder="1" applyAlignment="1" applyProtection="1">
      <alignment vertical="center"/>
    </xf>
    <xf numFmtId="0" fontId="53" fillId="5" borderId="71" xfId="0" applyFont="1" applyFill="1" applyBorder="1" applyAlignment="1" applyProtection="1">
      <alignment horizontal="left" vertical="center"/>
    </xf>
    <xf numFmtId="182" fontId="89" fillId="5" borderId="72" xfId="0" applyNumberFormat="1" applyFont="1" applyFill="1" applyBorder="1" applyAlignment="1" applyProtection="1">
      <alignment horizontal="center" vertical="center"/>
    </xf>
    <xf numFmtId="49" fontId="86" fillId="5" borderId="117" xfId="0" applyNumberFormat="1" applyFont="1" applyFill="1" applyBorder="1" applyAlignment="1" applyProtection="1">
      <alignment horizontal="center" vertical="center"/>
    </xf>
    <xf numFmtId="0" fontId="80" fillId="5" borderId="71" xfId="0" applyFont="1" applyFill="1" applyBorder="1" applyAlignment="1" applyProtection="1">
      <alignment horizontal="center" vertical="center"/>
    </xf>
    <xf numFmtId="0" fontId="80" fillId="5" borderId="71" xfId="0" applyFont="1" applyFill="1" applyBorder="1" applyAlignment="1" applyProtection="1">
      <alignment horizontal="left" vertical="center" wrapText="1"/>
    </xf>
    <xf numFmtId="0" fontId="80" fillId="5" borderId="71" xfId="0" applyFont="1" applyFill="1" applyBorder="1" applyAlignment="1" applyProtection="1">
      <alignment horizontal="left" vertical="center"/>
    </xf>
    <xf numFmtId="182" fontId="80" fillId="5" borderId="72" xfId="0" applyNumberFormat="1" applyFont="1" applyFill="1" applyBorder="1" applyAlignment="1" applyProtection="1">
      <alignment horizontal="center" vertical="center"/>
    </xf>
    <xf numFmtId="0" fontId="80" fillId="5" borderId="17"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wrapText="1"/>
    </xf>
    <xf numFmtId="0" fontId="80" fillId="5" borderId="63" xfId="0" applyFont="1" applyFill="1" applyBorder="1" applyAlignment="1" applyProtection="1">
      <alignment horizontal="center" vertical="center" wrapText="1"/>
    </xf>
    <xf numFmtId="49" fontId="80" fillId="5" borderId="117" xfId="0" applyNumberFormat="1" applyFont="1" applyFill="1" applyBorder="1" applyAlignment="1" applyProtection="1">
      <alignment horizontal="center" vertical="center"/>
    </xf>
    <xf numFmtId="0" fontId="103" fillId="5" borderId="19" xfId="0" applyFont="1" applyFill="1" applyBorder="1" applyAlignment="1" applyProtection="1">
      <alignment vertical="center"/>
    </xf>
    <xf numFmtId="0" fontId="103" fillId="5" borderId="63" xfId="0" applyFont="1" applyFill="1" applyBorder="1" applyAlignment="1" applyProtection="1">
      <alignment vertical="center"/>
    </xf>
    <xf numFmtId="182" fontId="89" fillId="5" borderId="90" xfId="0" applyNumberFormat="1" applyFont="1" applyFill="1" applyBorder="1" applyAlignment="1" applyProtection="1">
      <alignment horizontal="center" vertical="center"/>
    </xf>
    <xf numFmtId="182" fontId="89" fillId="5" borderId="71" xfId="0" applyNumberFormat="1" applyFont="1" applyFill="1" applyBorder="1" applyAlignment="1" applyProtection="1">
      <alignment horizontal="center" vertical="center"/>
    </xf>
    <xf numFmtId="0" fontId="80" fillId="5" borderId="84" xfId="0" applyFont="1" applyFill="1" applyBorder="1" applyAlignment="1" applyProtection="1">
      <alignment horizontal="left" vertical="center"/>
    </xf>
    <xf numFmtId="0" fontId="103" fillId="5" borderId="85" xfId="0" applyFont="1" applyFill="1" applyBorder="1" applyAlignment="1" applyProtection="1">
      <alignment vertical="center"/>
    </xf>
    <xf numFmtId="0" fontId="103" fillId="5" borderId="90" xfId="0" applyFont="1" applyFill="1" applyBorder="1" applyAlignment="1" applyProtection="1">
      <alignment vertical="center"/>
    </xf>
    <xf numFmtId="0" fontId="195" fillId="0" borderId="0" xfId="0" applyFont="1" applyAlignment="1" applyProtection="1">
      <alignment horizontal="left" vertical="top" wrapText="1"/>
    </xf>
    <xf numFmtId="49" fontId="80" fillId="5" borderId="117" xfId="0" applyNumberFormat="1" applyFont="1" applyFill="1" applyBorder="1" applyAlignment="1" applyProtection="1">
      <alignment horizontal="left" vertical="center"/>
    </xf>
    <xf numFmtId="49" fontId="80" fillId="5" borderId="81" xfId="0" applyNumberFormat="1" applyFont="1" applyFill="1" applyBorder="1" applyAlignment="1" applyProtection="1">
      <alignment horizontal="center" vertical="center"/>
    </xf>
    <xf numFmtId="49" fontId="89" fillId="5" borderId="87" xfId="0" applyNumberFormat="1" applyFont="1" applyFill="1" applyBorder="1" applyAlignment="1" applyProtection="1">
      <alignment horizontal="center" vertical="center"/>
    </xf>
    <xf numFmtId="0" fontId="80" fillId="5" borderId="0" xfId="0" applyFont="1" applyFill="1" applyBorder="1" applyAlignment="1" applyProtection="1">
      <alignment vertical="center"/>
    </xf>
    <xf numFmtId="0" fontId="15" fillId="5" borderId="118" xfId="0" applyFont="1" applyFill="1" applyBorder="1" applyAlignment="1" applyProtection="1">
      <alignment vertical="center" wrapText="1"/>
    </xf>
    <xf numFmtId="0" fontId="89" fillId="0" borderId="70" xfId="0" applyFont="1" applyFill="1" applyBorder="1" applyAlignment="1" applyProtection="1">
      <alignment horizontal="center" vertical="center"/>
      <protection locked="0"/>
    </xf>
    <xf numFmtId="0" fontId="15" fillId="5" borderId="10" xfId="0" applyFont="1" applyFill="1" applyBorder="1" applyAlignment="1" applyProtection="1">
      <alignment vertical="center" wrapText="1"/>
    </xf>
    <xf numFmtId="0" fontId="44" fillId="5" borderId="2" xfId="2" applyFont="1" applyFill="1" applyBorder="1" applyAlignment="1" applyProtection="1">
      <alignment horizontal="left"/>
    </xf>
    <xf numFmtId="0" fontId="52" fillId="5" borderId="26" xfId="0" applyNumberFormat="1" applyFont="1" applyFill="1" applyBorder="1" applyAlignment="1" applyProtection="1">
      <alignment vertical="center"/>
    </xf>
    <xf numFmtId="0" fontId="79" fillId="5" borderId="58" xfId="0" applyNumberFormat="1" applyFont="1" applyFill="1" applyBorder="1" applyAlignment="1" applyProtection="1">
      <alignment vertical="center"/>
    </xf>
    <xf numFmtId="0" fontId="62" fillId="5" borderId="0" xfId="0" applyFont="1" applyFill="1" applyAlignment="1" applyProtection="1">
      <alignment horizontal="center" vertical="center"/>
      <protection locked="0"/>
    </xf>
    <xf numFmtId="0" fontId="53" fillId="5" borderId="2" xfId="0" applyFont="1" applyFill="1" applyBorder="1" applyAlignment="1" applyProtection="1">
      <alignment vertical="center"/>
    </xf>
    <xf numFmtId="0" fontId="53" fillId="5" borderId="5" xfId="0" applyFont="1" applyFill="1" applyBorder="1" applyAlignment="1" applyProtection="1">
      <alignment vertical="center"/>
    </xf>
    <xf numFmtId="0" fontId="99" fillId="5" borderId="2" xfId="0" applyNumberFormat="1" applyFont="1" applyFill="1" applyBorder="1" applyAlignment="1" applyProtection="1">
      <alignment horizontal="center" vertical="center"/>
    </xf>
    <xf numFmtId="0" fontId="75" fillId="5" borderId="0" xfId="0" applyFont="1" applyFill="1" applyAlignment="1" applyProtection="1">
      <alignment horizontal="center"/>
    </xf>
    <xf numFmtId="0" fontId="75" fillId="5" borderId="2" xfId="0" applyFont="1" applyFill="1" applyBorder="1" applyAlignment="1" applyProtection="1">
      <alignment horizontal="center" vertical="center"/>
    </xf>
    <xf numFmtId="0" fontId="66" fillId="5" borderId="103" xfId="0" applyFont="1" applyFill="1" applyBorder="1" applyAlignment="1" applyProtection="1">
      <alignment horizontal="center" vertical="center"/>
    </xf>
    <xf numFmtId="0" fontId="66" fillId="5" borderId="0"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6" fillId="5" borderId="0" xfId="0" applyFont="1" applyFill="1" applyAlignment="1" applyProtection="1">
      <alignment horizontal="center" vertical="center" wrapText="1"/>
    </xf>
    <xf numFmtId="49" fontId="52" fillId="5" borderId="35" xfId="0" applyNumberFormat="1" applyFont="1" applyFill="1" applyBorder="1" applyAlignment="1" applyProtection="1">
      <alignment vertical="center" wrapText="1"/>
    </xf>
    <xf numFmtId="49" fontId="52" fillId="5" borderId="79" xfId="0" applyNumberFormat="1" applyFont="1" applyFill="1" applyBorder="1" applyAlignment="1" applyProtection="1">
      <alignment vertical="center" wrapText="1"/>
    </xf>
    <xf numFmtId="49" fontId="52" fillId="5" borderId="80" xfId="0" applyNumberFormat="1" applyFont="1" applyFill="1" applyBorder="1" applyAlignment="1" applyProtection="1">
      <alignment vertical="center" wrapText="1"/>
    </xf>
    <xf numFmtId="0" fontId="52" fillId="5" borderId="35" xfId="0" applyFont="1" applyFill="1" applyBorder="1" applyAlignment="1" applyProtection="1">
      <alignment vertical="center" wrapText="1"/>
    </xf>
    <xf numFmtId="0" fontId="52" fillId="5" borderId="79" xfId="0" applyFont="1" applyFill="1" applyBorder="1" applyAlignment="1" applyProtection="1">
      <alignment vertical="center" wrapText="1"/>
    </xf>
    <xf numFmtId="0" fontId="52" fillId="5" borderId="80" xfId="0" applyFont="1" applyFill="1" applyBorder="1" applyAlignment="1" applyProtection="1">
      <alignment vertical="center" wrapText="1"/>
    </xf>
    <xf numFmtId="0" fontId="84" fillId="5" borderId="52" xfId="0" applyNumberFormat="1" applyFont="1" applyFill="1" applyBorder="1" applyAlignment="1" applyProtection="1">
      <alignment horizontal="center" vertical="center" wrapText="1"/>
    </xf>
    <xf numFmtId="0" fontId="56" fillId="5" borderId="52" xfId="0"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protection locked="0"/>
    </xf>
    <xf numFmtId="0" fontId="56" fillId="5" borderId="13" xfId="0" applyFont="1" applyFill="1" applyBorder="1" applyAlignment="1" applyProtection="1">
      <alignment horizontal="center" vertical="center" wrapText="1"/>
    </xf>
    <xf numFmtId="0" fontId="84" fillId="0" borderId="45" xfId="0" applyFont="1" applyFill="1" applyBorder="1" applyAlignment="1" applyProtection="1">
      <alignment horizontal="center" vertical="center"/>
      <protection locked="0"/>
    </xf>
    <xf numFmtId="0" fontId="88" fillId="5" borderId="24" xfId="0" applyNumberFormat="1" applyFont="1" applyFill="1" applyBorder="1" applyAlignment="1" applyProtection="1">
      <alignment horizontal="center" vertical="center" wrapText="1"/>
    </xf>
    <xf numFmtId="0" fontId="88" fillId="5" borderId="64"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xf>
    <xf numFmtId="0" fontId="110" fillId="5" borderId="79" xfId="0" applyNumberFormat="1" applyFont="1" applyFill="1" applyBorder="1" applyAlignment="1" applyProtection="1">
      <alignment horizontal="center" vertical="center" wrapText="1"/>
    </xf>
    <xf numFmtId="0" fontId="56" fillId="5" borderId="4" xfId="0" applyFont="1" applyFill="1" applyBorder="1" applyAlignment="1" applyProtection="1">
      <alignment horizontal="center" vertical="center" wrapText="1"/>
    </xf>
    <xf numFmtId="0" fontId="88" fillId="5" borderId="75" xfId="0" applyNumberFormat="1" applyFont="1" applyFill="1" applyBorder="1" applyAlignment="1" applyProtection="1">
      <alignment horizontal="center" vertical="center" wrapText="1"/>
    </xf>
    <xf numFmtId="0" fontId="110" fillId="5" borderId="24" xfId="0" applyNumberFormat="1" applyFont="1" applyFill="1" applyBorder="1" applyAlignment="1" applyProtection="1">
      <alignment horizontal="center" vertical="center" wrapText="1"/>
    </xf>
    <xf numFmtId="0" fontId="56" fillId="5" borderId="25" xfId="0" applyFont="1" applyFill="1" applyBorder="1" applyAlignment="1" applyProtection="1">
      <alignment horizontal="center" vertical="center" wrapText="1"/>
    </xf>
    <xf numFmtId="0" fontId="21" fillId="5" borderId="11" xfId="0" applyFont="1" applyFill="1" applyBorder="1" applyAlignment="1" applyProtection="1">
      <alignment horizontal="center" vertical="center"/>
    </xf>
    <xf numFmtId="0" fontId="21" fillId="5" borderId="2" xfId="0" applyFont="1" applyFill="1" applyBorder="1" applyAlignment="1" applyProtection="1">
      <alignment horizontal="left" vertical="center"/>
    </xf>
    <xf numFmtId="0" fontId="21" fillId="5" borderId="12" xfId="0" applyFont="1" applyFill="1" applyBorder="1" applyAlignment="1" applyProtection="1">
      <alignment horizontal="center" vertical="center"/>
    </xf>
    <xf numFmtId="0" fontId="75" fillId="5" borderId="11" xfId="0" applyFont="1" applyFill="1" applyBorder="1" applyProtection="1">
      <alignment vertical="center"/>
    </xf>
    <xf numFmtId="0" fontId="75" fillId="5" borderId="12" xfId="0" applyFont="1" applyFill="1" applyBorder="1" applyProtection="1">
      <alignment vertical="center"/>
    </xf>
    <xf numFmtId="0" fontId="21" fillId="0" borderId="11" xfId="0" applyFont="1" applyBorder="1" applyProtection="1">
      <alignment vertical="center"/>
      <protection locked="0"/>
    </xf>
    <xf numFmtId="0" fontId="21" fillId="0" borderId="2" xfId="0" applyFont="1" applyBorder="1" applyProtection="1">
      <alignment vertical="center"/>
      <protection locked="0"/>
    </xf>
    <xf numFmtId="0" fontId="21" fillId="5" borderId="12" xfId="0" applyFont="1" applyFill="1" applyBorder="1" applyProtection="1">
      <alignment vertical="center"/>
    </xf>
    <xf numFmtId="0" fontId="75" fillId="5" borderId="22" xfId="0" applyFont="1" applyFill="1" applyBorder="1" applyProtection="1">
      <alignment vertical="center"/>
    </xf>
    <xf numFmtId="0" fontId="21" fillId="0" borderId="22" xfId="0" applyFont="1" applyBorder="1" applyProtection="1">
      <alignment vertical="center"/>
      <protection locked="0"/>
    </xf>
    <xf numFmtId="0" fontId="21" fillId="0" borderId="10" xfId="0" applyFont="1" applyBorder="1" applyProtection="1">
      <alignment vertical="center"/>
      <protection locked="0"/>
    </xf>
    <xf numFmtId="0" fontId="21" fillId="5" borderId="25" xfId="0" applyFont="1" applyFill="1" applyBorder="1" applyProtection="1">
      <alignment vertical="center"/>
    </xf>
    <xf numFmtId="0" fontId="79" fillId="5" borderId="43" xfId="0" applyFont="1" applyFill="1" applyBorder="1" applyProtection="1">
      <alignment vertical="center"/>
    </xf>
    <xf numFmtId="0" fontId="79" fillId="5" borderId="44" xfId="0" applyFont="1" applyFill="1" applyBorder="1" applyProtection="1">
      <alignment vertical="center"/>
    </xf>
    <xf numFmtId="0" fontId="79" fillId="5" borderId="46" xfId="0" applyFont="1" applyFill="1" applyBorder="1" applyProtection="1">
      <alignment vertical="center"/>
    </xf>
    <xf numFmtId="0" fontId="75" fillId="5" borderId="46" xfId="0" applyFont="1" applyFill="1" applyBorder="1" applyProtection="1">
      <alignment vertical="center"/>
    </xf>
    <xf numFmtId="0" fontId="21" fillId="5" borderId="28" xfId="2" applyFont="1" applyFill="1" applyBorder="1" applyAlignment="1" applyProtection="1">
      <alignment horizontal="center" vertical="center" wrapText="1"/>
    </xf>
    <xf numFmtId="182" fontId="89" fillId="6" borderId="25" xfId="0" applyNumberFormat="1" applyFont="1" applyFill="1" applyBorder="1" applyAlignment="1" applyProtection="1">
      <alignment horizontal="center" vertical="center"/>
      <protection locked="0"/>
    </xf>
    <xf numFmtId="0" fontId="101" fillId="5" borderId="21" xfId="0" applyFont="1" applyFill="1" applyBorder="1" applyAlignment="1" applyProtection="1">
      <alignment horizontal="right" vertical="center"/>
    </xf>
    <xf numFmtId="0" fontId="105" fillId="5" borderId="5" xfId="0" applyFont="1" applyFill="1" applyBorder="1" applyAlignment="1" applyProtection="1">
      <alignment horizontal="right" vertical="center"/>
    </xf>
    <xf numFmtId="0" fontId="105" fillId="5" borderId="8" xfId="0" applyFont="1" applyFill="1" applyBorder="1" applyAlignment="1" applyProtection="1">
      <alignment horizontal="center" vertical="center"/>
    </xf>
    <xf numFmtId="0" fontId="105" fillId="2" borderId="8" xfId="0" applyFont="1" applyFill="1" applyBorder="1" applyAlignment="1" applyProtection="1">
      <alignment vertical="center"/>
      <protection locked="0"/>
    </xf>
    <xf numFmtId="0" fontId="105" fillId="6" borderId="9" xfId="0" applyFont="1" applyFill="1" applyBorder="1" applyAlignment="1" applyProtection="1">
      <alignment vertical="center"/>
    </xf>
    <xf numFmtId="0" fontId="87" fillId="5" borderId="59" xfId="0" applyNumberFormat="1" applyFont="1" applyFill="1" applyBorder="1" applyAlignment="1" applyProtection="1">
      <alignment horizontal="right" vertical="center" wrapText="1"/>
    </xf>
    <xf numFmtId="0" fontId="87" fillId="5" borderId="57" xfId="0" applyNumberFormat="1" applyFont="1" applyFill="1" applyBorder="1" applyAlignment="1" applyProtection="1">
      <alignment vertical="center" wrapText="1"/>
    </xf>
    <xf numFmtId="0" fontId="112" fillId="3" borderId="30" xfId="0" applyNumberFormat="1" applyFont="1" applyFill="1" applyBorder="1" applyAlignment="1" applyProtection="1">
      <alignment vertical="center" wrapText="1"/>
      <protection locked="0"/>
    </xf>
    <xf numFmtId="0" fontId="112" fillId="5" borderId="30" xfId="0" applyNumberFormat="1" applyFont="1" applyFill="1" applyBorder="1" applyAlignment="1" applyProtection="1">
      <alignment vertical="center" wrapText="1"/>
    </xf>
    <xf numFmtId="0" fontId="112" fillId="3" borderId="59" xfId="0" applyNumberFormat="1" applyFont="1" applyFill="1" applyBorder="1" applyAlignment="1" applyProtection="1">
      <alignment vertical="center" wrapText="1"/>
      <protection locked="0"/>
    </xf>
    <xf numFmtId="0" fontId="112" fillId="5" borderId="57" xfId="0" applyNumberFormat="1" applyFont="1" applyFill="1" applyBorder="1" applyAlignment="1" applyProtection="1">
      <alignment vertical="center" wrapText="1"/>
    </xf>
    <xf numFmtId="0" fontId="87" fillId="5" borderId="60" xfId="0" applyNumberFormat="1" applyFont="1" applyFill="1" applyBorder="1" applyAlignment="1" applyProtection="1">
      <alignment vertical="center" wrapText="1"/>
    </xf>
    <xf numFmtId="0" fontId="87" fillId="5" borderId="48" xfId="0" applyNumberFormat="1" applyFont="1" applyFill="1" applyBorder="1" applyAlignment="1" applyProtection="1">
      <alignment vertical="center" wrapText="1"/>
    </xf>
    <xf numFmtId="0" fontId="87" fillId="5" borderId="56" xfId="0" applyNumberFormat="1" applyFont="1" applyFill="1" applyBorder="1" applyAlignment="1" applyProtection="1">
      <alignment vertical="center" wrapText="1"/>
    </xf>
    <xf numFmtId="0" fontId="87" fillId="5" borderId="61" xfId="0" applyNumberFormat="1" applyFont="1" applyFill="1" applyBorder="1" applyAlignment="1" applyProtection="1">
      <alignment vertical="center" wrapText="1"/>
    </xf>
    <xf numFmtId="0" fontId="80"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49" fontId="138" fillId="5" borderId="53" xfId="0" applyNumberFormat="1" applyFont="1" applyFill="1" applyBorder="1" applyAlignment="1" applyProtection="1">
      <alignment vertical="center"/>
    </xf>
    <xf numFmtId="0" fontId="62" fillId="5" borderId="28" xfId="0" applyFont="1" applyFill="1" applyBorder="1" applyAlignment="1" applyProtection="1">
      <alignment vertical="center"/>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75" fillId="5" borderId="20" xfId="0" applyFont="1" applyFill="1" applyBorder="1" applyProtection="1">
      <alignment vertical="center"/>
      <protection locked="0"/>
    </xf>
    <xf numFmtId="0" fontId="200" fillId="0" borderId="2" xfId="0" applyFont="1" applyBorder="1" applyAlignment="1" applyProtection="1">
      <alignment horizontal="center" vertical="center" wrapText="1"/>
      <protection locked="0"/>
    </xf>
    <xf numFmtId="0" fontId="202"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82" fillId="5" borderId="1" xfId="0" applyFont="1" applyFill="1" applyBorder="1" applyAlignment="1" applyProtection="1">
      <alignment horizontal="right" vertical="center" wrapText="1"/>
    </xf>
    <xf numFmtId="0" fontId="82" fillId="5" borderId="11" xfId="0" applyFont="1" applyFill="1" applyBorder="1" applyAlignment="1" applyProtection="1">
      <alignment horizontal="right" vertical="center" wrapText="1"/>
    </xf>
    <xf numFmtId="0" fontId="82" fillId="5" borderId="92" xfId="0" applyFont="1" applyFill="1" applyBorder="1" applyAlignment="1" applyProtection="1">
      <alignment horizontal="right" vertical="center" wrapText="1"/>
    </xf>
    <xf numFmtId="0" fontId="161" fillId="0" borderId="0" xfId="10" applyFont="1">
      <alignment vertical="center"/>
    </xf>
    <xf numFmtId="0" fontId="161" fillId="0" borderId="0" xfId="10" applyFont="1" applyAlignment="1">
      <alignment horizontal="center" vertical="center"/>
    </xf>
    <xf numFmtId="49" fontId="90" fillId="5" borderId="2" xfId="10" applyNumberFormat="1" applyFont="1" applyFill="1" applyBorder="1" applyAlignment="1" applyProtection="1">
      <alignment horizontal="center" vertical="center" wrapText="1"/>
    </xf>
    <xf numFmtId="0" fontId="245" fillId="12" borderId="120" xfId="10" applyFont="1" applyFill="1" applyBorder="1" applyAlignment="1" applyProtection="1">
      <alignment horizontal="center" vertical="center" wrapText="1"/>
    </xf>
    <xf numFmtId="0" fontId="245" fillId="12" borderId="121" xfId="10" applyFont="1" applyFill="1" applyBorder="1" applyAlignment="1" applyProtection="1">
      <alignment horizontal="center" vertical="center" wrapText="1"/>
    </xf>
    <xf numFmtId="0" fontId="161" fillId="0" borderId="122" xfId="10" applyFont="1" applyBorder="1" applyAlignment="1">
      <alignment horizontal="center" vertical="center"/>
    </xf>
    <xf numFmtId="0" fontId="245" fillId="13" borderId="124" xfId="10" applyFont="1" applyFill="1" applyBorder="1" applyAlignment="1" applyProtection="1">
      <alignment horizontal="center" vertical="center" wrapText="1"/>
    </xf>
    <xf numFmtId="0" fontId="245" fillId="12" borderId="124" xfId="10" applyFont="1" applyFill="1" applyBorder="1" applyAlignment="1" applyProtection="1">
      <alignment horizontal="center" vertical="center" wrapText="1"/>
    </xf>
    <xf numFmtId="185" fontId="161" fillId="12" borderId="120" xfId="10" applyNumberFormat="1" applyFont="1" applyFill="1" applyBorder="1" applyAlignment="1">
      <alignment horizontal="center" vertical="center" wrapText="1"/>
    </xf>
    <xf numFmtId="185" fontId="161" fillId="12" borderId="127" xfId="10" applyNumberFormat="1" applyFont="1" applyFill="1" applyBorder="1" applyAlignment="1">
      <alignment horizontal="center" vertical="center" wrapText="1"/>
    </xf>
    <xf numFmtId="0" fontId="156" fillId="0" borderId="0" xfId="10" applyFont="1">
      <alignment vertical="center"/>
    </xf>
    <xf numFmtId="10" fontId="156" fillId="0" borderId="122" xfId="10" applyNumberFormat="1" applyFont="1" applyBorder="1">
      <alignment vertical="center"/>
    </xf>
    <xf numFmtId="10" fontId="156" fillId="0" borderId="0" xfId="10" applyNumberFormat="1" applyFont="1">
      <alignment vertical="center"/>
    </xf>
    <xf numFmtId="178" fontId="156" fillId="0" borderId="0" xfId="10" applyNumberFormat="1" applyFont="1">
      <alignment vertical="center"/>
    </xf>
    <xf numFmtId="182" fontId="156" fillId="0" borderId="122" xfId="10" applyNumberFormat="1" applyFont="1" applyBorder="1">
      <alignment vertical="center"/>
    </xf>
    <xf numFmtId="182" fontId="156" fillId="0" borderId="0" xfId="10" applyNumberFormat="1" applyFont="1">
      <alignment vertical="center"/>
    </xf>
    <xf numFmtId="185" fontId="156" fillId="0" borderId="0" xfId="10" applyNumberFormat="1" applyFont="1" applyAlignment="1">
      <alignment horizontal="center" vertical="center"/>
    </xf>
    <xf numFmtId="0" fontId="245" fillId="13" borderId="128" xfId="10" applyFont="1" applyFill="1" applyBorder="1" applyAlignment="1" applyProtection="1">
      <alignment horizontal="center" vertical="center" wrapText="1"/>
    </xf>
    <xf numFmtId="0" fontId="245" fillId="12" borderId="128" xfId="10" applyFont="1" applyFill="1" applyBorder="1" applyAlignment="1" applyProtection="1">
      <alignment horizontal="center" vertical="center" wrapText="1"/>
    </xf>
    <xf numFmtId="10" fontId="156" fillId="0" borderId="126" xfId="10" applyNumberFormat="1" applyFont="1" applyBorder="1">
      <alignment vertical="center"/>
    </xf>
    <xf numFmtId="10" fontId="156" fillId="0" borderId="19" xfId="10" applyNumberFormat="1" applyFont="1" applyBorder="1">
      <alignment vertical="center"/>
    </xf>
    <xf numFmtId="10" fontId="156" fillId="0" borderId="0" xfId="10" applyNumberFormat="1" applyFont="1" applyAlignment="1">
      <alignment horizontal="center" vertical="center"/>
    </xf>
    <xf numFmtId="0" fontId="245" fillId="12" borderId="130" xfId="10" applyFont="1" applyFill="1" applyBorder="1" applyAlignment="1" applyProtection="1">
      <alignment horizontal="center" vertical="center" wrapText="1"/>
    </xf>
    <xf numFmtId="0" fontId="245" fillId="12" borderId="131" xfId="10" applyFont="1" applyFill="1" applyBorder="1" applyAlignment="1" applyProtection="1">
      <alignment horizontal="center" vertical="center" wrapText="1"/>
    </xf>
    <xf numFmtId="10" fontId="156" fillId="0" borderId="132" xfId="10" applyNumberFormat="1" applyFont="1" applyBorder="1">
      <alignment vertical="center"/>
    </xf>
    <xf numFmtId="10" fontId="156" fillId="0" borderId="14" xfId="10" applyNumberFormat="1" applyFont="1" applyBorder="1">
      <alignment vertical="center"/>
    </xf>
    <xf numFmtId="0" fontId="156" fillId="0" borderId="122" xfId="10" applyFont="1" applyBorder="1">
      <alignment vertical="center"/>
    </xf>
    <xf numFmtId="0" fontId="245" fillId="13" borderId="120" xfId="10" applyFont="1" applyFill="1" applyBorder="1" applyAlignment="1" applyProtection="1">
      <alignment horizontal="center" vertical="center" wrapText="1"/>
    </xf>
    <xf numFmtId="0" fontId="245" fillId="13" borderId="121" xfId="10" applyFont="1" applyFill="1" applyBorder="1" applyAlignment="1" applyProtection="1">
      <alignment horizontal="center" vertical="center" wrapText="1"/>
    </xf>
    <xf numFmtId="10" fontId="156" fillId="0" borderId="0" xfId="10" applyNumberFormat="1" applyFont="1" applyBorder="1">
      <alignment vertical="center"/>
    </xf>
    <xf numFmtId="185" fontId="161" fillId="12" borderId="124" xfId="10" applyNumberFormat="1" applyFont="1" applyFill="1" applyBorder="1" applyAlignment="1">
      <alignment horizontal="center" vertical="center" wrapText="1"/>
    </xf>
    <xf numFmtId="185" fontId="161" fillId="12" borderId="133" xfId="10" applyNumberFormat="1" applyFont="1" applyFill="1" applyBorder="1" applyAlignment="1">
      <alignment horizontal="center" vertical="center" wrapText="1"/>
    </xf>
    <xf numFmtId="0" fontId="156" fillId="13" borderId="120" xfId="10" applyFont="1" applyFill="1" applyBorder="1" applyAlignment="1" applyProtection="1">
      <alignment horizontal="center" vertical="center" wrapText="1"/>
    </xf>
    <xf numFmtId="0" fontId="156" fillId="13" borderId="121" xfId="10" applyFont="1" applyFill="1" applyBorder="1" applyAlignment="1" applyProtection="1">
      <alignment horizontal="center" vertical="center" wrapText="1"/>
    </xf>
    <xf numFmtId="49" fontId="90" fillId="6" borderId="2" xfId="10" applyNumberFormat="1" applyFont="1" applyFill="1" applyBorder="1" applyAlignment="1" applyProtection="1">
      <alignment horizontal="center" vertical="center" wrapText="1"/>
    </xf>
    <xf numFmtId="185" fontId="156" fillId="6" borderId="0" xfId="10" applyNumberFormat="1" applyFont="1" applyFill="1" applyAlignment="1">
      <alignment horizontal="center" vertical="center"/>
    </xf>
    <xf numFmtId="0" fontId="156" fillId="6" borderId="124" xfId="10" applyFont="1" applyFill="1" applyBorder="1" applyAlignment="1" applyProtection="1">
      <alignment horizontal="center" vertical="center" wrapText="1"/>
    </xf>
    <xf numFmtId="0" fontId="156" fillId="6" borderId="128" xfId="10" applyFont="1" applyFill="1" applyBorder="1" applyAlignment="1" applyProtection="1">
      <alignment horizontal="center" vertical="center" wrapText="1"/>
    </xf>
    <xf numFmtId="0" fontId="156" fillId="6" borderId="0" xfId="10" applyFont="1" applyFill="1">
      <alignment vertical="center"/>
    </xf>
    <xf numFmtId="10" fontId="156" fillId="6" borderId="122" xfId="10" applyNumberFormat="1" applyFont="1" applyFill="1" applyBorder="1">
      <alignment vertical="center"/>
    </xf>
    <xf numFmtId="10" fontId="156" fillId="6" borderId="0" xfId="10" applyNumberFormat="1" applyFont="1" applyFill="1">
      <alignment vertical="center"/>
    </xf>
    <xf numFmtId="178" fontId="156" fillId="6" borderId="0" xfId="10" applyNumberFormat="1" applyFont="1" applyFill="1">
      <alignment vertical="center"/>
    </xf>
    <xf numFmtId="10" fontId="156" fillId="6" borderId="126" xfId="10" applyNumberFormat="1" applyFont="1" applyFill="1" applyBorder="1">
      <alignment vertical="center"/>
    </xf>
    <xf numFmtId="10" fontId="156" fillId="6" borderId="19" xfId="10" applyNumberFormat="1" applyFont="1" applyFill="1" applyBorder="1">
      <alignment vertical="center"/>
    </xf>
    <xf numFmtId="0" fontId="156" fillId="12" borderId="130" xfId="10" applyFont="1" applyFill="1" applyBorder="1" applyAlignment="1" applyProtection="1">
      <alignment horizontal="center" vertical="center" wrapText="1"/>
    </xf>
    <xf numFmtId="0" fontId="156" fillId="12" borderId="131" xfId="10" applyFont="1" applyFill="1" applyBorder="1" applyAlignment="1" applyProtection="1">
      <alignment horizontal="center" vertical="center" wrapText="1"/>
    </xf>
    <xf numFmtId="185" fontId="161" fillId="12" borderId="130" xfId="10" applyNumberFormat="1" applyFont="1" applyFill="1" applyBorder="1" applyAlignment="1">
      <alignment horizontal="center" vertical="center" wrapText="1"/>
    </xf>
    <xf numFmtId="185" fontId="161" fillId="12" borderId="134" xfId="10" applyNumberFormat="1" applyFont="1" applyFill="1" applyBorder="1" applyAlignment="1">
      <alignment horizontal="center" vertical="center" wrapText="1"/>
    </xf>
    <xf numFmtId="185" fontId="156" fillId="14" borderId="0" xfId="10" applyNumberFormat="1" applyFont="1" applyFill="1" applyAlignment="1">
      <alignment horizontal="center" vertical="center"/>
    </xf>
    <xf numFmtId="185" fontId="156" fillId="0" borderId="61" xfId="10" applyNumberFormat="1" applyFont="1" applyBorder="1" applyAlignment="1">
      <alignment horizontal="center" vertical="center"/>
    </xf>
    <xf numFmtId="0" fontId="245" fillId="13" borderId="135" xfId="10" applyFont="1" applyFill="1" applyBorder="1" applyAlignment="1" applyProtection="1">
      <alignment horizontal="center" vertical="center" wrapText="1"/>
    </xf>
    <xf numFmtId="0" fontId="245" fillId="13" borderId="136" xfId="10" applyFont="1" applyFill="1" applyBorder="1" applyAlignment="1" applyProtection="1">
      <alignment horizontal="center" vertical="center" wrapText="1"/>
    </xf>
    <xf numFmtId="0" fontId="156" fillId="0" borderId="61" xfId="10" applyFont="1" applyBorder="1">
      <alignment vertical="center"/>
    </xf>
    <xf numFmtId="10" fontId="156" fillId="0" borderId="137" xfId="10" applyNumberFormat="1" applyFont="1" applyBorder="1">
      <alignment vertical="center"/>
    </xf>
    <xf numFmtId="10" fontId="156" fillId="0" borderId="61" xfId="10" applyNumberFormat="1" applyFont="1" applyBorder="1">
      <alignment vertical="center"/>
    </xf>
    <xf numFmtId="178" fontId="156" fillId="0" borderId="61" xfId="10" applyNumberFormat="1" applyFont="1" applyBorder="1">
      <alignment vertical="center"/>
    </xf>
    <xf numFmtId="10" fontId="156" fillId="0" borderId="61" xfId="10" applyNumberFormat="1" applyFont="1" applyBorder="1" applyAlignment="1">
      <alignment horizontal="center" vertical="center"/>
    </xf>
    <xf numFmtId="0" fontId="245" fillId="12" borderId="138" xfId="10" applyFont="1" applyFill="1" applyBorder="1" applyAlignment="1" applyProtection="1">
      <alignment horizontal="center" vertical="center" wrapText="1"/>
    </xf>
    <xf numFmtId="0" fontId="245" fillId="12" borderId="139" xfId="10" applyFont="1" applyFill="1" applyBorder="1" applyAlignment="1" applyProtection="1">
      <alignment horizontal="center" vertical="center" wrapText="1"/>
    </xf>
    <xf numFmtId="10" fontId="156" fillId="15" borderId="122" xfId="10" applyNumberFormat="1" applyFont="1" applyFill="1" applyBorder="1">
      <alignment vertical="center"/>
    </xf>
    <xf numFmtId="10" fontId="156" fillId="15" borderId="0" xfId="10" applyNumberFormat="1" applyFont="1" applyFill="1">
      <alignment vertical="center"/>
    </xf>
    <xf numFmtId="179" fontId="156" fillId="0" borderId="0" xfId="10" applyNumberFormat="1" applyFont="1" applyAlignment="1">
      <alignment horizontal="center" vertical="center"/>
    </xf>
    <xf numFmtId="10" fontId="156" fillId="15" borderId="126" xfId="10" applyNumberFormat="1" applyFont="1" applyFill="1" applyBorder="1">
      <alignment vertical="center"/>
    </xf>
    <xf numFmtId="10" fontId="156" fillId="15" borderId="19" xfId="10" applyNumberFormat="1" applyFont="1" applyFill="1" applyBorder="1">
      <alignment vertical="center"/>
    </xf>
    <xf numFmtId="10" fontId="156" fillId="15" borderId="137" xfId="10" applyNumberFormat="1" applyFont="1" applyFill="1" applyBorder="1">
      <alignment vertical="center"/>
    </xf>
    <xf numFmtId="10" fontId="156" fillId="15" borderId="61" xfId="10" applyNumberFormat="1" applyFont="1" applyFill="1" applyBorder="1">
      <alignment vertical="center"/>
    </xf>
    <xf numFmtId="179" fontId="156" fillId="0" borderId="61" xfId="10" applyNumberFormat="1" applyFont="1" applyBorder="1" applyAlignment="1">
      <alignment horizontal="center" vertical="center"/>
    </xf>
    <xf numFmtId="0" fontId="161" fillId="13" borderId="140" xfId="10" applyFont="1" applyFill="1" applyBorder="1" applyAlignment="1">
      <alignment horizontal="center" vertical="center" wrapText="1"/>
    </xf>
    <xf numFmtId="0" fontId="161" fillId="13" borderId="141" xfId="10" applyFont="1" applyFill="1" applyBorder="1" applyAlignment="1">
      <alignment horizontal="center" vertical="center" wrapText="1"/>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178" fontId="156" fillId="15" borderId="0" xfId="10" applyNumberFormat="1" applyFont="1" applyFill="1" applyAlignment="1">
      <alignment horizontal="center" vertical="center"/>
    </xf>
    <xf numFmtId="0" fontId="245" fillId="13" borderId="130" xfId="10" applyFont="1" applyFill="1" applyBorder="1" applyAlignment="1" applyProtection="1">
      <alignment horizontal="center" vertical="center" wrapText="1"/>
    </xf>
    <xf numFmtId="0" fontId="161" fillId="12" borderId="130" xfId="10" applyFont="1" applyFill="1" applyBorder="1" applyAlignment="1">
      <alignment horizontal="center" vertical="center" wrapText="1"/>
    </xf>
    <xf numFmtId="0" fontId="161" fillId="12" borderId="134" xfId="10" applyFont="1" applyFill="1" applyBorder="1" applyAlignment="1">
      <alignment horizontal="center" vertical="center" wrapText="1"/>
    </xf>
    <xf numFmtId="178" fontId="156" fillId="6" borderId="0" xfId="10" applyNumberFormat="1" applyFont="1" applyFill="1" applyAlignment="1">
      <alignment horizontal="center" vertical="center"/>
    </xf>
    <xf numFmtId="0" fontId="245" fillId="6" borderId="124" xfId="10" applyFont="1" applyFill="1" applyBorder="1" applyAlignment="1" applyProtection="1">
      <alignment horizontal="center" vertical="center" wrapText="1"/>
    </xf>
    <xf numFmtId="181" fontId="156" fillId="6" borderId="0" xfId="10" applyNumberFormat="1" applyFont="1" applyFill="1" applyAlignment="1">
      <alignment horizontal="center" vertical="center"/>
    </xf>
    <xf numFmtId="0" fontId="156" fillId="6" borderId="122" xfId="10" applyFont="1" applyFill="1" applyBorder="1">
      <alignment vertical="center"/>
    </xf>
    <xf numFmtId="179" fontId="156" fillId="6" borderId="0" xfId="10" applyNumberFormat="1" applyFont="1" applyFill="1" applyAlignment="1">
      <alignment horizontal="center" vertical="center"/>
    </xf>
    <xf numFmtId="0" fontId="161" fillId="12" borderId="142" xfId="10" applyFont="1" applyFill="1" applyBorder="1" applyAlignment="1">
      <alignment horizontal="center" vertical="center" wrapText="1"/>
    </xf>
    <xf numFmtId="0" fontId="161" fillId="12" borderId="143" xfId="10" applyFont="1" applyFill="1" applyBorder="1" applyAlignment="1">
      <alignment horizontal="center" vertical="center" wrapText="1"/>
    </xf>
    <xf numFmtId="0" fontId="161" fillId="12" borderId="144" xfId="10" applyFont="1" applyFill="1" applyBorder="1" applyAlignment="1">
      <alignment horizontal="center" vertical="center" wrapText="1"/>
    </xf>
    <xf numFmtId="0" fontId="215" fillId="0" borderId="0" xfId="10" applyFont="1">
      <alignment vertical="center"/>
    </xf>
    <xf numFmtId="0" fontId="162" fillId="0" borderId="0" xfId="10" applyFont="1">
      <alignment vertical="center"/>
    </xf>
    <xf numFmtId="0" fontId="162" fillId="0" borderId="122" xfId="10" applyFont="1" applyBorder="1">
      <alignment vertical="center"/>
    </xf>
    <xf numFmtId="181" fontId="162" fillId="0" borderId="0" xfId="10" applyNumberFormat="1" applyFont="1" applyAlignment="1">
      <alignment horizontal="center" vertical="center"/>
    </xf>
    <xf numFmtId="181" fontId="162" fillId="0" borderId="122" xfId="10" applyNumberFormat="1" applyFont="1" applyBorder="1" applyAlignment="1">
      <alignment horizontal="center" vertical="center"/>
    </xf>
    <xf numFmtId="0" fontId="245" fillId="13" borderId="145" xfId="10" applyFont="1" applyFill="1" applyBorder="1" applyAlignment="1">
      <alignment horizontal="center" vertical="center" wrapText="1"/>
    </xf>
    <xf numFmtId="0" fontId="245" fillId="13" borderId="120" xfId="10" applyFont="1" applyFill="1" applyBorder="1" applyAlignment="1">
      <alignment horizontal="center" vertical="center" wrapText="1"/>
    </xf>
    <xf numFmtId="0" fontId="245" fillId="12" borderId="146" xfId="10" applyFont="1" applyFill="1" applyBorder="1" applyAlignment="1">
      <alignment horizontal="center" vertical="center" wrapText="1"/>
    </xf>
    <xf numFmtId="0" fontId="245" fillId="12" borderId="124" xfId="10" applyFont="1" applyFill="1" applyBorder="1" applyAlignment="1">
      <alignment horizontal="center" vertical="center" wrapText="1"/>
    </xf>
    <xf numFmtId="0" fontId="245" fillId="13" borderId="124" xfId="10" applyFont="1" applyFill="1" applyBorder="1" applyAlignment="1">
      <alignment horizontal="center" vertical="center" wrapText="1"/>
    </xf>
    <xf numFmtId="0" fontId="245" fillId="13" borderId="146" xfId="10" applyFont="1" applyFill="1" applyBorder="1" applyAlignment="1">
      <alignment horizontal="center" vertical="center" wrapText="1"/>
    </xf>
    <xf numFmtId="0" fontId="245" fillId="12" borderId="147" xfId="10" applyFont="1" applyFill="1" applyBorder="1" applyAlignment="1">
      <alignment horizontal="center" vertical="center" wrapText="1"/>
    </xf>
    <xf numFmtId="0" fontId="245" fillId="12" borderId="130" xfId="10" applyFont="1" applyFill="1" applyBorder="1" applyAlignment="1">
      <alignment horizontal="center" vertical="center" wrapText="1"/>
    </xf>
    <xf numFmtId="0" fontId="161" fillId="0" borderId="0" xfId="10" applyFont="1" applyFill="1">
      <alignment vertical="center"/>
    </xf>
    <xf numFmtId="0" fontId="153" fillId="0" borderId="0" xfId="1" applyFont="1" applyFill="1" applyAlignment="1" applyProtection="1">
      <alignment horizontal="center" vertical="center"/>
    </xf>
    <xf numFmtId="0" fontId="21" fillId="0" borderId="0" xfId="1" applyFont="1" applyFill="1" applyAlignment="1" applyProtection="1">
      <alignment horizontal="center" vertical="center"/>
    </xf>
    <xf numFmtId="0" fontId="161" fillId="0" borderId="0" xfId="10" applyFont="1" applyFill="1" applyBorder="1" applyAlignment="1">
      <alignment horizontal="center" vertical="center"/>
    </xf>
    <xf numFmtId="0" fontId="161" fillId="0" borderId="0" xfId="10" applyFont="1" applyFill="1" applyAlignment="1">
      <alignment horizontal="center" vertical="center"/>
    </xf>
    <xf numFmtId="0" fontId="156" fillId="0" borderId="0" xfId="10" applyFont="1" applyAlignment="1">
      <alignment horizontal="center" vertical="center"/>
    </xf>
    <xf numFmtId="0" fontId="161" fillId="0" borderId="122" xfId="10" applyFont="1" applyFill="1" applyBorder="1" applyAlignment="1">
      <alignment horizontal="center" vertical="center"/>
    </xf>
    <xf numFmtId="0" fontId="161" fillId="0" borderId="148" xfId="10" applyFont="1" applyBorder="1">
      <alignment vertical="center"/>
    </xf>
    <xf numFmtId="0" fontId="21" fillId="5" borderId="148" xfId="1" applyFont="1" applyFill="1" applyBorder="1" applyAlignment="1" applyProtection="1">
      <alignment horizontal="center" vertical="center"/>
    </xf>
    <xf numFmtId="0" fontId="161" fillId="0" borderId="148" xfId="10" applyFont="1" applyBorder="1" applyAlignment="1">
      <alignment horizontal="center" vertical="center"/>
    </xf>
    <xf numFmtId="0" fontId="161" fillId="0" borderId="148" xfId="10" applyFont="1" applyBorder="1" applyAlignment="1">
      <alignment vertical="center"/>
    </xf>
    <xf numFmtId="0" fontId="161" fillId="0" borderId="149" xfId="10" applyFont="1" applyBorder="1" applyAlignment="1">
      <alignment vertical="center"/>
    </xf>
    <xf numFmtId="0" fontId="247" fillId="14" borderId="0" xfId="10" applyFont="1" applyFill="1">
      <alignment vertical="center"/>
    </xf>
    <xf numFmtId="10" fontId="247" fillId="14" borderId="126" xfId="10" applyNumberFormat="1" applyFont="1" applyFill="1" applyBorder="1" applyAlignment="1">
      <alignment vertical="center"/>
    </xf>
    <xf numFmtId="0" fontId="205" fillId="6" borderId="0" xfId="10" applyFont="1" applyFill="1">
      <alignment vertical="center"/>
    </xf>
    <xf numFmtId="0" fontId="163" fillId="5" borderId="148" xfId="1" applyFont="1" applyFill="1" applyBorder="1" applyAlignment="1" applyProtection="1">
      <alignment horizontal="center" vertical="center"/>
    </xf>
    <xf numFmtId="0" fontId="156" fillId="6" borderId="0" xfId="10" applyNumberFormat="1" applyFont="1" applyFill="1" applyAlignment="1">
      <alignment horizontal="center" vertical="center"/>
    </xf>
    <xf numFmtId="14" fontId="156" fillId="0" borderId="0" xfId="10" applyNumberFormat="1" applyFont="1">
      <alignment vertical="center"/>
    </xf>
    <xf numFmtId="0" fontId="156" fillId="0" borderId="0" xfId="10" applyNumberFormat="1" applyFont="1" applyAlignment="1">
      <alignment horizontal="center" vertical="center"/>
    </xf>
    <xf numFmtId="0" fontId="205" fillId="0" borderId="0" xfId="10" applyFont="1">
      <alignment vertical="center"/>
    </xf>
    <xf numFmtId="10" fontId="90" fillId="5" borderId="12" xfId="3" applyNumberFormat="1" applyFont="1" applyFill="1" applyBorder="1" applyAlignment="1" applyProtection="1">
      <alignment horizontal="center" vertical="center" wrapText="1"/>
    </xf>
    <xf numFmtId="0" fontId="62" fillId="5" borderId="28" xfId="3" applyFont="1" applyFill="1" applyBorder="1" applyAlignment="1" applyProtection="1">
      <alignment vertical="center" wrapText="1"/>
    </xf>
    <xf numFmtId="0" fontId="90" fillId="5" borderId="68" xfId="3" applyFont="1" applyFill="1" applyBorder="1" applyAlignment="1" applyProtection="1">
      <alignment horizontal="center" vertical="center" wrapText="1"/>
    </xf>
    <xf numFmtId="0" fontId="61" fillId="5" borderId="27" xfId="3" applyFont="1" applyFill="1" applyBorder="1" applyAlignment="1" applyProtection="1">
      <alignment horizontal="left" vertical="center" wrapText="1"/>
    </xf>
    <xf numFmtId="0" fontId="87" fillId="5" borderId="40" xfId="3" applyFont="1" applyFill="1" applyBorder="1" applyAlignment="1" applyProtection="1">
      <alignment horizontal="center" vertical="center" wrapText="1"/>
    </xf>
    <xf numFmtId="0" fontId="44" fillId="5" borderId="40" xfId="3" applyFont="1" applyFill="1" applyBorder="1" applyAlignment="1" applyProtection="1">
      <alignment vertical="center"/>
    </xf>
    <xf numFmtId="0" fontId="61"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xf>
    <xf numFmtId="0" fontId="62" fillId="5" borderId="39" xfId="3" applyFont="1" applyFill="1" applyBorder="1" applyAlignment="1" applyProtection="1">
      <alignment vertical="center" wrapText="1"/>
    </xf>
    <xf numFmtId="49" fontId="139" fillId="5" borderId="24" xfId="0" applyNumberFormat="1" applyFont="1" applyFill="1" applyBorder="1" applyAlignment="1" applyProtection="1">
      <alignment horizontal="left" vertical="center" wrapText="1"/>
    </xf>
    <xf numFmtId="0" fontId="61" fillId="5" borderId="55" xfId="3" applyFont="1" applyFill="1" applyBorder="1" applyAlignment="1" applyProtection="1">
      <alignment horizontal="left" vertical="center" wrapText="1"/>
    </xf>
    <xf numFmtId="186" fontId="87" fillId="5" borderId="55" xfId="3" applyNumberFormat="1" applyFont="1" applyFill="1" applyBorder="1" applyAlignment="1" applyProtection="1">
      <alignment horizontal="center" vertical="center" wrapText="1"/>
    </xf>
    <xf numFmtId="0" fontId="44" fillId="5" borderId="55" xfId="3" applyFont="1" applyFill="1" applyBorder="1" applyAlignment="1" applyProtection="1">
      <alignment horizontal="center" vertical="center" wrapText="1"/>
    </xf>
    <xf numFmtId="182" fontId="156" fillId="5" borderId="55" xfId="3" applyNumberFormat="1" applyFont="1" applyFill="1" applyBorder="1" applyAlignment="1" applyProtection="1">
      <alignment horizontal="center" vertical="center" wrapText="1"/>
    </xf>
    <xf numFmtId="0" fontId="90" fillId="5" borderId="69" xfId="3" applyFont="1" applyFill="1" applyBorder="1" applyAlignment="1" applyProtection="1">
      <alignment horizontal="center" vertical="center" wrapText="1"/>
    </xf>
    <xf numFmtId="10" fontId="88" fillId="5" borderId="83" xfId="3" applyNumberFormat="1" applyFont="1" applyFill="1" applyBorder="1" applyAlignment="1" applyProtection="1">
      <alignment horizontal="center" vertical="center" wrapText="1"/>
    </xf>
    <xf numFmtId="0" fontId="156" fillId="5" borderId="41" xfId="3" applyFont="1" applyFill="1" applyBorder="1" applyAlignment="1" applyProtection="1">
      <alignment horizontal="center" vertical="center" wrapText="1"/>
    </xf>
    <xf numFmtId="0" fontId="44" fillId="5" borderId="26" xfId="3" applyFont="1" applyFill="1" applyBorder="1" applyAlignment="1" applyProtection="1">
      <alignment horizontal="center" vertical="center" wrapText="1"/>
    </xf>
    <xf numFmtId="0" fontId="148" fillId="5" borderId="6" xfId="3" applyFont="1" applyFill="1" applyBorder="1" applyAlignment="1" applyProtection="1">
      <alignment vertical="center" wrapText="1"/>
      <protection locked="0"/>
    </xf>
    <xf numFmtId="0" fontId="148" fillId="5" borderId="39" xfId="3" applyFont="1" applyFill="1" applyBorder="1" applyAlignment="1" applyProtection="1">
      <alignment vertical="center"/>
      <protection locked="0"/>
    </xf>
    <xf numFmtId="0" fontId="148" fillId="5" borderId="26" xfId="3" applyFont="1" applyFill="1" applyBorder="1" applyAlignment="1" applyProtection="1">
      <alignment horizontal="center" vertical="center" wrapText="1"/>
      <protection locked="0"/>
    </xf>
    <xf numFmtId="178" fontId="75" fillId="0" borderId="67" xfId="0" applyNumberFormat="1" applyFont="1" applyFill="1" applyBorder="1" applyAlignment="1" applyProtection="1">
      <alignment horizontal="center" vertical="center" wrapText="1"/>
      <protection locked="0"/>
    </xf>
    <xf numFmtId="179" fontId="75" fillId="0" borderId="5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5" borderId="42" xfId="0" applyNumberFormat="1" applyFont="1" applyFill="1" applyBorder="1" applyAlignment="1" applyProtection="1">
      <alignment horizontal="center" vertical="center" wrapText="1"/>
    </xf>
    <xf numFmtId="185" fontId="247" fillId="14" borderId="0" xfId="10" applyNumberFormat="1" applyFont="1" applyFill="1" applyBorder="1" applyAlignment="1">
      <alignment horizontal="center" vertical="center"/>
    </xf>
    <xf numFmtId="0" fontId="79" fillId="5" borderId="23" xfId="0" applyNumberFormat="1" applyFont="1" applyFill="1" applyBorder="1" applyAlignment="1" applyProtection="1">
      <alignment vertical="center"/>
    </xf>
    <xf numFmtId="0" fontId="148" fillId="5" borderId="0" xfId="3" applyFont="1" applyFill="1" applyAlignment="1" applyProtection="1">
      <alignment horizontal="center" vertical="center" wrapText="1"/>
      <protection locked="0"/>
    </xf>
    <xf numFmtId="0" fontId="52" fillId="5" borderId="11" xfId="0" applyNumberFormat="1" applyFont="1" applyFill="1" applyBorder="1" applyAlignment="1" applyProtection="1">
      <alignment horizontal="center" vertical="center" wrapText="1"/>
    </xf>
    <xf numFmtId="14" fontId="88" fillId="5" borderId="0" xfId="0" applyNumberFormat="1" applyFont="1" applyFill="1" applyAlignment="1" applyProtection="1">
      <alignment horizontal="center" vertical="center"/>
    </xf>
    <xf numFmtId="177" fontId="88" fillId="5" borderId="0" xfId="0" applyNumberFormat="1" applyFont="1" applyFill="1" applyAlignment="1" applyProtection="1">
      <alignment horizontal="center" vertical="center"/>
    </xf>
    <xf numFmtId="0" fontId="75" fillId="5" borderId="42" xfId="0" applyNumberFormat="1" applyFont="1" applyFill="1" applyBorder="1" applyAlignment="1" applyProtection="1">
      <alignment horizontal="center" vertical="center" wrapText="1"/>
    </xf>
    <xf numFmtId="189" fontId="75" fillId="5" borderId="42" xfId="0" applyNumberFormat="1" applyFont="1" applyFill="1" applyBorder="1" applyAlignment="1" applyProtection="1">
      <alignment horizontal="center" vertical="center" wrapText="1"/>
    </xf>
    <xf numFmtId="0" fontId="75" fillId="5" borderId="32" xfId="0" applyNumberFormat="1" applyFont="1" applyFill="1" applyBorder="1" applyAlignment="1" applyProtection="1">
      <alignment horizontal="center" vertical="center" wrapText="1"/>
      <protection locked="0"/>
    </xf>
    <xf numFmtId="189" fontId="75" fillId="5" borderId="6" xfId="0" applyNumberFormat="1" applyFont="1" applyFill="1" applyBorder="1" applyAlignment="1" applyProtection="1">
      <alignment horizontal="center" vertical="center" wrapText="1"/>
    </xf>
    <xf numFmtId="0" fontId="144" fillId="5" borderId="21" xfId="3" applyNumberFormat="1" applyFont="1" applyFill="1" applyBorder="1" applyAlignment="1" applyProtection="1">
      <alignment horizontal="center" vertical="center" wrapText="1"/>
      <protection locked="0"/>
    </xf>
    <xf numFmtId="0" fontId="79" fillId="6" borderId="2" xfId="0" applyNumberFormat="1" applyFont="1" applyFill="1" applyBorder="1" applyAlignment="1" applyProtection="1">
      <alignment horizontal="center" vertical="center" wrapText="1"/>
      <protection locked="0"/>
    </xf>
    <xf numFmtId="0" fontId="105" fillId="6" borderId="2" xfId="0" applyFont="1" applyFill="1" applyBorder="1" applyAlignment="1" applyProtection="1">
      <alignment horizontal="center" vertical="center"/>
      <protection locked="0"/>
    </xf>
    <xf numFmtId="0" fontId="79" fillId="5" borderId="2" xfId="0" applyFont="1" applyFill="1" applyBorder="1" applyAlignment="1" applyProtection="1">
      <alignment horizontal="center" vertical="center"/>
    </xf>
    <xf numFmtId="0" fontId="74" fillId="6" borderId="30" xfId="2" applyFont="1" applyFill="1" applyBorder="1" applyAlignment="1" applyProtection="1">
      <alignment horizontal="right" vertical="center"/>
      <protection locked="0"/>
    </xf>
    <xf numFmtId="0" fontId="80" fillId="0" borderId="8" xfId="0" applyFont="1" applyFill="1" applyBorder="1" applyAlignment="1" applyProtection="1">
      <alignment vertical="center"/>
      <protection locked="0"/>
    </xf>
    <xf numFmtId="0" fontId="138" fillId="5" borderId="8" xfId="0" applyFont="1" applyFill="1" applyBorder="1" applyAlignment="1" applyProtection="1">
      <alignment vertical="center"/>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16" xfId="0" applyFont="1" applyFill="1" applyBorder="1" applyAlignment="1" applyProtection="1">
      <alignment vertical="center"/>
    </xf>
    <xf numFmtId="0" fontId="80"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80" fillId="5" borderId="16" xfId="0" applyFont="1" applyFill="1" applyBorder="1" applyAlignment="1" applyProtection="1">
      <alignment horizontal="left" vertical="center"/>
    </xf>
    <xf numFmtId="0" fontId="52" fillId="5" borderId="5" xfId="0" applyFont="1" applyFill="1" applyBorder="1" applyAlignment="1" applyProtection="1">
      <alignment vertical="center"/>
    </xf>
    <xf numFmtId="178" fontId="80" fillId="5" borderId="5" xfId="0" applyNumberFormat="1" applyFont="1" applyFill="1" applyBorder="1" applyAlignment="1" applyProtection="1">
      <alignment vertical="center"/>
    </xf>
    <xf numFmtId="0" fontId="80" fillId="5" borderId="45" xfId="0" applyFont="1" applyFill="1" applyBorder="1" applyAlignment="1" applyProtection="1">
      <alignment vertical="center"/>
    </xf>
    <xf numFmtId="0" fontId="80" fillId="5" borderId="56" xfId="0" applyFont="1" applyFill="1" applyBorder="1" applyAlignment="1" applyProtection="1">
      <alignment vertical="center"/>
    </xf>
    <xf numFmtId="0" fontId="80" fillId="5" borderId="48" xfId="0" applyFont="1" applyFill="1" applyBorder="1" applyAlignment="1" applyProtection="1">
      <alignment vertical="center"/>
    </xf>
    <xf numFmtId="0" fontId="74" fillId="5" borderId="68" xfId="0" applyFont="1" applyFill="1" applyBorder="1" applyAlignment="1" applyProtection="1">
      <alignment vertical="center"/>
    </xf>
    <xf numFmtId="0" fontId="79" fillId="5" borderId="61" xfId="0" applyFont="1" applyFill="1" applyBorder="1" applyAlignment="1" applyProtection="1">
      <alignment vertical="center"/>
    </xf>
    <xf numFmtId="0" fontId="79" fillId="5" borderId="66" xfId="0" applyFont="1" applyFill="1" applyBorder="1" applyAlignment="1" applyProtection="1">
      <alignment vertical="center"/>
    </xf>
    <xf numFmtId="0" fontId="74" fillId="5" borderId="59" xfId="0" applyFont="1" applyFill="1" applyBorder="1" applyAlignment="1" applyProtection="1">
      <alignment vertical="center"/>
    </xf>
    <xf numFmtId="0" fontId="74" fillId="5" borderId="30" xfId="0" applyFont="1" applyFill="1" applyBorder="1" applyAlignment="1" applyProtection="1">
      <alignment vertical="center"/>
    </xf>
    <xf numFmtId="185" fontId="79" fillId="5" borderId="29" xfId="0" applyNumberFormat="1" applyFont="1" applyFill="1" applyBorder="1" applyAlignment="1" applyProtection="1">
      <alignment horizontal="center" vertical="center"/>
    </xf>
    <xf numFmtId="0" fontId="74" fillId="5" borderId="57" xfId="0" applyFont="1" applyFill="1" applyBorder="1" applyAlignment="1" applyProtection="1">
      <alignment vertical="center"/>
    </xf>
    <xf numFmtId="0" fontId="79" fillId="5" borderId="11" xfId="0" applyFont="1" applyFill="1" applyBorder="1" applyAlignment="1" applyProtection="1">
      <alignment horizontal="center" vertical="center"/>
    </xf>
    <xf numFmtId="0" fontId="79" fillId="5" borderId="4" xfId="0" applyFont="1" applyFill="1" applyBorder="1" applyAlignment="1" applyProtection="1">
      <alignment vertical="center"/>
    </xf>
    <xf numFmtId="185" fontId="80" fillId="0" borderId="2" xfId="0" applyNumberFormat="1" applyFont="1" applyFill="1" applyBorder="1" applyAlignment="1" applyProtection="1">
      <alignment horizontal="center" vertical="center"/>
      <protection locked="0"/>
    </xf>
    <xf numFmtId="185" fontId="80" fillId="0" borderId="12" xfId="0" applyNumberFormat="1" applyFont="1" applyFill="1" applyBorder="1" applyAlignment="1" applyProtection="1">
      <alignment horizontal="center" vertical="center"/>
      <protection locked="0"/>
    </xf>
    <xf numFmtId="49" fontId="80" fillId="5" borderId="43" xfId="0" applyNumberFormat="1" applyFont="1" applyFill="1" applyBorder="1" applyAlignment="1" applyProtection="1">
      <alignment horizontal="left" vertical="center"/>
    </xf>
    <xf numFmtId="185" fontId="80" fillId="0" borderId="44" xfId="0" applyNumberFormat="1" applyFont="1" applyFill="1" applyBorder="1" applyAlignment="1" applyProtection="1">
      <alignment horizontal="center" vertical="center"/>
      <protection locked="0"/>
    </xf>
    <xf numFmtId="185" fontId="80" fillId="0" borderId="46" xfId="0" applyNumberFormat="1" applyFont="1" applyFill="1" applyBorder="1" applyAlignment="1" applyProtection="1">
      <alignment horizontal="center" vertical="center"/>
      <protection locked="0"/>
    </xf>
    <xf numFmtId="49" fontId="74" fillId="5" borderId="59" xfId="0" applyNumberFormat="1" applyFont="1" applyFill="1" applyBorder="1" applyAlignment="1" applyProtection="1">
      <alignment vertical="center"/>
    </xf>
    <xf numFmtId="49" fontId="79" fillId="5" borderId="11" xfId="0" applyNumberFormat="1" applyFont="1" applyFill="1" applyBorder="1" applyAlignment="1" applyProtection="1">
      <alignment horizontal="center" vertical="center"/>
    </xf>
    <xf numFmtId="185" fontId="79" fillId="5" borderId="2" xfId="0"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0" fontId="80" fillId="5" borderId="2" xfId="0" applyFont="1" applyFill="1" applyBorder="1" applyAlignment="1" applyProtection="1">
      <alignment vertical="center"/>
    </xf>
    <xf numFmtId="182"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78"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78" fontId="79" fillId="5" borderId="2" xfId="2" applyNumberFormat="1" applyFont="1" applyFill="1" applyBorder="1" applyAlignment="1" applyProtection="1">
      <alignment horizontal="center" vertical="center"/>
    </xf>
    <xf numFmtId="0" fontId="79" fillId="5" borderId="2"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0" fontId="80" fillId="5" borderId="2" xfId="2" applyFont="1" applyFill="1" applyBorder="1" applyAlignment="1" applyProtection="1">
      <alignment horizontal="left" vertical="center"/>
    </xf>
    <xf numFmtId="186" fontId="80" fillId="5" borderId="9" xfId="0"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left" vertical="center"/>
    </xf>
    <xf numFmtId="0" fontId="79" fillId="5" borderId="2" xfId="2" applyFont="1" applyFill="1" applyBorder="1" applyAlignment="1" applyProtection="1">
      <alignment horizontal="left" vertical="center"/>
    </xf>
    <xf numFmtId="0" fontId="80" fillId="5" borderId="5" xfId="2" applyFont="1" applyFill="1" applyBorder="1" applyAlignment="1" applyProtection="1">
      <alignment horizontal="left" vertical="center"/>
    </xf>
    <xf numFmtId="178" fontId="80" fillId="5" borderId="56" xfId="2" applyNumberFormat="1" applyFont="1" applyFill="1" applyBorder="1" applyAlignment="1" applyProtection="1">
      <alignment vertical="center"/>
    </xf>
    <xf numFmtId="185" fontId="74" fillId="5" borderId="55" xfId="0" applyNumberFormat="1" applyFont="1" applyFill="1" applyBorder="1" applyAlignment="1" applyProtection="1">
      <alignment horizontal="center" vertical="center"/>
    </xf>
    <xf numFmtId="0" fontId="80" fillId="6" borderId="0" xfId="0" applyFont="1" applyFill="1" applyProtection="1">
      <alignment vertical="center"/>
      <protection locked="0"/>
    </xf>
    <xf numFmtId="49" fontId="200" fillId="0" borderId="2" xfId="0" applyNumberFormat="1" applyFont="1" applyBorder="1" applyAlignment="1" applyProtection="1">
      <alignment horizontal="center" vertical="center" wrapText="1"/>
      <protection locked="0"/>
    </xf>
    <xf numFmtId="0" fontId="199" fillId="0" borderId="0" xfId="0" applyFont="1" applyAlignment="1">
      <alignment horizontal="center" vertical="center" wrapText="1"/>
    </xf>
    <xf numFmtId="0" fontId="199" fillId="0" borderId="0" xfId="0" applyFont="1" applyAlignment="1">
      <alignment horizontal="right" vertical="center"/>
    </xf>
    <xf numFmtId="0" fontId="199" fillId="0" borderId="19" xfId="0" applyFont="1" applyBorder="1" applyAlignment="1">
      <alignment vertical="center" wrapText="1"/>
    </xf>
    <xf numFmtId="0" fontId="191" fillId="0" borderId="0" xfId="0" applyFont="1" applyAlignment="1">
      <alignment horizontal="center" vertical="center" wrapText="1"/>
    </xf>
    <xf numFmtId="191" fontId="143" fillId="0" borderId="0" xfId="0" applyNumberFormat="1" applyFont="1" applyAlignment="1" applyProtection="1">
      <alignment horizontal="right" vertical="center" shrinkToFit="1"/>
      <protection locked="0"/>
    </xf>
    <xf numFmtId="0" fontId="255" fillId="0" borderId="0" xfId="0" applyFont="1" applyAlignment="1" applyProtection="1">
      <alignment horizontal="left" vertical="center" wrapText="1"/>
      <protection locked="0"/>
    </xf>
    <xf numFmtId="0" fontId="255" fillId="0" borderId="0" xfId="0" applyFont="1" applyAlignment="1" applyProtection="1">
      <alignment horizontal="left" vertical="top" wrapText="1"/>
    </xf>
    <xf numFmtId="0" fontId="195" fillId="0" borderId="0" xfId="0" applyFont="1">
      <alignment vertical="center"/>
    </xf>
    <xf numFmtId="0" fontId="184" fillId="0" borderId="0" xfId="0" applyFont="1" applyBorder="1">
      <alignment vertical="center"/>
    </xf>
    <xf numFmtId="0" fontId="184" fillId="0" borderId="2" xfId="0" applyFont="1" applyBorder="1" applyAlignment="1">
      <alignment vertical="center" wrapText="1"/>
    </xf>
    <xf numFmtId="0" fontId="184" fillId="0" borderId="2" xfId="0" applyFont="1" applyBorder="1" applyAlignment="1" applyProtection="1">
      <alignment horizontal="left" vertical="center"/>
    </xf>
    <xf numFmtId="0" fontId="184" fillId="0" borderId="0" xfId="0" applyFont="1" applyBorder="1" applyProtection="1">
      <alignment vertical="center"/>
      <protection locked="0"/>
    </xf>
    <xf numFmtId="0" fontId="184" fillId="0" borderId="2" xfId="0" applyFont="1" applyFill="1" applyBorder="1" applyAlignment="1" applyProtection="1">
      <alignment horizontal="left" vertical="center"/>
    </xf>
    <xf numFmtId="0" fontId="184" fillId="0" borderId="0" xfId="0" applyFont="1">
      <alignment vertical="center"/>
    </xf>
    <xf numFmtId="0" fontId="184" fillId="0" borderId="2" xfId="0" applyFont="1" applyBorder="1">
      <alignment vertical="center"/>
    </xf>
    <xf numFmtId="49" fontId="184" fillId="0" borderId="2" xfId="0" applyNumberFormat="1" applyFont="1" applyBorder="1" applyAlignment="1" applyProtection="1">
      <alignment horizontal="left" vertical="center"/>
    </xf>
    <xf numFmtId="0" fontId="184" fillId="0" borderId="2" xfId="0" applyNumberFormat="1" applyFont="1" applyBorder="1" applyAlignment="1" applyProtection="1">
      <alignment horizontal="left" vertical="center"/>
    </xf>
    <xf numFmtId="0" fontId="184" fillId="0" borderId="2" xfId="0" applyFont="1" applyBorder="1" applyAlignment="1">
      <alignment horizontal="lef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21" xfId="0" applyFont="1" applyBorder="1" applyAlignment="1">
      <alignment vertical="center" wrapText="1"/>
    </xf>
    <xf numFmtId="0" fontId="184" fillId="0" borderId="21" xfId="0" applyFont="1" applyBorder="1" applyAlignment="1" applyProtection="1">
      <alignment horizontal="left" vertical="center"/>
    </xf>
    <xf numFmtId="0" fontId="184" fillId="0" borderId="71" xfId="0" applyFont="1" applyBorder="1" applyAlignment="1">
      <alignment horizontal="left" vertical="center" wrapText="1"/>
    </xf>
    <xf numFmtId="0" fontId="158" fillId="0" borderId="71" xfId="0" applyFont="1" applyBorder="1" applyAlignment="1" applyProtection="1">
      <alignment horizontal="left" vertical="center"/>
      <protection locked="0"/>
    </xf>
    <xf numFmtId="0" fontId="184" fillId="0" borderId="91" xfId="0" applyFont="1" applyBorder="1">
      <alignment vertical="center"/>
    </xf>
    <xf numFmtId="0" fontId="184" fillId="0" borderId="74" xfId="0" applyFont="1" applyBorder="1" applyAlignment="1">
      <alignment vertical="center" wrapText="1"/>
    </xf>
    <xf numFmtId="0" fontId="184" fillId="0" borderId="74" xfId="0" applyFont="1" applyBorder="1" applyAlignment="1" applyProtection="1">
      <alignment horizontal="left" vertical="center"/>
    </xf>
    <xf numFmtId="0" fontId="184" fillId="0" borderId="78" xfId="0" applyFont="1" applyBorder="1" applyProtection="1">
      <alignment vertical="center"/>
      <protection locked="0"/>
    </xf>
    <xf numFmtId="49" fontId="184" fillId="0" borderId="78" xfId="0" applyNumberFormat="1" applyFont="1" applyBorder="1" applyProtection="1">
      <alignment vertical="center"/>
      <protection locked="0"/>
    </xf>
    <xf numFmtId="184" fontId="184" fillId="0" borderId="78" xfId="0" applyNumberFormat="1" applyFont="1" applyBorder="1" applyProtection="1">
      <alignment vertical="center"/>
      <protection locked="0"/>
    </xf>
    <xf numFmtId="0" fontId="184" fillId="0" borderId="0" xfId="0" applyFont="1" applyFill="1" applyBorder="1" applyProtection="1">
      <alignment vertical="center"/>
    </xf>
    <xf numFmtId="0" fontId="184" fillId="0" borderId="71" xfId="0" applyFont="1" applyBorder="1" applyAlignment="1">
      <alignment vertical="center" wrapText="1"/>
    </xf>
    <xf numFmtId="0" fontId="184" fillId="0" borderId="71" xfId="0" applyFont="1" applyBorder="1" applyAlignment="1" applyProtection="1">
      <alignment horizontal="left" vertical="center"/>
    </xf>
    <xf numFmtId="0" fontId="184" fillId="0" borderId="78" xfId="0" applyFont="1" applyBorder="1">
      <alignment vertical="center"/>
    </xf>
    <xf numFmtId="0" fontId="184" fillId="0" borderId="74" xfId="0" applyFont="1" applyBorder="1">
      <alignment vertical="center"/>
    </xf>
    <xf numFmtId="191" fontId="184" fillId="0" borderId="71" xfId="0" applyNumberFormat="1" applyFont="1" applyBorder="1" applyAlignment="1" applyProtection="1">
      <alignment horizontal="left" vertical="center"/>
    </xf>
    <xf numFmtId="0" fontId="184" fillId="0" borderId="21" xfId="0" applyFont="1" applyBorder="1" applyAlignment="1">
      <alignment horizontal="left" vertical="center"/>
    </xf>
    <xf numFmtId="0" fontId="184" fillId="0" borderId="71" xfId="0" applyNumberFormat="1" applyFont="1" applyBorder="1" applyAlignment="1" applyProtection="1">
      <alignment horizontal="left" vertical="center"/>
    </xf>
    <xf numFmtId="0" fontId="184" fillId="0" borderId="71" xfId="0" applyFont="1" applyBorder="1" applyAlignment="1">
      <alignment horizontal="left" vertical="center"/>
    </xf>
    <xf numFmtId="0" fontId="256" fillId="5" borderId="53" xfId="0"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256" fillId="5" borderId="24" xfId="0" applyFont="1" applyFill="1" applyBorder="1" applyAlignment="1" applyProtection="1">
      <alignment vertical="center" wrapText="1"/>
    </xf>
    <xf numFmtId="184" fontId="75" fillId="5" borderId="62" xfId="0" applyNumberFormat="1" applyFont="1" applyFill="1" applyBorder="1" applyAlignment="1" applyProtection="1">
      <alignment horizontal="center" vertical="center" wrapText="1"/>
    </xf>
    <xf numFmtId="0" fontId="79" fillId="5" borderId="59"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5" borderId="87" xfId="0" applyFont="1" applyFill="1" applyBorder="1" applyAlignment="1" applyProtection="1">
      <alignment vertical="center" wrapText="1"/>
    </xf>
    <xf numFmtId="0" fontId="107" fillId="5" borderId="64" xfId="0" applyFont="1" applyFill="1" applyBorder="1" applyAlignment="1" applyProtection="1">
      <alignment vertical="center" wrapText="1"/>
    </xf>
    <xf numFmtId="0" fontId="87" fillId="5" borderId="64" xfId="0" applyFont="1" applyFill="1" applyBorder="1" applyAlignment="1" applyProtection="1">
      <alignment vertical="center" wrapText="1"/>
    </xf>
    <xf numFmtId="0" fontId="87" fillId="8" borderId="87" xfId="0" applyFont="1" applyFill="1" applyBorder="1" applyAlignment="1" applyProtection="1">
      <alignment vertical="center" wrapText="1"/>
    </xf>
    <xf numFmtId="0" fontId="87" fillId="8" borderId="54" xfId="0" applyFont="1" applyFill="1" applyBorder="1" applyAlignment="1" applyProtection="1">
      <alignment vertical="center" wrapText="1"/>
    </xf>
    <xf numFmtId="0" fontId="79" fillId="5" borderId="57"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79" fillId="5" borderId="63"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protection locked="0"/>
    </xf>
    <xf numFmtId="0" fontId="79" fillId="8" borderId="63" xfId="0" applyFont="1" applyFill="1" applyBorder="1" applyAlignment="1" applyProtection="1">
      <alignment horizontal="left" vertical="center" wrapText="1"/>
      <protection locked="0"/>
    </xf>
    <xf numFmtId="0" fontId="79" fillId="8" borderId="66" xfId="0" applyFont="1" applyFill="1" applyBorder="1" applyAlignment="1" applyProtection="1">
      <alignment horizontal="left" vertical="center" wrapText="1"/>
      <protection locked="0"/>
    </xf>
    <xf numFmtId="0" fontId="88" fillId="5" borderId="0" xfId="3" applyFont="1" applyFill="1" applyAlignment="1" applyProtection="1">
      <alignment horizontal="center" vertical="center" wrapText="1"/>
      <protection locked="0"/>
    </xf>
    <xf numFmtId="0" fontId="110" fillId="0" borderId="2" xfId="3" applyFont="1" applyFill="1" applyBorder="1" applyAlignment="1" applyProtection="1">
      <alignment horizontal="center" vertical="center" wrapText="1"/>
      <protection locked="0"/>
    </xf>
    <xf numFmtId="0" fontId="90" fillId="5" borderId="2" xfId="3" applyFont="1" applyFill="1" applyBorder="1" applyAlignment="1" applyProtection="1">
      <alignment horizontal="center" vertical="center" wrapText="1"/>
      <protection locked="0"/>
    </xf>
    <xf numFmtId="180" fontId="90" fillId="5" borderId="2" xfId="3" applyNumberFormat="1" applyFont="1" applyFill="1" applyBorder="1" applyAlignment="1" applyProtection="1">
      <alignment horizontal="center" vertical="center" wrapText="1"/>
      <protection locked="0"/>
    </xf>
    <xf numFmtId="0" fontId="90" fillId="8" borderId="0" xfId="3" applyFont="1" applyFill="1" applyAlignment="1" applyProtection="1">
      <alignment horizontal="center" vertical="center" wrapText="1"/>
    </xf>
    <xf numFmtId="0" fontId="90" fillId="0" borderId="0" xfId="3" applyFont="1" applyAlignment="1" applyProtection="1">
      <alignment horizontal="center" vertical="center" wrapText="1"/>
    </xf>
    <xf numFmtId="185" fontId="156" fillId="5" borderId="2" xfId="3" applyNumberFormat="1" applyFont="1" applyFill="1" applyBorder="1" applyAlignment="1" applyProtection="1">
      <alignment horizontal="center" vertical="center"/>
    </xf>
    <xf numFmtId="178"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wrapText="1"/>
    </xf>
    <xf numFmtId="0" fontId="156" fillId="5" borderId="2" xfId="3"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144" fillId="5" borderId="2" xfId="3" applyFont="1" applyFill="1" applyBorder="1" applyAlignment="1" applyProtection="1">
      <alignment horizontal="center" vertical="center" wrapText="1"/>
    </xf>
    <xf numFmtId="0" fontId="110" fillId="5" borderId="2" xfId="3" applyFont="1" applyFill="1" applyBorder="1" applyAlignment="1" applyProtection="1">
      <alignment horizontal="center" vertical="center" wrapText="1"/>
    </xf>
    <xf numFmtId="178" fontId="131" fillId="5" borderId="91" xfId="4" applyNumberFormat="1" applyFont="1" applyFill="1" applyBorder="1" applyAlignment="1">
      <alignment horizontal="center"/>
    </xf>
    <xf numFmtId="0" fontId="0" fillId="0" borderId="0" xfId="0" applyAlignment="1"/>
    <xf numFmtId="0" fontId="150" fillId="5" borderId="0" xfId="0" applyFont="1" applyFill="1" applyAlignment="1"/>
    <xf numFmtId="0" fontId="131" fillId="5" borderId="0" xfId="4" applyFont="1" applyFill="1"/>
    <xf numFmtId="0" fontId="131" fillId="5" borderId="1" xfId="4" applyFont="1" applyFill="1" applyBorder="1"/>
    <xf numFmtId="0" fontId="205" fillId="5" borderId="6" xfId="4" applyFont="1" applyFill="1" applyBorder="1" applyAlignment="1">
      <alignment horizontal="center" vertical="center" wrapText="1"/>
    </xf>
    <xf numFmtId="0" fontId="131" fillId="5" borderId="7" xfId="4" applyFont="1" applyFill="1" applyBorder="1" applyAlignment="1">
      <alignment horizontal="center"/>
    </xf>
    <xf numFmtId="0" fontId="205" fillId="5" borderId="1" xfId="4" applyFont="1" applyFill="1" applyBorder="1" applyAlignment="1">
      <alignment horizontal="center" vertical="center" wrapText="1"/>
    </xf>
    <xf numFmtId="0" fontId="131" fillId="5" borderId="6" xfId="4" applyNumberFormat="1" applyFont="1" applyFill="1" applyBorder="1" applyAlignment="1">
      <alignment horizontal="center"/>
    </xf>
    <xf numFmtId="0" fontId="131" fillId="0" borderId="0" xfId="4" applyFont="1"/>
    <xf numFmtId="0" fontId="131" fillId="5" borderId="11" xfId="4" applyFont="1" applyFill="1" applyBorder="1"/>
    <xf numFmtId="0" fontId="205" fillId="5" borderId="2" xfId="4" applyFont="1" applyFill="1" applyBorder="1" applyAlignment="1">
      <alignment horizontal="center" vertical="center" wrapText="1"/>
    </xf>
    <xf numFmtId="0" fontId="131" fillId="5" borderId="12" xfId="4" applyFont="1" applyFill="1" applyBorder="1" applyAlignment="1">
      <alignment horizontal="center"/>
    </xf>
    <xf numFmtId="0" fontId="205" fillId="5" borderId="11" xfId="4" applyFont="1" applyFill="1" applyBorder="1" applyAlignment="1">
      <alignment horizontal="center" vertical="center" wrapText="1"/>
    </xf>
    <xf numFmtId="0" fontId="131" fillId="5" borderId="2" xfId="4" applyNumberFormat="1" applyFont="1" applyFill="1" applyBorder="1" applyAlignment="1">
      <alignment horizontal="center"/>
    </xf>
    <xf numFmtId="0" fontId="131" fillId="5" borderId="43" xfId="4" applyFont="1" applyFill="1" applyBorder="1"/>
    <xf numFmtId="0" fontId="205" fillId="5" borderId="44" xfId="4" applyFont="1" applyFill="1" applyBorder="1" applyAlignment="1">
      <alignment horizontal="center" vertical="center" wrapText="1"/>
    </xf>
    <xf numFmtId="0" fontId="131" fillId="5" borderId="46" xfId="4" applyFont="1" applyFill="1" applyBorder="1" applyAlignment="1">
      <alignment horizontal="center"/>
    </xf>
    <xf numFmtId="0" fontId="205" fillId="5" borderId="43" xfId="4" applyFont="1" applyFill="1" applyBorder="1" applyAlignment="1">
      <alignment horizontal="center" vertical="center" wrapText="1"/>
    </xf>
    <xf numFmtId="0" fontId="131" fillId="5" borderId="44" xfId="4" applyNumberFormat="1" applyFont="1" applyFill="1" applyBorder="1" applyAlignment="1">
      <alignment horizontal="center"/>
    </xf>
    <xf numFmtId="0" fontId="131" fillId="5" borderId="0" xfId="4" applyNumberFormat="1" applyFont="1" applyFill="1" applyAlignment="1">
      <alignment horizontal="center"/>
    </xf>
    <xf numFmtId="0" fontId="131" fillId="5" borderId="0" xfId="4" applyFont="1" applyFill="1" applyAlignment="1">
      <alignment horizontal="right"/>
    </xf>
    <xf numFmtId="14" fontId="131" fillId="5" borderId="0" xfId="4" applyNumberFormat="1" applyFont="1" applyFill="1" applyAlignment="1">
      <alignment horizontal="center"/>
    </xf>
    <xf numFmtId="0" fontId="257" fillId="5" borderId="0" xfId="4" applyNumberFormat="1" applyFont="1" applyFill="1" applyAlignment="1">
      <alignment horizontal="center"/>
    </xf>
    <xf numFmtId="0" fontId="258" fillId="5" borderId="0" xfId="4" applyFont="1" applyFill="1" applyAlignment="1">
      <alignment horizontal="left"/>
    </xf>
    <xf numFmtId="14" fontId="257" fillId="5" borderId="0" xfId="4" applyNumberFormat="1" applyFont="1" applyFill="1" applyAlignment="1">
      <alignment horizontal="center"/>
    </xf>
    <xf numFmtId="0" fontId="257" fillId="5" borderId="0" xfId="4" applyFont="1" applyFill="1"/>
    <xf numFmtId="0" fontId="257" fillId="0" borderId="0" xfId="4" applyFont="1"/>
    <xf numFmtId="0" fontId="257" fillId="0" borderId="0" xfId="0" applyFont="1" applyAlignment="1"/>
    <xf numFmtId="0" fontId="259" fillId="5" borderId="0" xfId="4" applyFont="1" applyFill="1"/>
    <xf numFmtId="0" fontId="260" fillId="5" borderId="0" xfId="4" applyFont="1" applyFill="1"/>
    <xf numFmtId="0" fontId="259" fillId="0" borderId="0" xfId="4" applyFont="1"/>
    <xf numFmtId="0" fontId="205" fillId="5" borderId="0" xfId="4" applyFont="1" applyFill="1" applyAlignment="1"/>
    <xf numFmtId="0" fontId="239" fillId="5" borderId="10" xfId="4" applyFont="1" applyFill="1" applyBorder="1" applyAlignment="1">
      <alignment horizontal="center" vertical="center"/>
    </xf>
    <xf numFmtId="0" fontId="239" fillId="5" borderId="10" xfId="4" applyFont="1" applyFill="1" applyBorder="1" applyAlignment="1">
      <alignment vertical="center"/>
    </xf>
    <xf numFmtId="0" fontId="239" fillId="5" borderId="5" xfId="4" applyFont="1" applyFill="1" applyBorder="1" applyAlignment="1">
      <alignment vertical="center"/>
    </xf>
    <xf numFmtId="0" fontId="239" fillId="5" borderId="9" xfId="4" applyFont="1" applyFill="1" applyBorder="1" applyAlignment="1">
      <alignment vertical="center"/>
    </xf>
    <xf numFmtId="0" fontId="239" fillId="5" borderId="8" xfId="4" applyFont="1" applyFill="1" applyBorder="1" applyAlignment="1">
      <alignment vertical="center"/>
    </xf>
    <xf numFmtId="0" fontId="205" fillId="0" borderId="0" xfId="4" applyFont="1" applyAlignment="1"/>
    <xf numFmtId="0" fontId="205" fillId="5" borderId="0" xfId="4" applyFont="1" applyFill="1"/>
    <xf numFmtId="0" fontId="239" fillId="5" borderId="21" xfId="4" applyFont="1" applyFill="1" applyBorder="1" applyAlignment="1">
      <alignment horizontal="center" vertical="center" wrapText="1"/>
    </xf>
    <xf numFmtId="0" fontId="239" fillId="5" borderId="21" xfId="4" applyFont="1" applyFill="1" applyBorder="1" applyAlignment="1">
      <alignment vertical="center" wrapText="1"/>
    </xf>
    <xf numFmtId="0" fontId="131" fillId="5" borderId="2" xfId="4" applyFont="1" applyFill="1" applyBorder="1"/>
    <xf numFmtId="0" fontId="239" fillId="5" borderId="2" xfId="4" applyFont="1" applyFill="1" applyBorder="1" applyAlignment="1">
      <alignment horizontal="center" vertical="center" wrapText="1"/>
    </xf>
    <xf numFmtId="0" fontId="205" fillId="0" borderId="0" xfId="4" applyFont="1"/>
    <xf numFmtId="0" fontId="224" fillId="5" borderId="0" xfId="4" applyFont="1" applyFill="1" applyAlignment="1">
      <alignment vertical="center"/>
    </xf>
    <xf numFmtId="0" fontId="224" fillId="5" borderId="2" xfId="4" applyFont="1" applyFill="1" applyBorder="1" applyAlignment="1">
      <alignment horizontal="left" vertical="center" wrapText="1"/>
    </xf>
    <xf numFmtId="194" fontId="224" fillId="5" borderId="2" xfId="4" applyNumberFormat="1" applyFont="1" applyFill="1" applyBorder="1" applyAlignment="1">
      <alignment horizontal="center" vertical="center" wrapText="1"/>
    </xf>
    <xf numFmtId="0" fontId="224" fillId="5" borderId="2" xfId="4" applyFont="1" applyFill="1" applyBorder="1" applyAlignment="1">
      <alignment horizontal="center" vertical="center" wrapText="1"/>
    </xf>
    <xf numFmtId="14" fontId="224" fillId="5" borderId="2" xfId="4" applyNumberFormat="1" applyFont="1" applyFill="1" applyBorder="1" applyAlignment="1">
      <alignment horizontal="center" vertical="center" wrapText="1"/>
    </xf>
    <xf numFmtId="0" fontId="224" fillId="6" borderId="0" xfId="4" applyFont="1" applyFill="1" applyAlignment="1">
      <alignment vertical="center"/>
    </xf>
    <xf numFmtId="0" fontId="262" fillId="0" borderId="0" xfId="0" applyFont="1" applyAlignment="1"/>
    <xf numFmtId="0" fontId="131" fillId="5" borderId="2" xfId="4" applyFont="1" applyFill="1" applyBorder="1" applyAlignment="1">
      <alignment horizontal="center" wrapText="1"/>
    </xf>
    <xf numFmtId="14" fontId="131" fillId="5" borderId="2" xfId="4" applyNumberFormat="1" applyFont="1" applyFill="1" applyBorder="1" applyAlignment="1">
      <alignment horizontal="center" wrapText="1"/>
    </xf>
    <xf numFmtId="180" fontId="263" fillId="5" borderId="2" xfId="4" applyNumberFormat="1" applyFont="1" applyFill="1" applyBorder="1" applyAlignment="1">
      <alignment horizontal="center"/>
    </xf>
    <xf numFmtId="14" fontId="215" fillId="5" borderId="2" xfId="4" applyNumberFormat="1" applyFont="1" applyFill="1" applyBorder="1" applyAlignment="1">
      <alignment horizontal="center" wrapText="1"/>
    </xf>
    <xf numFmtId="0" fontId="131" fillId="5" borderId="0" xfId="4" applyFont="1" applyFill="1" applyBorder="1" applyAlignment="1">
      <alignment horizontal="center" wrapText="1"/>
    </xf>
    <xf numFmtId="14" fontId="131"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1" fillId="5" borderId="0" xfId="4" applyFont="1" applyFill="1" applyBorder="1"/>
    <xf numFmtId="0" fontId="0" fillId="5" borderId="0" xfId="0" applyFill="1" applyBorder="1" applyAlignment="1"/>
    <xf numFmtId="0" fontId="230" fillId="5" borderId="2" xfId="4" applyFont="1" applyFill="1" applyBorder="1" applyAlignment="1">
      <alignment horizontal="center"/>
    </xf>
    <xf numFmtId="0" fontId="230" fillId="5" borderId="21" xfId="4" applyFont="1" applyFill="1" applyBorder="1" applyAlignment="1">
      <alignment horizontal="center"/>
    </xf>
    <xf numFmtId="0" fontId="208" fillId="5" borderId="2" xfId="0" applyFont="1" applyFill="1" applyBorder="1" applyAlignment="1">
      <alignment horizontal="center"/>
    </xf>
    <xf numFmtId="10" fontId="233" fillId="5" borderId="2" xfId="4" applyNumberFormat="1" applyFont="1" applyFill="1" applyBorder="1" applyAlignment="1">
      <alignment horizontal="center"/>
    </xf>
    <xf numFmtId="14" fontId="233" fillId="5" borderId="2" xfId="4" applyNumberFormat="1" applyFont="1" applyFill="1" applyBorder="1" applyAlignment="1" applyProtection="1">
      <alignment horizontal="center"/>
    </xf>
    <xf numFmtId="0" fontId="233" fillId="5" borderId="21" xfId="4" applyFont="1" applyFill="1" applyBorder="1" applyAlignment="1" applyProtection="1">
      <alignment horizontal="center"/>
    </xf>
    <xf numFmtId="191" fontId="218" fillId="0" borderId="2" xfId="7" applyNumberFormat="1" applyFont="1" applyFill="1" applyBorder="1" applyAlignment="1">
      <alignment horizontal="right" vertical="center"/>
    </xf>
    <xf numFmtId="184" fontId="218" fillId="0" borderId="2" xfId="7" applyNumberFormat="1" applyFont="1" applyFill="1" applyBorder="1" applyAlignment="1">
      <alignment horizontal="center" vertical="center"/>
    </xf>
    <xf numFmtId="191" fontId="218" fillId="0" borderId="10" xfId="7" applyNumberFormat="1" applyFont="1" applyFill="1" applyBorder="1" applyAlignment="1">
      <alignment horizontal="center" vertical="center"/>
    </xf>
    <xf numFmtId="10" fontId="156" fillId="6" borderId="0" xfId="10" applyNumberFormat="1" applyFont="1" applyFill="1" applyAlignment="1">
      <alignment horizontal="center" vertical="center"/>
    </xf>
    <xf numFmtId="0" fontId="49" fillId="5" borderId="2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xf>
    <xf numFmtId="0" fontId="15" fillId="0" borderId="2" xfId="0" applyFont="1" applyBorder="1" applyAlignment="1" applyProtection="1">
      <alignment horizontal="center" vertical="center" wrapText="1"/>
      <protection locked="0"/>
    </xf>
    <xf numFmtId="0" fontId="15" fillId="2" borderId="21" xfId="0" applyFont="1" applyFill="1" applyBorder="1" applyAlignment="1" applyProtection="1">
      <alignment horizontal="center" vertical="center" wrapText="1"/>
      <protection locked="0"/>
    </xf>
    <xf numFmtId="0" fontId="21" fillId="6" borderId="21" xfId="0" applyFont="1" applyFill="1" applyBorder="1" applyAlignment="1" applyProtection="1">
      <alignment horizontal="center" vertical="center" wrapText="1"/>
      <protection locked="0"/>
    </xf>
    <xf numFmtId="177" fontId="15" fillId="0" borderId="2" xfId="0" applyNumberFormat="1" applyFont="1" applyBorder="1" applyAlignment="1" applyProtection="1">
      <alignment vertical="center" wrapText="1"/>
      <protection locked="0"/>
    </xf>
    <xf numFmtId="0" fontId="15" fillId="2" borderId="17"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0" fontId="15" fillId="2" borderId="5" xfId="0" applyFont="1" applyFill="1" applyBorder="1" applyAlignment="1" applyProtection="1">
      <alignment horizontal="left" vertical="center"/>
      <protection locked="0"/>
    </xf>
    <xf numFmtId="177" fontId="15" fillId="0" borderId="2" xfId="0" applyNumberFormat="1" applyFont="1" applyBorder="1" applyAlignment="1" applyProtection="1">
      <alignment horizontal="center" vertical="center" wrapText="1"/>
      <protection locked="0"/>
    </xf>
    <xf numFmtId="177" fontId="15" fillId="0" borderId="21"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vertical="center" wrapText="1"/>
      <protection locked="0"/>
    </xf>
    <xf numFmtId="178" fontId="15" fillId="0" borderId="2" xfId="2" applyNumberFormat="1" applyFont="1" applyFill="1" applyBorder="1" applyAlignment="1" applyProtection="1">
      <alignment vertical="center"/>
      <protection locked="0" hidden="1"/>
    </xf>
    <xf numFmtId="182" fontId="156" fillId="0" borderId="2" xfId="0" applyNumberFormat="1" applyFont="1" applyFill="1" applyBorder="1" applyAlignment="1" applyProtection="1">
      <alignment horizontal="center" vertical="center"/>
      <protection locked="0"/>
    </xf>
    <xf numFmtId="178" fontId="80" fillId="0" borderId="2" xfId="2" applyNumberFormat="1" applyFont="1" applyFill="1" applyBorder="1" applyAlignment="1" applyProtection="1">
      <alignment horizontal="center" vertical="center"/>
      <protection locked="0"/>
    </xf>
    <xf numFmtId="10" fontId="80" fillId="0" borderId="2" xfId="2" applyNumberFormat="1" applyFont="1" applyFill="1" applyBorder="1" applyAlignment="1" applyProtection="1">
      <alignment horizontal="center" vertical="center"/>
      <protection locked="0"/>
    </xf>
    <xf numFmtId="9" fontId="80" fillId="0" borderId="5" xfId="0" applyNumberFormat="1" applyFont="1" applyFill="1" applyBorder="1" applyAlignment="1" applyProtection="1">
      <alignment horizontal="center" vertical="center"/>
      <protection locked="0"/>
    </xf>
    <xf numFmtId="185" fontId="156" fillId="0" borderId="10"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right"/>
    </xf>
    <xf numFmtId="0" fontId="79" fillId="5" borderId="2" xfId="2" applyNumberFormat="1" applyFont="1" applyFill="1" applyBorder="1" applyAlignment="1" applyProtection="1">
      <alignment horizontal="right"/>
    </xf>
    <xf numFmtId="0" fontId="52" fillId="5" borderId="2" xfId="2" applyFont="1" applyFill="1" applyBorder="1" applyAlignment="1" applyProtection="1">
      <alignment vertical="center" wrapText="1"/>
    </xf>
    <xf numFmtId="0" fontId="44" fillId="5" borderId="44" xfId="0" applyFont="1" applyFill="1" applyBorder="1" applyAlignment="1" applyProtection="1">
      <alignment vertical="center"/>
    </xf>
    <xf numFmtId="49" fontId="137" fillId="5" borderId="11" xfId="0" applyNumberFormat="1" applyFont="1" applyFill="1" applyBorder="1" applyAlignment="1" applyProtection="1">
      <alignment horizontal="left" vertical="center" wrapText="1"/>
    </xf>
    <xf numFmtId="0" fontId="23" fillId="5" borderId="5" xfId="2" applyFont="1" applyFill="1" applyBorder="1" applyAlignment="1" applyProtection="1">
      <alignment vertical="center"/>
    </xf>
    <xf numFmtId="0" fontId="23" fillId="5" borderId="2" xfId="2"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89" fillId="5" borderId="10" xfId="0" applyNumberFormat="1" applyFont="1" applyFill="1" applyBorder="1" applyAlignment="1" applyProtection="1">
      <alignment horizontal="center" vertical="center"/>
    </xf>
    <xf numFmtId="182" fontId="75" fillId="0" borderId="12" xfId="0" applyNumberFormat="1" applyFont="1" applyBorder="1" applyAlignment="1" applyProtection="1">
      <alignment horizontal="center" vertical="center"/>
      <protection locked="0"/>
    </xf>
    <xf numFmtId="0" fontId="24" fillId="5" borderId="1" xfId="0" applyFont="1" applyFill="1" applyBorder="1" applyAlignment="1" applyProtection="1">
      <alignment vertical="center" wrapText="1"/>
    </xf>
    <xf numFmtId="0" fontId="110" fillId="5" borderId="7" xfId="0" applyFont="1" applyFill="1" applyBorder="1" applyAlignment="1" applyProtection="1">
      <alignment horizontal="center" vertical="center" wrapText="1"/>
    </xf>
    <xf numFmtId="0" fontId="24" fillId="5" borderId="43" xfId="0" applyFont="1" applyFill="1" applyBorder="1" applyAlignment="1" applyProtection="1">
      <alignment vertical="center" wrapText="1"/>
    </xf>
    <xf numFmtId="0" fontId="110" fillId="5" borderId="46" xfId="0" applyFont="1" applyFill="1" applyBorder="1" applyAlignment="1" applyProtection="1">
      <alignment horizontal="center" vertical="center" wrapText="1"/>
    </xf>
    <xf numFmtId="0" fontId="264" fillId="0" borderId="0" xfId="0" applyFont="1">
      <alignment vertical="center"/>
    </xf>
    <xf numFmtId="0" fontId="266" fillId="5" borderId="2" xfId="14" applyFont="1" applyFill="1" applyBorder="1" applyAlignment="1">
      <alignment horizontal="center" vertical="center" wrapText="1"/>
    </xf>
    <xf numFmtId="0" fontId="266" fillId="0" borderId="0" xfId="14" applyFont="1" applyBorder="1" applyAlignment="1">
      <alignment horizontal="left" vertical="center" wrapText="1"/>
    </xf>
    <xf numFmtId="14" fontId="266" fillId="5" borderId="2" xfId="14" applyNumberFormat="1" applyFont="1" applyFill="1" applyBorder="1" applyAlignment="1">
      <alignment horizontal="center" vertical="center" wrapText="1"/>
    </xf>
    <xf numFmtId="0" fontId="266" fillId="13" borderId="2" xfId="14" applyFont="1" applyFill="1" applyBorder="1" applyAlignment="1" applyProtection="1">
      <alignment horizontal="center" vertical="center" wrapText="1"/>
      <protection locked="0"/>
    </xf>
    <xf numFmtId="0" fontId="266" fillId="5" borderId="10" xfId="14" applyFont="1" applyFill="1" applyBorder="1" applyAlignment="1">
      <alignment horizontal="center" vertical="center" wrapText="1"/>
    </xf>
    <xf numFmtId="0" fontId="266" fillId="0" borderId="2" xfId="14" applyFont="1" applyBorder="1" applyAlignment="1" applyProtection="1">
      <alignment horizontal="left" vertical="center" wrapText="1"/>
      <protection locked="0"/>
    </xf>
    <xf numFmtId="0" fontId="265" fillId="5" borderId="2" xfId="14" applyFill="1" applyBorder="1" applyAlignment="1">
      <alignment vertical="center"/>
    </xf>
    <xf numFmtId="0" fontId="149" fillId="5" borderId="2" xfId="14" applyFont="1" applyFill="1" applyBorder="1" applyAlignment="1">
      <alignment vertical="center"/>
    </xf>
    <xf numFmtId="0" fontId="265" fillId="0" borderId="2" xfId="14" applyBorder="1" applyAlignment="1" applyProtection="1">
      <alignment vertical="center"/>
      <protection locked="0"/>
    </xf>
    <xf numFmtId="0" fontId="156" fillId="5" borderId="2" xfId="0"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267" fillId="5" borderId="2" xfId="0" applyFont="1" applyFill="1" applyBorder="1" applyAlignment="1">
      <alignment horizontal="left" vertical="center" wrapText="1"/>
    </xf>
    <xf numFmtId="0" fontId="268" fillId="5" borderId="2" xfId="0" applyFont="1" applyFill="1" applyBorder="1" applyAlignment="1">
      <alignment vertical="center" wrapText="1"/>
    </xf>
    <xf numFmtId="182" fontId="80" fillId="5" borderId="0" xfId="0" applyNumberFormat="1" applyFont="1" applyFill="1" applyProtection="1">
      <alignment vertical="center"/>
    </xf>
    <xf numFmtId="0" fontId="15" fillId="5" borderId="0" xfId="0" applyFont="1" applyFill="1" applyProtection="1">
      <alignment vertical="center"/>
      <protection locked="0"/>
    </xf>
    <xf numFmtId="0" fontId="169" fillId="5" borderId="5"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170" fillId="5" borderId="5"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xf>
    <xf numFmtId="0" fontId="170" fillId="5" borderId="9" xfId="0" applyFont="1" applyFill="1" applyBorder="1" applyAlignment="1" applyProtection="1">
      <alignment horizontal="center" vertical="center" wrapText="1"/>
    </xf>
    <xf numFmtId="0" fontId="166" fillId="5" borderId="2" xfId="0" applyFont="1" applyFill="1" applyBorder="1" applyAlignment="1">
      <alignment horizontal="center" vertical="center" wrapText="1"/>
    </xf>
    <xf numFmtId="182" fontId="80" fillId="5" borderId="0" xfId="0" applyNumberFormat="1" applyFont="1" applyFill="1" applyAlignment="1" applyProtection="1">
      <alignment horizontal="left" vertical="center"/>
    </xf>
    <xf numFmtId="0" fontId="82" fillId="5" borderId="150" xfId="0" applyFont="1" applyFill="1" applyBorder="1" applyAlignment="1" applyProtection="1">
      <alignment vertical="center" wrapText="1"/>
    </xf>
    <xf numFmtId="0" fontId="82" fillId="5" borderId="150" xfId="0" applyFont="1" applyFill="1" applyBorder="1" applyAlignment="1" applyProtection="1">
      <alignment horizontal="center" vertical="center" wrapText="1"/>
    </xf>
    <xf numFmtId="49" fontId="82" fillId="5" borderId="151" xfId="0" applyNumberFormat="1" applyFont="1" applyFill="1" applyBorder="1" applyAlignment="1" applyProtection="1">
      <alignment horizontal="center" vertical="center" wrapText="1"/>
    </xf>
    <xf numFmtId="49" fontId="82" fillId="5" borderId="150" xfId="0" applyNumberFormat="1" applyFont="1" applyFill="1" applyBorder="1" applyAlignment="1" applyProtection="1">
      <alignment horizontal="center" vertical="center" wrapText="1"/>
    </xf>
    <xf numFmtId="0" fontId="82" fillId="0" borderId="150" xfId="0" applyFont="1" applyBorder="1" applyAlignment="1" applyProtection="1">
      <alignment vertical="center" wrapText="1"/>
    </xf>
    <xf numFmtId="0" fontId="186" fillId="5" borderId="150" xfId="0" applyFont="1" applyFill="1" applyBorder="1" applyAlignment="1" applyProtection="1">
      <alignment vertical="center"/>
    </xf>
    <xf numFmtId="0" fontId="163"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21" fillId="5" borderId="0" xfId="0" applyFont="1" applyFill="1" applyAlignment="1" applyProtection="1">
      <alignment horizontal="center" vertical="center"/>
      <protection locked="0"/>
    </xf>
    <xf numFmtId="0" fontId="269" fillId="5" borderId="0" xfId="0" applyFont="1" applyFill="1" applyAlignment="1" applyProtection="1">
      <alignment vertical="center"/>
      <protection locked="0"/>
    </xf>
    <xf numFmtId="180" fontId="21" fillId="5" borderId="0" xfId="0" applyNumberFormat="1" applyFont="1" applyFill="1" applyAlignment="1" applyProtection="1">
      <alignment vertical="center"/>
      <protection locked="0"/>
    </xf>
    <xf numFmtId="0" fontId="21" fillId="0" borderId="11" xfId="0" applyFont="1" applyBorder="1" applyAlignment="1" applyProtection="1">
      <alignment horizontal="right" vertical="center" wrapText="1"/>
      <protection locked="0"/>
    </xf>
    <xf numFmtId="0" fontId="21" fillId="0" borderId="43" xfId="0" applyFont="1" applyBorder="1" applyAlignment="1" applyProtection="1">
      <alignment horizontal="right" vertical="center" wrapText="1"/>
      <protection locked="0"/>
    </xf>
    <xf numFmtId="49" fontId="271" fillId="0" borderId="7" xfId="0" applyNumberFormat="1" applyFont="1" applyFill="1" applyBorder="1" applyAlignment="1" applyProtection="1">
      <alignment horizontal="center" vertical="center" wrapText="1"/>
      <protection locked="0"/>
    </xf>
    <xf numFmtId="49" fontId="271" fillId="0" borderId="12" xfId="0" applyNumberFormat="1" applyFont="1" applyFill="1" applyBorder="1" applyAlignment="1" applyProtection="1">
      <alignment horizontal="center" vertical="center" wrapText="1"/>
      <protection locked="0"/>
    </xf>
    <xf numFmtId="0" fontId="271" fillId="0" borderId="12" xfId="0" applyFont="1" applyBorder="1" applyAlignment="1" applyProtection="1">
      <alignment horizontal="center" vertical="center" wrapText="1"/>
      <protection locked="0"/>
    </xf>
    <xf numFmtId="0" fontId="271" fillId="0" borderId="46" xfId="0" applyFont="1" applyBorder="1" applyAlignment="1" applyProtection="1">
      <alignment horizontal="center" vertical="center"/>
      <protection locked="0"/>
    </xf>
    <xf numFmtId="0" fontId="75" fillId="6" borderId="12" xfId="0" applyNumberFormat="1" applyFont="1" applyFill="1" applyBorder="1" applyAlignment="1" applyProtection="1">
      <alignment horizontal="center" vertical="center" wrapText="1"/>
      <protection locked="0"/>
    </xf>
    <xf numFmtId="0" fontId="89" fillId="6" borderId="5" xfId="0" applyFont="1" applyFill="1" applyBorder="1" applyAlignment="1" applyProtection="1">
      <alignment vertical="center"/>
      <protection locked="0"/>
    </xf>
    <xf numFmtId="0" fontId="272" fillId="0" borderId="105" xfId="0" applyNumberFormat="1" applyFont="1" applyFill="1" applyBorder="1" applyAlignment="1" applyProtection="1">
      <alignment horizontal="center" vertical="center" wrapText="1"/>
      <protection locked="0"/>
    </xf>
    <xf numFmtId="0" fontId="272" fillId="5" borderId="31" xfId="0" applyNumberFormat="1" applyFont="1" applyFill="1" applyBorder="1" applyAlignment="1" applyProtection="1">
      <alignment horizontal="center" vertical="center" wrapText="1"/>
    </xf>
    <xf numFmtId="0" fontId="272" fillId="0" borderId="31" xfId="0" applyNumberFormat="1" applyFont="1" applyFill="1" applyBorder="1" applyAlignment="1" applyProtection="1">
      <alignment horizontal="center" vertical="center" wrapText="1"/>
      <protection locked="0"/>
    </xf>
    <xf numFmtId="0" fontId="153" fillId="5" borderId="6" xfId="0" applyNumberFormat="1" applyFont="1" applyFill="1" applyBorder="1" applyAlignment="1" applyProtection="1">
      <alignment horizontal="center" vertical="center" wrapText="1"/>
    </xf>
    <xf numFmtId="0" fontId="153" fillId="5" borderId="6" xfId="0" applyNumberFormat="1" applyFont="1" applyFill="1" applyBorder="1" applyAlignment="1" applyProtection="1">
      <alignment horizontal="left" vertical="center" wrapText="1"/>
    </xf>
    <xf numFmtId="0" fontId="153" fillId="5" borderId="7" xfId="0" applyNumberFormat="1" applyFont="1" applyFill="1" applyBorder="1" applyAlignment="1" applyProtection="1">
      <alignment horizontal="center" vertical="center" wrapText="1"/>
    </xf>
    <xf numFmtId="10" fontId="90" fillId="5" borderId="55" xfId="3" applyNumberFormat="1" applyFont="1" applyFill="1" applyBorder="1" applyAlignment="1" applyProtection="1">
      <alignment horizontal="center" vertical="center" wrapText="1"/>
    </xf>
    <xf numFmtId="0" fontId="276" fillId="0" borderId="10" xfId="0" applyNumberFormat="1" applyFont="1" applyFill="1" applyBorder="1" applyAlignment="1" applyProtection="1">
      <alignment horizontal="center" vertical="center" wrapText="1"/>
      <protection locked="0"/>
    </xf>
    <xf numFmtId="0" fontId="276" fillId="0" borderId="2" xfId="0" applyNumberFormat="1" applyFont="1" applyFill="1" applyBorder="1" applyAlignment="1" applyProtection="1">
      <alignment horizontal="center" vertical="center" wrapText="1"/>
      <protection locked="0"/>
    </xf>
    <xf numFmtId="178" fontId="162" fillId="0" borderId="2" xfId="3" applyNumberFormat="1" applyFont="1" applyFill="1" applyBorder="1" applyAlignment="1" applyProtection="1">
      <alignment horizontal="center" vertical="center"/>
      <protection locked="0"/>
    </xf>
    <xf numFmtId="182" fontId="153" fillId="5" borderId="0" xfId="0" applyNumberFormat="1" applyFont="1" applyFill="1" applyAlignment="1" applyProtection="1">
      <alignment horizontal="center" vertical="center"/>
      <protection locked="0"/>
    </xf>
    <xf numFmtId="0" fontId="162" fillId="5" borderId="12" xfId="0" applyFont="1" applyFill="1" applyBorder="1" applyAlignment="1" applyProtection="1">
      <alignment horizontal="left" vertical="center"/>
    </xf>
    <xf numFmtId="182" fontId="110" fillId="5" borderId="6" xfId="0" applyNumberFormat="1" applyFont="1" applyFill="1" applyBorder="1" applyAlignment="1" applyProtection="1">
      <alignment horizontal="center" vertical="center"/>
    </xf>
    <xf numFmtId="0" fontId="223" fillId="5" borderId="59" xfId="0" applyFont="1" applyFill="1" applyBorder="1" applyAlignment="1" applyProtection="1">
      <alignment horizontal="left" vertical="center" wrapText="1"/>
      <protection locked="0"/>
    </xf>
    <xf numFmtId="182" fontId="110" fillId="5" borderId="5" xfId="0" applyNumberFormat="1" applyFont="1" applyFill="1" applyBorder="1" applyAlignment="1" applyProtection="1">
      <alignment horizontal="center" vertical="center"/>
    </xf>
    <xf numFmtId="0" fontId="136" fillId="5" borderId="2" xfId="0" applyFont="1" applyFill="1" applyBorder="1" applyAlignment="1" applyProtection="1">
      <alignment horizontal="center" vertical="center"/>
      <protection locked="0"/>
    </xf>
    <xf numFmtId="9" fontId="110" fillId="5" borderId="2" xfId="0" applyNumberFormat="1" applyFont="1" applyFill="1" applyBorder="1" applyAlignment="1" applyProtection="1">
      <alignment horizontal="center" vertical="center"/>
      <protection locked="0"/>
    </xf>
    <xf numFmtId="0" fontId="110" fillId="5" borderId="2" xfId="0" applyFont="1" applyFill="1" applyBorder="1" applyAlignment="1" applyProtection="1">
      <alignment horizontal="center" vertical="center"/>
      <protection locked="0"/>
    </xf>
    <xf numFmtId="49" fontId="277" fillId="5" borderId="59" xfId="0" applyNumberFormat="1" applyFont="1" applyFill="1" applyBorder="1" applyAlignment="1" applyProtection="1"/>
    <xf numFmtId="0" fontId="153" fillId="2" borderId="2" xfId="0" applyFont="1" applyFill="1" applyBorder="1" applyAlignment="1" applyProtection="1">
      <alignment horizontal="center" vertical="center"/>
      <protection locked="0"/>
    </xf>
    <xf numFmtId="0" fontId="0" fillId="0" borderId="0" xfId="0" applyProtection="1">
      <alignment vertical="center"/>
    </xf>
    <xf numFmtId="0" fontId="278" fillId="5" borderId="2" xfId="0" applyFont="1" applyFill="1" applyBorder="1" applyProtection="1">
      <alignment vertical="center"/>
    </xf>
    <xf numFmtId="0" fontId="0" fillId="5" borderId="2" xfId="0" applyFill="1" applyBorder="1" applyProtection="1">
      <alignment vertical="center"/>
    </xf>
    <xf numFmtId="0" fontId="278" fillId="5" borderId="0" xfId="0" applyFont="1" applyFill="1" applyProtection="1">
      <alignment vertical="center"/>
    </xf>
    <xf numFmtId="0" fontId="278" fillId="5" borderId="2" xfId="0" applyFont="1" applyFill="1" applyBorder="1" applyAlignment="1" applyProtection="1">
      <alignment vertical="center" wrapText="1"/>
    </xf>
    <xf numFmtId="0" fontId="149" fillId="5" borderId="2" xfId="0" applyFont="1" applyFill="1" applyBorder="1" applyProtection="1">
      <alignment vertical="center"/>
    </xf>
    <xf numFmtId="0" fontId="0" fillId="5" borderId="2" xfId="0" applyFill="1" applyBorder="1" applyAlignment="1" applyProtection="1">
      <alignment horizontal="center" vertical="center"/>
    </xf>
    <xf numFmtId="0" fontId="171" fillId="0" borderId="2" xfId="0" applyFont="1" applyBorder="1" applyAlignment="1" applyProtection="1">
      <alignment horizontal="center" vertical="center"/>
      <protection locked="0"/>
    </xf>
    <xf numFmtId="49" fontId="90" fillId="14" borderId="2" xfId="10" applyNumberFormat="1" applyFont="1" applyFill="1" applyBorder="1" applyAlignment="1" applyProtection="1">
      <alignment horizontal="center" vertical="center" wrapText="1"/>
    </xf>
    <xf numFmtId="0" fontId="245" fillId="14" borderId="124" xfId="10" applyFont="1" applyFill="1" applyBorder="1" applyAlignment="1" applyProtection="1">
      <alignment horizontal="center" vertical="center" wrapText="1"/>
    </xf>
    <xf numFmtId="0" fontId="161" fillId="14" borderId="0" xfId="10" applyFont="1" applyFill="1">
      <alignment vertical="center"/>
    </xf>
    <xf numFmtId="0" fontId="161" fillId="14" borderId="0" xfId="10" applyFont="1" applyFill="1" applyAlignment="1">
      <alignment horizontal="center" vertical="center"/>
    </xf>
    <xf numFmtId="0" fontId="161" fillId="14" borderId="122" xfId="10" applyFont="1" applyFill="1" applyBorder="1" applyAlignment="1">
      <alignment horizontal="center" vertical="center"/>
    </xf>
    <xf numFmtId="0" fontId="156" fillId="14" borderId="0" xfId="10" applyFont="1" applyFill="1" applyAlignment="1">
      <alignment horizontal="center" vertical="center"/>
    </xf>
    <xf numFmtId="10" fontId="156" fillId="14" borderId="0" xfId="10" applyNumberFormat="1" applyFont="1" applyFill="1" applyAlignment="1">
      <alignment horizontal="center" vertical="center"/>
    </xf>
    <xf numFmtId="0" fontId="279" fillId="5" borderId="14" xfId="3" applyFont="1" applyFill="1" applyBorder="1" applyAlignment="1" applyProtection="1">
      <alignment horizontal="center" vertical="center"/>
    </xf>
    <xf numFmtId="0" fontId="110" fillId="5" borderId="0" xfId="0" applyFont="1" applyFill="1" applyAlignment="1" applyProtection="1">
      <alignment horizontal="center" vertical="center"/>
      <protection locked="0"/>
    </xf>
    <xf numFmtId="182" fontId="110" fillId="5" borderId="6" xfId="0" applyNumberFormat="1" applyFont="1" applyFill="1" applyBorder="1" applyAlignment="1" applyProtection="1">
      <alignment horizontal="center" vertical="center"/>
      <protection locked="0"/>
    </xf>
    <xf numFmtId="182" fontId="110" fillId="5" borderId="5" xfId="0" applyNumberFormat="1" applyFont="1" applyFill="1" applyBorder="1" applyAlignment="1" applyProtection="1">
      <alignment horizontal="center" vertical="center"/>
      <protection locked="0"/>
    </xf>
    <xf numFmtId="0" fontId="56" fillId="5" borderId="10" xfId="0" applyFont="1" applyFill="1" applyBorder="1" applyAlignment="1" applyProtection="1"/>
    <xf numFmtId="10" fontId="89" fillId="5" borderId="25" xfId="0" applyNumberFormat="1" applyFont="1" applyFill="1" applyBorder="1" applyAlignment="1" applyProtection="1">
      <alignment horizontal="center"/>
    </xf>
    <xf numFmtId="0" fontId="53" fillId="5" borderId="44" xfId="0" applyFont="1" applyFill="1" applyBorder="1" applyAlignment="1" applyProtection="1">
      <alignment horizontal="left" vertical="center"/>
    </xf>
    <xf numFmtId="0" fontId="102" fillId="6" borderId="0" xfId="0" applyFont="1" applyFill="1" applyAlignment="1" applyProtection="1">
      <alignment vertical="center"/>
      <protection locked="0"/>
    </xf>
    <xf numFmtId="0" fontId="136" fillId="5" borderId="11" xfId="0" applyFont="1" applyFill="1" applyBorder="1" applyAlignment="1" applyProtection="1">
      <alignment vertical="center"/>
    </xf>
    <xf numFmtId="0" fontId="161" fillId="0" borderId="0" xfId="10" applyFont="1" applyFill="1" applyBorder="1" applyAlignment="1" applyProtection="1">
      <alignment horizontal="center" vertical="center"/>
      <protection locked="0"/>
    </xf>
    <xf numFmtId="0" fontId="247" fillId="14" borderId="0" xfId="10" applyFont="1" applyFill="1" applyBorder="1" applyAlignment="1" applyProtection="1">
      <alignment horizontal="center" vertical="center"/>
      <protection locked="0"/>
    </xf>
    <xf numFmtId="0" fontId="157" fillId="0" borderId="43" xfId="0" applyFont="1" applyFill="1" applyBorder="1" applyAlignment="1" applyProtection="1">
      <alignment horizontal="center" vertical="center"/>
    </xf>
    <xf numFmtId="0" fontId="162" fillId="5" borderId="0" xfId="0" applyFont="1" applyFill="1" applyProtection="1">
      <alignment vertical="center"/>
    </xf>
    <xf numFmtId="0" fontId="245" fillId="12" borderId="123" xfId="10" applyFont="1" applyFill="1" applyBorder="1" applyAlignment="1" applyProtection="1">
      <alignment horizontal="center" vertical="center" wrapText="1"/>
    </xf>
    <xf numFmtId="0" fontId="245" fillId="12" borderId="123" xfId="10" applyFont="1" applyFill="1" applyBorder="1" applyAlignment="1" applyProtection="1">
      <alignment vertical="center" wrapText="1"/>
    </xf>
    <xf numFmtId="0" fontId="245" fillId="12" borderId="152" xfId="10" applyFont="1" applyFill="1" applyBorder="1" applyAlignment="1" applyProtection="1">
      <alignment vertical="center" wrapText="1"/>
    </xf>
    <xf numFmtId="0" fontId="161" fillId="16" borderId="0" xfId="10" applyFont="1" applyFill="1">
      <alignment vertical="center"/>
    </xf>
    <xf numFmtId="0" fontId="153" fillId="16" borderId="0" xfId="1" applyFont="1" applyFill="1" applyAlignment="1" applyProtection="1">
      <alignment horizontal="center" vertical="center"/>
    </xf>
    <xf numFmtId="0" fontId="21" fillId="16" borderId="0" xfId="1" applyFont="1" applyFill="1" applyAlignment="1" applyProtection="1">
      <alignment horizontal="center" vertical="center"/>
    </xf>
    <xf numFmtId="0" fontId="161" fillId="16" borderId="122" xfId="10" applyFont="1" applyFill="1" applyBorder="1" applyAlignment="1">
      <alignment horizontal="center" vertical="center"/>
    </xf>
    <xf numFmtId="0" fontId="161" fillId="16" borderId="0" xfId="10" applyFont="1" applyFill="1" applyBorder="1" applyAlignment="1">
      <alignment horizontal="center" vertical="center"/>
    </xf>
    <xf numFmtId="0" fontId="161" fillId="16" borderId="0" xfId="10" applyFont="1" applyFill="1" applyAlignment="1">
      <alignment horizontal="center" vertical="center"/>
    </xf>
    <xf numFmtId="0" fontId="156" fillId="16" borderId="0" xfId="10" applyFont="1" applyFill="1" applyAlignment="1">
      <alignment horizontal="center" vertical="center"/>
    </xf>
    <xf numFmtId="10" fontId="156" fillId="16" borderId="0" xfId="10" applyNumberFormat="1" applyFont="1" applyFill="1" applyAlignment="1">
      <alignment horizontal="center" vertical="center"/>
    </xf>
    <xf numFmtId="0" fontId="239" fillId="16" borderId="0" xfId="13" applyFont="1" applyFill="1">
      <alignment vertical="center"/>
    </xf>
    <xf numFmtId="0" fontId="161" fillId="0" borderId="0" xfId="13" applyFont="1" applyFill="1">
      <alignment vertical="center"/>
    </xf>
    <xf numFmtId="0" fontId="162" fillId="6" borderId="0" xfId="13" applyFont="1" applyFill="1">
      <alignment vertical="center"/>
    </xf>
    <xf numFmtId="0" fontId="247" fillId="16" borderId="0" xfId="13" applyFont="1" applyFill="1" applyBorder="1" applyAlignment="1" applyProtection="1">
      <alignment horizontal="center" vertical="center"/>
      <protection locked="0"/>
    </xf>
    <xf numFmtId="0" fontId="233" fillId="16" borderId="0" xfId="13" applyFont="1" applyFill="1">
      <alignment vertical="center"/>
    </xf>
    <xf numFmtId="0" fontId="22" fillId="6" borderId="21" xfId="0" applyFont="1" applyFill="1" applyBorder="1" applyAlignment="1" applyProtection="1">
      <alignment horizontal="left" vertical="center" wrapText="1"/>
      <protection locked="0"/>
    </xf>
    <xf numFmtId="185" fontId="161" fillId="12" borderId="120" xfId="13" applyNumberFormat="1" applyFont="1" applyFill="1" applyBorder="1" applyAlignment="1">
      <alignment horizontal="center" vertical="center" wrapText="1"/>
    </xf>
    <xf numFmtId="185" fontId="161" fillId="12" borderId="127" xfId="13" applyNumberFormat="1" applyFont="1" applyFill="1" applyBorder="1" applyAlignment="1">
      <alignment horizontal="center" vertical="center" wrapText="1"/>
    </xf>
    <xf numFmtId="0" fontId="80"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xf>
    <xf numFmtId="178" fontId="85" fillId="0" borderId="2" xfId="2" applyNumberFormat="1" applyFont="1" applyFill="1" applyBorder="1" applyAlignment="1" applyProtection="1">
      <alignment vertical="center"/>
      <protection locked="0"/>
    </xf>
    <xf numFmtId="0" fontId="36" fillId="8" borderId="0" xfId="0" applyFont="1" applyFill="1" applyAlignment="1" applyProtection="1">
      <alignment horizontal="left" vertical="center"/>
      <protection locked="0"/>
    </xf>
    <xf numFmtId="0" fontId="158" fillId="0" borderId="2" xfId="15" applyFont="1" applyBorder="1" applyAlignment="1">
      <alignment horizontal="center" vertical="center"/>
    </xf>
    <xf numFmtId="0" fontId="180" fillId="0" borderId="0" xfId="15" applyFont="1" applyAlignment="1">
      <alignment horizontal="center" vertical="center"/>
    </xf>
    <xf numFmtId="0" fontId="180" fillId="0" borderId="2" xfId="15" applyFont="1" applyBorder="1" applyAlignment="1">
      <alignment horizontal="center" vertical="center"/>
    </xf>
    <xf numFmtId="0" fontId="180" fillId="0" borderId="0" xfId="15" applyFont="1">
      <alignment vertical="center"/>
    </xf>
    <xf numFmtId="0" fontId="153" fillId="0" borderId="0" xfId="0" applyFont="1" applyAlignment="1">
      <alignment horizontal="center" vertical="center"/>
    </xf>
    <xf numFmtId="49" fontId="153" fillId="0" borderId="0" xfId="0" applyNumberFormat="1" applyFont="1" applyAlignment="1">
      <alignment horizontal="center" vertical="center"/>
    </xf>
    <xf numFmtId="0" fontId="149" fillId="0" borderId="0" xfId="0" applyFont="1">
      <alignment vertical="center"/>
    </xf>
    <xf numFmtId="0" fontId="153" fillId="0" borderId="2" xfId="0" applyFont="1" applyBorder="1" applyAlignment="1">
      <alignment horizontal="center" vertical="center"/>
    </xf>
    <xf numFmtId="49" fontId="153" fillId="0" borderId="2" xfId="0" applyNumberFormat="1" applyFont="1" applyBorder="1" applyAlignment="1">
      <alignment horizontal="center" vertical="center"/>
    </xf>
    <xf numFmtId="2" fontId="153" fillId="0" borderId="2" xfId="0" applyNumberFormat="1" applyFont="1" applyBorder="1" applyAlignment="1">
      <alignment horizontal="center" vertical="center"/>
    </xf>
    <xf numFmtId="9" fontId="153" fillId="0" borderId="2" xfId="0" applyNumberFormat="1" applyFont="1" applyBorder="1" applyAlignment="1">
      <alignment horizontal="center" vertical="center"/>
    </xf>
    <xf numFmtId="0" fontId="153" fillId="18" borderId="2" xfId="0" applyFont="1" applyFill="1" applyBorder="1" applyAlignment="1">
      <alignment horizontal="center" vertical="center"/>
    </xf>
    <xf numFmtId="49" fontId="153" fillId="18" borderId="2" xfId="0" applyNumberFormat="1" applyFont="1" applyFill="1" applyBorder="1" applyAlignment="1">
      <alignment horizontal="center" vertical="center"/>
    </xf>
    <xf numFmtId="2" fontId="153" fillId="18" borderId="2" xfId="0" applyNumberFormat="1" applyFont="1" applyFill="1" applyBorder="1" applyAlignment="1">
      <alignment horizontal="center" vertical="center"/>
    </xf>
    <xf numFmtId="9" fontId="153" fillId="18" borderId="2" xfId="0" applyNumberFormat="1" applyFont="1" applyFill="1" applyBorder="1" applyAlignment="1">
      <alignment horizontal="center" vertical="center"/>
    </xf>
    <xf numFmtId="0" fontId="153" fillId="0" borderId="10" xfId="0" applyFont="1" applyBorder="1" applyAlignment="1">
      <alignment horizontal="center" vertical="center"/>
    </xf>
    <xf numFmtId="49" fontId="153" fillId="0" borderId="10" xfId="0" applyNumberFormat="1" applyFont="1" applyBorder="1" applyAlignment="1">
      <alignment horizontal="center" vertical="center"/>
    </xf>
    <xf numFmtId="2" fontId="153" fillId="0" borderId="10" xfId="0" applyNumberFormat="1" applyFont="1" applyBorder="1" applyAlignment="1">
      <alignment horizontal="center" vertical="center"/>
    </xf>
    <xf numFmtId="9" fontId="153" fillId="0" borderId="10" xfId="0" applyNumberFormat="1" applyFont="1" applyBorder="1" applyAlignment="1">
      <alignment horizontal="center" vertical="center"/>
    </xf>
    <xf numFmtId="0" fontId="171" fillId="0" borderId="11" xfId="0" applyFont="1" applyBorder="1" applyAlignment="1">
      <alignment horizontal="center" vertical="center"/>
    </xf>
    <xf numFmtId="2" fontId="153" fillId="0" borderId="12" xfId="0" applyNumberFormat="1" applyFont="1" applyBorder="1" applyAlignment="1">
      <alignment horizontal="center" vertical="center"/>
    </xf>
    <xf numFmtId="0" fontId="171" fillId="18" borderId="11" xfId="0" applyFont="1" applyFill="1" applyBorder="1" applyAlignment="1">
      <alignment horizontal="center" vertical="center"/>
    </xf>
    <xf numFmtId="2" fontId="153" fillId="18" borderId="12" xfId="0" applyNumberFormat="1" applyFont="1" applyFill="1" applyBorder="1" applyAlignment="1">
      <alignment horizontal="center" vertical="center"/>
    </xf>
    <xf numFmtId="0" fontId="153" fillId="0" borderId="11" xfId="0" applyFont="1" applyBorder="1" applyAlignment="1">
      <alignment horizontal="center" vertical="center"/>
    </xf>
    <xf numFmtId="0" fontId="153" fillId="18" borderId="11" xfId="0" applyFont="1" applyFill="1" applyBorder="1" applyAlignment="1">
      <alignment horizontal="center" vertical="center"/>
    </xf>
    <xf numFmtId="0" fontId="171" fillId="0" borderId="22" xfId="0" applyFont="1" applyBorder="1" applyAlignment="1">
      <alignment horizontal="center" vertical="center"/>
    </xf>
    <xf numFmtId="2" fontId="153" fillId="0" borderId="25" xfId="0" applyNumberFormat="1" applyFont="1" applyBorder="1" applyAlignment="1">
      <alignment horizontal="center" vertical="center"/>
    </xf>
    <xf numFmtId="0" fontId="171" fillId="19" borderId="153" xfId="0" applyFont="1" applyFill="1" applyBorder="1" applyAlignment="1">
      <alignment horizontal="center" vertical="center"/>
    </xf>
    <xf numFmtId="0" fontId="153" fillId="19" borderId="154" xfId="0" applyFont="1" applyFill="1" applyBorder="1" applyAlignment="1">
      <alignment horizontal="center" vertical="center"/>
    </xf>
    <xf numFmtId="49" fontId="153" fillId="19" borderId="154" xfId="0" applyNumberFormat="1" applyFont="1" applyFill="1" applyBorder="1" applyAlignment="1">
      <alignment horizontal="center" vertical="center"/>
    </xf>
    <xf numFmtId="2" fontId="153" fillId="19" borderId="154" xfId="0" applyNumberFormat="1" applyFont="1" applyFill="1" applyBorder="1" applyAlignment="1">
      <alignment horizontal="center" vertical="center"/>
    </xf>
    <xf numFmtId="2" fontId="153" fillId="19" borderId="155" xfId="0" applyNumberFormat="1" applyFont="1" applyFill="1" applyBorder="1" applyAlignment="1">
      <alignment horizontal="center" vertical="center"/>
    </xf>
    <xf numFmtId="0" fontId="171" fillId="0" borderId="50" xfId="0" applyFont="1" applyBorder="1" applyAlignment="1">
      <alignment horizontal="center" vertical="center"/>
    </xf>
    <xf numFmtId="0" fontId="153" fillId="0" borderId="21" xfId="0" applyFont="1" applyBorder="1" applyAlignment="1">
      <alignment horizontal="center" vertical="center"/>
    </xf>
    <xf numFmtId="49" fontId="153" fillId="0" borderId="21" xfId="0" applyNumberFormat="1" applyFont="1" applyBorder="1" applyAlignment="1">
      <alignment horizontal="center" vertical="center"/>
    </xf>
    <xf numFmtId="2" fontId="153" fillId="0" borderId="21" xfId="0" applyNumberFormat="1" applyFont="1" applyBorder="1" applyAlignment="1">
      <alignment horizontal="center" vertical="center"/>
    </xf>
    <xf numFmtId="1" fontId="153" fillId="0" borderId="21" xfId="0" applyNumberFormat="1" applyFont="1" applyBorder="1" applyAlignment="1">
      <alignment horizontal="center" vertical="center"/>
    </xf>
    <xf numFmtId="9" fontId="153" fillId="0" borderId="21" xfId="0" applyNumberFormat="1" applyFont="1" applyBorder="1" applyAlignment="1">
      <alignment horizontal="center" vertical="center"/>
    </xf>
    <xf numFmtId="2" fontId="153" fillId="0" borderId="51" xfId="0" applyNumberFormat="1" applyFont="1" applyBorder="1" applyAlignment="1">
      <alignment horizontal="center" vertical="center"/>
    </xf>
    <xf numFmtId="0" fontId="282" fillId="0" borderId="2" xfId="15" applyFont="1" applyBorder="1" applyAlignment="1">
      <alignment horizontal="center" vertical="center"/>
    </xf>
    <xf numFmtId="0" fontId="284" fillId="0" borderId="0" xfId="16">
      <alignment vertical="center"/>
    </xf>
    <xf numFmtId="0" fontId="0" fillId="0" borderId="2" xfId="0" applyBorder="1" applyAlignment="1">
      <alignment horizontal="center" vertical="center"/>
    </xf>
    <xf numFmtId="0" fontId="149" fillId="0" borderId="2" xfId="0" applyFont="1" applyBorder="1">
      <alignment vertical="center"/>
    </xf>
    <xf numFmtId="0" fontId="149" fillId="0" borderId="2" xfId="0" applyFont="1" applyBorder="1" applyAlignment="1">
      <alignment horizontal="center" vertical="center"/>
    </xf>
    <xf numFmtId="2" fontId="149"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2" fontId="0" fillId="0" borderId="2" xfId="0" applyNumberFormat="1" applyBorder="1" applyAlignment="1">
      <alignment horizontal="center" vertical="center"/>
    </xf>
    <xf numFmtId="0" fontId="150" fillId="6" borderId="0" xfId="0" applyFont="1" applyFill="1">
      <alignment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171" fillId="0" borderId="2" xfId="0" applyFont="1" applyBorder="1" applyAlignment="1">
      <alignment horizontal="center" vertical="center"/>
    </xf>
    <xf numFmtId="0" fontId="149" fillId="0" borderId="2"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180" fontId="153" fillId="16" borderId="0" xfId="0" applyNumberFormat="1" applyFont="1" applyFill="1" applyAlignment="1">
      <alignment horizontal="center"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0" fillId="15" borderId="0" xfId="0" applyFill="1">
      <alignment vertical="center"/>
    </xf>
    <xf numFmtId="0" fontId="0" fillId="8" borderId="0" xfId="0" applyFill="1">
      <alignment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47" fillId="0" borderId="0" xfId="19" applyFont="1" applyAlignment="1">
      <alignment horizontal="center" vertical="center" wrapText="1"/>
    </xf>
    <xf numFmtId="0" fontId="47" fillId="0" borderId="0" xfId="19" applyFont="1" applyAlignment="1">
      <alignment vertical="center"/>
    </xf>
    <xf numFmtId="0" fontId="288" fillId="0" borderId="0" xfId="19" applyFont="1" applyAlignment="1">
      <alignment vertical="center"/>
    </xf>
    <xf numFmtId="177" fontId="47" fillId="0" borderId="0" xfId="19" applyNumberFormat="1" applyFont="1" applyAlignment="1">
      <alignment horizontal="center" vertical="center"/>
    </xf>
    <xf numFmtId="0" fontId="47" fillId="0" borderId="0" xfId="19" applyNumberFormat="1" applyFont="1" applyAlignment="1">
      <alignment horizontal="center" vertical="center"/>
    </xf>
    <xf numFmtId="0" fontId="131" fillId="0" borderId="0" xfId="19" applyNumberFormat="1" applyFont="1" applyAlignment="1">
      <alignment horizontal="right" vertical="center"/>
    </xf>
    <xf numFmtId="0" fontId="47" fillId="0" borderId="0" xfId="19" applyFont="1" applyAlignment="1">
      <alignment horizontal="right" vertical="center"/>
    </xf>
    <xf numFmtId="0" fontId="131" fillId="0" borderId="0" xfId="19" applyFont="1" applyAlignment="1">
      <alignment horizontal="right" vertical="center"/>
    </xf>
    <xf numFmtId="0" fontId="47" fillId="0" borderId="0" xfId="19" applyFont="1" applyAlignment="1">
      <alignment horizontal="center" vertical="center"/>
    </xf>
    <xf numFmtId="0" fontId="131" fillId="0" borderId="2" xfId="19" applyFont="1" applyBorder="1" applyAlignment="1">
      <alignment horizontal="center" vertical="center"/>
    </xf>
    <xf numFmtId="0" fontId="131" fillId="0" borderId="157" xfId="19" applyFont="1" applyBorder="1" applyAlignment="1">
      <alignment horizontal="center" vertical="center"/>
    </xf>
    <xf numFmtId="0" fontId="131" fillId="0" borderId="9" xfId="19" applyFont="1" applyBorder="1" applyAlignment="1">
      <alignment horizontal="center" vertical="center"/>
    </xf>
    <xf numFmtId="0" fontId="47" fillId="0" borderId="2" xfId="19" applyFont="1" applyBorder="1" applyAlignment="1">
      <alignment horizontal="center" vertical="center"/>
    </xf>
    <xf numFmtId="14" fontId="7" fillId="0" borderId="158" xfId="19" applyNumberFormat="1" applyFont="1" applyBorder="1" applyAlignment="1">
      <alignment horizontal="right" vertical="center" wrapText="1"/>
    </xf>
    <xf numFmtId="4" fontId="7" fillId="0" borderId="158" xfId="19" applyNumberFormat="1" applyFont="1" applyBorder="1" applyAlignment="1">
      <alignment horizontal="right" vertical="center" wrapText="1"/>
    </xf>
    <xf numFmtId="0" fontId="47" fillId="8" borderId="2" xfId="19" applyFont="1" applyFill="1" applyBorder="1" applyAlignment="1">
      <alignment horizontal="center" vertical="center"/>
    </xf>
    <xf numFmtId="0" fontId="7" fillId="8" borderId="158" xfId="19" applyFont="1" applyFill="1" applyBorder="1" applyAlignment="1">
      <alignment vertical="center" wrapText="1"/>
    </xf>
    <xf numFmtId="4" fontId="7" fillId="8" borderId="2" xfId="19" applyNumberFormat="1" applyFont="1" applyFill="1" applyBorder="1" applyAlignment="1">
      <alignment horizontal="right" vertical="center" wrapText="1"/>
    </xf>
    <xf numFmtId="0" fontId="131" fillId="8" borderId="2" xfId="19" applyFont="1" applyFill="1" applyBorder="1" applyAlignment="1">
      <alignment horizontal="center" vertical="center"/>
    </xf>
    <xf numFmtId="0" fontId="47" fillId="8" borderId="0" xfId="19" applyFont="1" applyFill="1" applyAlignment="1">
      <alignment horizontal="center" vertical="center"/>
    </xf>
    <xf numFmtId="2" fontId="7" fillId="0" borderId="158" xfId="19" applyNumberFormat="1" applyFont="1" applyBorder="1" applyAlignment="1">
      <alignment horizontal="right" vertical="center" wrapText="1"/>
    </xf>
    <xf numFmtId="2" fontId="7" fillId="8" borderId="158" xfId="19" applyNumberFormat="1" applyFont="1" applyFill="1" applyBorder="1" applyAlignment="1">
      <alignment horizontal="right" vertical="center" wrapText="1"/>
    </xf>
    <xf numFmtId="4" fontId="7" fillId="8" borderId="158" xfId="19" applyNumberFormat="1" applyFont="1" applyFill="1" applyBorder="1" applyAlignment="1">
      <alignment horizontal="right" vertical="center" wrapText="1"/>
    </xf>
    <xf numFmtId="0" fontId="47" fillId="0" borderId="10" xfId="19" applyFont="1" applyBorder="1" applyAlignment="1">
      <alignment horizontal="center" vertical="center"/>
    </xf>
    <xf numFmtId="14" fontId="7" fillId="0" borderId="159" xfId="19" applyNumberFormat="1" applyFont="1" applyBorder="1" applyAlignment="1">
      <alignment horizontal="right" vertical="center" wrapText="1"/>
    </xf>
    <xf numFmtId="4" fontId="7" fillId="0" borderId="159" xfId="19" applyNumberFormat="1" applyFont="1" applyBorder="1" applyAlignment="1">
      <alignment horizontal="right" vertical="center" wrapText="1"/>
    </xf>
    <xf numFmtId="0" fontId="131" fillId="0" borderId="10" xfId="19" applyFont="1" applyBorder="1" applyAlignment="1">
      <alignment horizontal="center" vertical="center"/>
    </xf>
    <xf numFmtId="0" fontId="47" fillId="0" borderId="2" xfId="19" applyFont="1" applyFill="1" applyBorder="1" applyAlignment="1">
      <alignment horizontal="center" vertical="center"/>
    </xf>
    <xf numFmtId="14" fontId="7" fillId="0" borderId="2" xfId="19" applyNumberFormat="1" applyFont="1" applyFill="1" applyBorder="1" applyAlignment="1">
      <alignment horizontal="right" vertical="center" wrapText="1"/>
    </xf>
    <xf numFmtId="4" fontId="7" fillId="0" borderId="2" xfId="19" applyNumberFormat="1" applyFont="1" applyFill="1" applyBorder="1" applyAlignment="1">
      <alignment horizontal="right" vertical="center" wrapText="1"/>
    </xf>
    <xf numFmtId="0" fontId="131" fillId="0" borderId="2" xfId="19" applyFont="1" applyFill="1" applyBorder="1" applyAlignment="1">
      <alignment horizontal="center" vertical="center"/>
    </xf>
    <xf numFmtId="0" fontId="47" fillId="0" borderId="0" xfId="19" applyFont="1" applyFill="1" applyAlignment="1">
      <alignment horizontal="center" vertical="center"/>
    </xf>
    <xf numFmtId="14" fontId="47" fillId="0" borderId="0" xfId="19" applyNumberFormat="1" applyFont="1" applyFill="1" applyAlignment="1">
      <alignment horizontal="center" vertical="center"/>
    </xf>
    <xf numFmtId="14" fontId="47" fillId="0" borderId="2" xfId="19" applyNumberFormat="1" applyFont="1" applyFill="1" applyBorder="1" applyAlignment="1">
      <alignment horizontal="center" vertical="center" shrinkToFit="1"/>
    </xf>
    <xf numFmtId="43" fontId="47" fillId="0" borderId="2" xfId="19" applyNumberFormat="1" applyFont="1" applyFill="1" applyBorder="1" applyAlignment="1">
      <alignment horizontal="right" vertical="center"/>
    </xf>
    <xf numFmtId="0" fontId="47" fillId="0" borderId="2" xfId="19" applyFont="1" applyFill="1" applyBorder="1" applyAlignment="1">
      <alignment vertical="center"/>
    </xf>
    <xf numFmtId="0" fontId="47" fillId="0" borderId="0" xfId="19" applyFont="1" applyFill="1" applyAlignment="1">
      <alignment vertical="center"/>
    </xf>
    <xf numFmtId="14" fontId="47" fillId="0" borderId="2" xfId="19" applyNumberFormat="1" applyFont="1" applyBorder="1" applyAlignment="1">
      <alignment horizontal="center" vertical="center" shrinkToFit="1"/>
    </xf>
    <xf numFmtId="43" fontId="47" fillId="0" borderId="2" xfId="19" applyNumberFormat="1" applyFont="1" applyBorder="1" applyAlignment="1">
      <alignment horizontal="right" vertical="center"/>
    </xf>
    <xf numFmtId="0" fontId="47" fillId="0" borderId="2" xfId="19" applyNumberFormat="1" applyFont="1" applyBorder="1" applyAlignment="1">
      <alignment horizontal="center" vertical="center"/>
    </xf>
    <xf numFmtId="0" fontId="47" fillId="0" borderId="2" xfId="19" applyFont="1" applyBorder="1" applyAlignment="1">
      <alignment vertical="center"/>
    </xf>
    <xf numFmtId="43" fontId="47" fillId="0" borderId="9" xfId="19" applyNumberFormat="1" applyFont="1" applyBorder="1" applyAlignment="1">
      <alignment horizontal="right" vertical="center"/>
    </xf>
    <xf numFmtId="43" fontId="47" fillId="0" borderId="157" xfId="19" applyNumberFormat="1" applyFont="1" applyBorder="1" applyAlignment="1">
      <alignment horizontal="right" vertical="center"/>
    </xf>
    <xf numFmtId="43" fontId="47" fillId="0" borderId="0" xfId="19" applyNumberFormat="1" applyFont="1" applyAlignment="1">
      <alignment vertical="center"/>
    </xf>
    <xf numFmtId="195" fontId="286" fillId="8" borderId="0" xfId="18" applyNumberFormat="1" applyFont="1" applyFill="1" applyAlignment="1" applyProtection="1">
      <alignment horizontal="left" vertical="center" shrinkToFit="1"/>
      <protection locked="0" hidden="1"/>
    </xf>
    <xf numFmtId="0" fontId="286" fillId="8" borderId="0" xfId="18" applyFont="1" applyFill="1" applyAlignment="1" applyProtection="1">
      <alignment horizontal="left" vertical="center" wrapText="1"/>
    </xf>
    <xf numFmtId="0" fontId="47" fillId="8" borderId="0" xfId="19" applyFont="1" applyFill="1" applyAlignment="1">
      <alignment horizontal="center" vertical="center" wrapText="1"/>
    </xf>
    <xf numFmtId="177" fontId="47" fillId="8" borderId="0" xfId="19" applyNumberFormat="1" applyFont="1" applyFill="1" applyAlignment="1">
      <alignment horizontal="center" vertical="center"/>
    </xf>
    <xf numFmtId="177" fontId="47" fillId="8" borderId="0" xfId="19" applyNumberFormat="1" applyFont="1" applyFill="1" applyAlignment="1">
      <alignment vertical="center"/>
    </xf>
    <xf numFmtId="0" fontId="47" fillId="8" borderId="0" xfId="19" applyFont="1" applyFill="1" applyAlignment="1">
      <alignment vertical="center"/>
    </xf>
    <xf numFmtId="0" fontId="47" fillId="8" borderId="0" xfId="19" applyFont="1" applyFill="1" applyAlignment="1">
      <alignment horizontal="right" vertical="center"/>
    </xf>
    <xf numFmtId="0" fontId="131" fillId="8" borderId="2" xfId="20" applyFont="1" applyFill="1" applyBorder="1" applyAlignment="1">
      <alignment horizontal="center" vertical="center"/>
    </xf>
    <xf numFmtId="0" fontId="47" fillId="8" borderId="10" xfId="19" applyFont="1" applyFill="1" applyBorder="1" applyAlignment="1">
      <alignment horizontal="center" vertical="center"/>
    </xf>
    <xf numFmtId="0" fontId="7" fillId="8" borderId="159" xfId="19" applyFont="1" applyFill="1" applyBorder="1" applyAlignment="1">
      <alignment vertical="center" wrapText="1"/>
    </xf>
    <xf numFmtId="0" fontId="131" fillId="8" borderId="10" xfId="20" applyFont="1" applyFill="1" applyBorder="1" applyAlignment="1">
      <alignment horizontal="center" vertical="center"/>
    </xf>
    <xf numFmtId="0" fontId="7" fillId="8" borderId="2" xfId="19" applyFont="1" applyFill="1" applyBorder="1" applyAlignment="1">
      <alignment vertical="center" wrapText="1"/>
    </xf>
    <xf numFmtId="0" fontId="47" fillId="8" borderId="2" xfId="20" applyFont="1" applyFill="1" applyBorder="1" applyAlignment="1">
      <alignment horizontal="center" vertical="center"/>
    </xf>
    <xf numFmtId="0" fontId="47" fillId="8" borderId="0" xfId="19" applyNumberFormat="1" applyFont="1" applyFill="1" applyAlignment="1">
      <alignment vertical="center"/>
    </xf>
    <xf numFmtId="43" fontId="47" fillId="8" borderId="0" xfId="19" applyNumberFormat="1" applyFont="1" applyFill="1" applyAlignment="1">
      <alignment vertical="center"/>
    </xf>
    <xf numFmtId="0" fontId="47" fillId="23" borderId="2" xfId="19" applyFont="1" applyFill="1" applyBorder="1" applyAlignment="1">
      <alignment horizontal="center" vertical="center"/>
    </xf>
    <xf numFmtId="0" fontId="7" fillId="23" borderId="158" xfId="19" applyFont="1" applyFill="1" applyBorder="1" applyAlignment="1">
      <alignment vertical="center" wrapText="1"/>
    </xf>
    <xf numFmtId="0" fontId="131" fillId="23" borderId="2" xfId="20" applyFont="1" applyFill="1" applyBorder="1" applyAlignment="1">
      <alignment horizontal="center" vertical="center"/>
    </xf>
    <xf numFmtId="14" fontId="7" fillId="23" borderId="158" xfId="19" applyNumberFormat="1" applyFont="1" applyFill="1" applyBorder="1" applyAlignment="1">
      <alignment horizontal="right" vertical="center" wrapText="1"/>
    </xf>
    <xf numFmtId="4" fontId="7" fillId="23" borderId="158" xfId="19" applyNumberFormat="1" applyFont="1" applyFill="1" applyBorder="1" applyAlignment="1">
      <alignment horizontal="right" vertical="center" wrapText="1"/>
    </xf>
    <xf numFmtId="0" fontId="131" fillId="23" borderId="2" xfId="19" applyFont="1" applyFill="1" applyBorder="1" applyAlignment="1">
      <alignment horizontal="center" vertical="center"/>
    </xf>
    <xf numFmtId="0" fontId="47" fillId="23" borderId="0" xfId="19" applyFont="1" applyFill="1" applyAlignment="1">
      <alignment horizontal="center" vertical="center"/>
    </xf>
    <xf numFmtId="0" fontId="47" fillId="21" borderId="2" xfId="19" applyFont="1" applyFill="1" applyBorder="1" applyAlignment="1">
      <alignment horizontal="center" vertical="center"/>
    </xf>
    <xf numFmtId="0" fontId="7" fillId="21" borderId="158" xfId="19" applyFont="1" applyFill="1" applyBorder="1" applyAlignment="1">
      <alignment vertical="center" wrapText="1"/>
    </xf>
    <xf numFmtId="0" fontId="131" fillId="21" borderId="2" xfId="20" applyFont="1" applyFill="1" applyBorder="1" applyAlignment="1">
      <alignment horizontal="center" vertical="center"/>
    </xf>
    <xf numFmtId="14" fontId="7" fillId="21" borderId="158" xfId="19" applyNumberFormat="1" applyFont="1" applyFill="1" applyBorder="1" applyAlignment="1">
      <alignment horizontal="right" vertical="center" wrapText="1"/>
    </xf>
    <xf numFmtId="4" fontId="7" fillId="21" borderId="158" xfId="19" applyNumberFormat="1" applyFont="1" applyFill="1" applyBorder="1" applyAlignment="1">
      <alignment horizontal="right" vertical="center" wrapText="1"/>
    </xf>
    <xf numFmtId="0" fontId="131" fillId="21" borderId="2" xfId="19" applyFont="1" applyFill="1" applyBorder="1" applyAlignment="1">
      <alignment horizontal="center" vertical="center"/>
    </xf>
    <xf numFmtId="0" fontId="47" fillId="21" borderId="0" xfId="19" applyFont="1" applyFill="1" applyAlignment="1">
      <alignment horizontal="center" vertical="center"/>
    </xf>
    <xf numFmtId="2" fontId="7" fillId="21" borderId="158" xfId="19" applyNumberFormat="1" applyFont="1" applyFill="1" applyBorder="1" applyAlignment="1">
      <alignment horizontal="right" vertical="center" wrapText="1"/>
    </xf>
    <xf numFmtId="0" fontId="47" fillId="19" borderId="2" xfId="19" applyFont="1" applyFill="1" applyBorder="1" applyAlignment="1">
      <alignment horizontal="center" vertical="center"/>
    </xf>
    <xf numFmtId="0" fontId="7" fillId="19" borderId="158" xfId="19" applyFont="1" applyFill="1" applyBorder="1" applyAlignment="1">
      <alignment vertical="center" wrapText="1"/>
    </xf>
    <xf numFmtId="0" fontId="131" fillId="19" borderId="2" xfId="20" applyFont="1" applyFill="1" applyBorder="1" applyAlignment="1">
      <alignment horizontal="center" vertical="center"/>
    </xf>
    <xf numFmtId="14" fontId="7" fillId="19" borderId="158" xfId="19" applyNumberFormat="1" applyFont="1" applyFill="1" applyBorder="1" applyAlignment="1">
      <alignment horizontal="right" vertical="center" wrapText="1"/>
    </xf>
    <xf numFmtId="4" fontId="7" fillId="19" borderId="2" xfId="19" applyNumberFormat="1" applyFont="1" applyFill="1" applyBorder="1" applyAlignment="1">
      <alignment horizontal="right" vertical="center" wrapText="1"/>
    </xf>
    <xf numFmtId="0" fontId="131" fillId="19" borderId="2" xfId="19" applyFont="1" applyFill="1" applyBorder="1" applyAlignment="1">
      <alignment horizontal="center" vertical="center"/>
    </xf>
    <xf numFmtId="0" fontId="47" fillId="19" borderId="0" xfId="19" applyFont="1" applyFill="1" applyAlignment="1">
      <alignment horizontal="center" vertical="center"/>
    </xf>
    <xf numFmtId="4" fontId="7" fillId="19" borderId="158" xfId="19" applyNumberFormat="1" applyFont="1" applyFill="1" applyBorder="1" applyAlignment="1">
      <alignment horizontal="right" vertical="center" wrapText="1"/>
    </xf>
    <xf numFmtId="0" fontId="47" fillId="20" borderId="2" xfId="19" applyFont="1" applyFill="1" applyBorder="1" applyAlignment="1">
      <alignment horizontal="center" vertical="center"/>
    </xf>
    <xf numFmtId="0" fontId="7" fillId="20" borderId="158" xfId="19" applyFont="1" applyFill="1" applyBorder="1" applyAlignment="1">
      <alignment vertical="center" wrapText="1"/>
    </xf>
    <xf numFmtId="0" fontId="131" fillId="20" borderId="2" xfId="20" applyFont="1" applyFill="1" applyBorder="1" applyAlignment="1">
      <alignment horizontal="center" vertical="center"/>
    </xf>
    <xf numFmtId="14" fontId="7" fillId="20" borderId="158" xfId="19" applyNumberFormat="1" applyFont="1" applyFill="1" applyBorder="1" applyAlignment="1">
      <alignment horizontal="right" vertical="center" wrapText="1"/>
    </xf>
    <xf numFmtId="4" fontId="7" fillId="20" borderId="158" xfId="19" applyNumberFormat="1" applyFont="1" applyFill="1" applyBorder="1" applyAlignment="1">
      <alignment horizontal="right" vertical="center" wrapText="1"/>
    </xf>
    <xf numFmtId="0" fontId="131" fillId="20" borderId="2" xfId="19" applyFont="1" applyFill="1" applyBorder="1" applyAlignment="1">
      <alignment horizontal="center" vertical="center"/>
    </xf>
    <xf numFmtId="0" fontId="47" fillId="20" borderId="0" xfId="19" applyFont="1" applyFill="1" applyAlignment="1">
      <alignment horizontal="center" vertical="center"/>
    </xf>
    <xf numFmtId="0" fontId="47" fillId="14" borderId="2" xfId="19" applyFont="1" applyFill="1" applyBorder="1" applyAlignment="1">
      <alignment horizontal="center" vertical="center"/>
    </xf>
    <xf numFmtId="0" fontId="7" fillId="14" borderId="158" xfId="19" applyFont="1" applyFill="1" applyBorder="1" applyAlignment="1">
      <alignment vertical="center" wrapText="1"/>
    </xf>
    <xf numFmtId="0" fontId="131" fillId="14" borderId="2" xfId="20" applyFont="1" applyFill="1" applyBorder="1" applyAlignment="1">
      <alignment horizontal="center" vertical="center"/>
    </xf>
    <xf numFmtId="14" fontId="7" fillId="14" borderId="158" xfId="19" applyNumberFormat="1" applyFont="1" applyFill="1" applyBorder="1" applyAlignment="1">
      <alignment horizontal="right" vertical="center" wrapText="1"/>
    </xf>
    <xf numFmtId="4" fontId="7" fillId="14" borderId="158" xfId="19" applyNumberFormat="1" applyFont="1" applyFill="1" applyBorder="1" applyAlignment="1">
      <alignment horizontal="right" vertical="center" wrapText="1"/>
    </xf>
    <xf numFmtId="0" fontId="131" fillId="14" borderId="2" xfId="19" applyFont="1" applyFill="1" applyBorder="1" applyAlignment="1">
      <alignment horizontal="center" vertical="center"/>
    </xf>
    <xf numFmtId="0" fontId="47" fillId="14" borderId="0" xfId="19" applyFont="1" applyFill="1" applyAlignment="1">
      <alignment horizontal="center" vertical="center"/>
    </xf>
    <xf numFmtId="0" fontId="47" fillId="15" borderId="2" xfId="19" applyFont="1" applyFill="1" applyBorder="1" applyAlignment="1">
      <alignment horizontal="center" vertical="center"/>
    </xf>
    <xf numFmtId="0" fontId="7" fillId="15" borderId="158" xfId="19" applyFont="1" applyFill="1" applyBorder="1" applyAlignment="1">
      <alignment vertical="center" wrapText="1"/>
    </xf>
    <xf numFmtId="0" fontId="131" fillId="15" borderId="2" xfId="20" applyFont="1" applyFill="1" applyBorder="1" applyAlignment="1">
      <alignment horizontal="center" vertical="center"/>
    </xf>
    <xf numFmtId="14" fontId="7" fillId="15" borderId="158" xfId="19" applyNumberFormat="1" applyFont="1" applyFill="1" applyBorder="1" applyAlignment="1">
      <alignment horizontal="right" vertical="center" wrapText="1"/>
    </xf>
    <xf numFmtId="4" fontId="7" fillId="15" borderId="158" xfId="19" applyNumberFormat="1" applyFont="1" applyFill="1" applyBorder="1" applyAlignment="1">
      <alignment horizontal="right" vertical="center" wrapText="1"/>
    </xf>
    <xf numFmtId="0" fontId="131" fillId="15" borderId="2" xfId="19" applyFont="1" applyFill="1" applyBorder="1" applyAlignment="1">
      <alignment horizontal="center" vertical="center"/>
    </xf>
    <xf numFmtId="0" fontId="47" fillId="15" borderId="0" xfId="19" applyFont="1" applyFill="1" applyAlignment="1">
      <alignment horizontal="center" vertical="center"/>
    </xf>
    <xf numFmtId="0" fontId="149" fillId="0" borderId="0" xfId="0" applyFont="1" applyAlignment="1">
      <alignment horizontal="left" vertical="center"/>
    </xf>
    <xf numFmtId="0" fontId="149" fillId="0" borderId="2" xfId="0" applyFont="1" applyBorder="1" applyAlignment="1">
      <alignment horizontal="left" vertical="center"/>
    </xf>
    <xf numFmtId="0" fontId="0" fillId="0" borderId="2" xfId="0" applyBorder="1" applyAlignment="1">
      <alignment horizontal="left" vertical="center"/>
    </xf>
    <xf numFmtId="0" fontId="149" fillId="19" borderId="2" xfId="0" applyFont="1" applyFill="1" applyBorder="1" applyAlignment="1">
      <alignment horizontal="left" vertical="center"/>
    </xf>
    <xf numFmtId="0" fontId="149" fillId="3" borderId="0" xfId="1" applyFill="1" applyAlignment="1">
      <alignment horizontal="center" vertical="center"/>
    </xf>
    <xf numFmtId="177" fontId="290" fillId="3" borderId="2" xfId="3" applyNumberFormat="1" applyFont="1" applyFill="1" applyBorder="1" applyAlignment="1">
      <alignment horizontal="center" vertical="center" wrapText="1" readingOrder="1"/>
    </xf>
    <xf numFmtId="177" fontId="290" fillId="9" borderId="2" xfId="3" applyNumberFormat="1" applyFont="1" applyFill="1" applyBorder="1" applyAlignment="1">
      <alignment horizontal="center" vertical="center" wrapText="1" readingOrder="1"/>
    </xf>
    <xf numFmtId="0" fontId="290" fillId="3" borderId="10" xfId="3" applyFont="1" applyFill="1" applyBorder="1" applyAlignment="1">
      <alignment vertical="center" wrapText="1" readingOrder="1"/>
    </xf>
    <xf numFmtId="0" fontId="205" fillId="0" borderId="0" xfId="1" applyFont="1" applyFill="1" applyAlignment="1">
      <alignment horizontal="center" vertical="center"/>
    </xf>
    <xf numFmtId="0" fontId="205" fillId="0" borderId="2" xfId="1" applyFont="1" applyFill="1" applyBorder="1" applyAlignment="1">
      <alignment horizontal="center" vertical="center" wrapText="1" readingOrder="1"/>
    </xf>
    <xf numFmtId="177" fontId="86" fillId="0" borderId="2" xfId="1" applyNumberFormat="1" applyFont="1" applyFill="1" applyBorder="1" applyAlignment="1">
      <alignment horizontal="center" vertical="center" wrapText="1" readingOrder="1"/>
    </xf>
    <xf numFmtId="177" fontId="86" fillId="0" borderId="5" xfId="1" applyNumberFormat="1" applyFont="1" applyFill="1" applyBorder="1" applyAlignment="1">
      <alignment horizontal="left" vertical="center" wrapText="1" readingOrder="1"/>
    </xf>
    <xf numFmtId="177" fontId="131" fillId="0" borderId="2" xfId="1" applyNumberFormat="1" applyFont="1" applyFill="1" applyBorder="1" applyAlignment="1">
      <alignment horizontal="center" vertical="center" wrapText="1" readingOrder="1"/>
    </xf>
    <xf numFmtId="177" fontId="131" fillId="0" borderId="2" xfId="1" applyNumberFormat="1" applyFont="1" applyFill="1" applyBorder="1" applyAlignment="1">
      <alignment horizontal="left" vertical="center" wrapText="1" readingOrder="1"/>
    </xf>
    <xf numFmtId="0" fontId="205" fillId="0" borderId="2" xfId="1" applyFont="1" applyFill="1" applyBorder="1" applyAlignment="1">
      <alignment horizontal="center" vertical="center"/>
    </xf>
    <xf numFmtId="177" fontId="205" fillId="0" borderId="2" xfId="1" applyNumberFormat="1" applyFont="1" applyFill="1" applyBorder="1" applyAlignment="1">
      <alignment horizontal="center" vertical="center"/>
    </xf>
    <xf numFmtId="0" fontId="131" fillId="9" borderId="0" xfId="1" applyFont="1" applyFill="1" applyAlignment="1">
      <alignment horizontal="center" vertical="center"/>
    </xf>
    <xf numFmtId="0" fontId="131" fillId="9" borderId="2" xfId="1" applyFont="1" applyFill="1" applyBorder="1" applyAlignment="1">
      <alignment horizontal="center" vertical="center" wrapText="1" readingOrder="1"/>
    </xf>
    <xf numFmtId="177" fontId="131" fillId="9" borderId="2" xfId="1" applyNumberFormat="1" applyFont="1" applyFill="1" applyBorder="1" applyAlignment="1">
      <alignment horizontal="center" vertical="center" wrapText="1" readingOrder="1"/>
    </xf>
    <xf numFmtId="177" fontId="131" fillId="9" borderId="5" xfId="1" applyNumberFormat="1" applyFont="1" applyFill="1" applyBorder="1" applyAlignment="1">
      <alignment horizontal="left" vertical="center" wrapText="1" readingOrder="1"/>
    </xf>
    <xf numFmtId="177" fontId="131" fillId="9" borderId="2" xfId="1" applyNumberFormat="1" applyFont="1" applyFill="1" applyBorder="1" applyAlignment="1">
      <alignment horizontal="left" vertical="center" wrapText="1" readingOrder="1"/>
    </xf>
    <xf numFmtId="0" fontId="131" fillId="9" borderId="2" xfId="1" applyFont="1" applyFill="1" applyBorder="1" applyAlignment="1">
      <alignment horizontal="center" vertical="center"/>
    </xf>
    <xf numFmtId="177" fontId="131" fillId="9" borderId="2" xfId="1" applyNumberFormat="1" applyFont="1" applyFill="1" applyBorder="1" applyAlignment="1">
      <alignment horizontal="center" vertical="center"/>
    </xf>
    <xf numFmtId="0" fontId="205" fillId="6" borderId="0" xfId="1" applyFont="1" applyFill="1" applyAlignment="1">
      <alignment horizontal="center" vertical="center"/>
    </xf>
    <xf numFmtId="0" fontId="205" fillId="6" borderId="2" xfId="1" applyFont="1" applyFill="1" applyBorder="1" applyAlignment="1">
      <alignment horizontal="center" vertical="center" wrapText="1" readingOrder="1"/>
    </xf>
    <xf numFmtId="177" fontId="86" fillId="6" borderId="2" xfId="1" applyNumberFormat="1" applyFont="1" applyFill="1" applyBorder="1" applyAlignment="1">
      <alignment horizontal="center" vertical="center" wrapText="1" readingOrder="1"/>
    </xf>
    <xf numFmtId="177" fontId="86" fillId="6" borderId="5" xfId="1" applyNumberFormat="1" applyFont="1" applyFill="1" applyBorder="1" applyAlignment="1">
      <alignment horizontal="left" vertical="center" wrapText="1" readingOrder="1"/>
    </xf>
    <xf numFmtId="177" fontId="131" fillId="6" borderId="2" xfId="1" applyNumberFormat="1" applyFont="1" applyFill="1" applyBorder="1" applyAlignment="1">
      <alignment horizontal="center" vertical="center" wrapText="1" readingOrder="1"/>
    </xf>
    <xf numFmtId="177" fontId="86" fillId="9" borderId="2" xfId="1" applyNumberFormat="1" applyFont="1" applyFill="1" applyBorder="1" applyAlignment="1">
      <alignment horizontal="center" vertical="center" wrapText="1" readingOrder="1"/>
    </xf>
    <xf numFmtId="177" fontId="86" fillId="6" borderId="2" xfId="1" applyNumberFormat="1" applyFont="1" applyFill="1" applyBorder="1" applyAlignment="1">
      <alignment horizontal="left" vertical="center" wrapText="1" readingOrder="1"/>
    </xf>
    <xf numFmtId="0" fontId="205" fillId="6" borderId="2" xfId="1" applyFont="1" applyFill="1" applyBorder="1" applyAlignment="1">
      <alignment horizontal="center" vertical="center"/>
    </xf>
    <xf numFmtId="177" fontId="205" fillId="6" borderId="2" xfId="1" applyNumberFormat="1" applyFont="1" applyFill="1" applyBorder="1" applyAlignment="1">
      <alignment horizontal="center" vertical="center"/>
    </xf>
    <xf numFmtId="0" fontId="205" fillId="3" borderId="0" xfId="1" applyFont="1" applyFill="1" applyAlignment="1">
      <alignment horizontal="center" vertical="center"/>
    </xf>
    <xf numFmtId="0" fontId="131" fillId="3" borderId="2" xfId="1" applyFont="1" applyFill="1" applyBorder="1" applyAlignment="1">
      <alignment horizontal="center" vertical="center" wrapText="1" readingOrder="1"/>
    </xf>
    <xf numFmtId="177" fontId="86" fillId="3" borderId="2" xfId="1" applyNumberFormat="1" applyFont="1" applyFill="1" applyBorder="1" applyAlignment="1">
      <alignment horizontal="center" vertical="center" wrapText="1" readingOrder="1"/>
    </xf>
    <xf numFmtId="177" fontId="131" fillId="3" borderId="2" xfId="1" applyNumberFormat="1" applyFont="1" applyFill="1" applyBorder="1" applyAlignment="1">
      <alignment horizontal="left" vertical="center" wrapText="1" readingOrder="1"/>
    </xf>
    <xf numFmtId="177" fontId="131" fillId="3" borderId="2" xfId="1" applyNumberFormat="1" applyFont="1" applyFill="1" applyBorder="1" applyAlignment="1">
      <alignment horizontal="center" vertical="center" wrapText="1" readingOrder="1"/>
    </xf>
    <xf numFmtId="177" fontId="86" fillId="3" borderId="2" xfId="1" applyNumberFormat="1" applyFont="1" applyFill="1" applyBorder="1" applyAlignment="1">
      <alignment horizontal="left" vertical="center" wrapText="1" readingOrder="1"/>
    </xf>
    <xf numFmtId="0" fontId="205" fillId="3" borderId="2" xfId="1" applyFont="1" applyFill="1" applyBorder="1" applyAlignment="1">
      <alignment horizontal="center" vertical="center"/>
    </xf>
    <xf numFmtId="177" fontId="131" fillId="3" borderId="21" xfId="1" applyNumberFormat="1" applyFont="1" applyFill="1" applyBorder="1" applyAlignment="1">
      <alignment horizontal="center" vertical="center" wrapText="1" readingOrder="1"/>
    </xf>
    <xf numFmtId="0" fontId="131" fillId="0" borderId="2" xfId="1" applyFont="1" applyFill="1" applyBorder="1" applyAlignment="1">
      <alignment horizontal="center" vertical="center" wrapText="1" readingOrder="1"/>
    </xf>
    <xf numFmtId="177" fontId="86" fillId="0" borderId="2" xfId="1" applyNumberFormat="1" applyFont="1" applyFill="1" applyBorder="1" applyAlignment="1">
      <alignment horizontal="left" vertical="center" wrapText="1" readingOrder="1"/>
    </xf>
    <xf numFmtId="177" fontId="205" fillId="9" borderId="2" xfId="1" applyNumberFormat="1" applyFont="1" applyFill="1" applyBorder="1" applyAlignment="1">
      <alignment horizontal="center" vertical="center"/>
    </xf>
    <xf numFmtId="0" fontId="131" fillId="6" borderId="2" xfId="1" applyFont="1" applyFill="1" applyBorder="1" applyAlignment="1">
      <alignment horizontal="center" vertical="center" wrapText="1" readingOrder="1"/>
    </xf>
    <xf numFmtId="196" fontId="86" fillId="6" borderId="2" xfId="1" applyNumberFormat="1" applyFont="1" applyFill="1" applyBorder="1" applyAlignment="1">
      <alignment horizontal="left" vertical="center" wrapText="1" readingOrder="1"/>
    </xf>
    <xf numFmtId="0" fontId="149" fillId="0" borderId="0" xfId="1">
      <alignment vertical="center"/>
    </xf>
    <xf numFmtId="0" fontId="149" fillId="19" borderId="0" xfId="1" applyFill="1">
      <alignment vertical="center"/>
    </xf>
    <xf numFmtId="0" fontId="0" fillId="0" borderId="0" xfId="0" applyAlignment="1">
      <alignment horizontal="center" vertical="center" wrapText="1"/>
    </xf>
    <xf numFmtId="0" fontId="90" fillId="17" borderId="2" xfId="0" applyFont="1" applyFill="1" applyBorder="1" applyAlignment="1">
      <alignment horizontal="center" vertical="center" wrapText="1"/>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90" fillId="22"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0" xfId="0" applyFill="1" applyAlignment="1">
      <alignment horizontal="center" vertical="center" wrapText="1"/>
    </xf>
    <xf numFmtId="0" fontId="0" fillId="19" borderId="2" xfId="0" applyFill="1" applyBorder="1" applyAlignment="1">
      <alignment horizontal="center" vertical="center" wrapText="1"/>
    </xf>
    <xf numFmtId="0" fontId="0" fillId="19" borderId="0" xfId="0" applyFill="1" applyAlignment="1">
      <alignment horizontal="center" vertical="center" wrapText="1"/>
    </xf>
    <xf numFmtId="0" fontId="168" fillId="0" borderId="2" xfId="0" applyFont="1" applyBorder="1" applyAlignment="1">
      <alignment horizontal="center" vertical="center" wrapText="1"/>
    </xf>
    <xf numFmtId="0" fontId="168" fillId="17" borderId="2" xfId="0" applyFont="1" applyFill="1" applyBorder="1" applyAlignment="1">
      <alignment horizontal="center" vertical="center" wrapText="1"/>
    </xf>
    <xf numFmtId="0" fontId="148" fillId="0" borderId="6" xfId="0" applyNumberFormat="1" applyFont="1" applyFill="1" applyBorder="1" applyAlignment="1" applyProtection="1">
      <alignment horizontal="center" vertical="center" wrapText="1"/>
      <protection locked="0"/>
    </xf>
    <xf numFmtId="0" fontId="270" fillId="0" borderId="51" xfId="0" applyNumberFormat="1" applyFont="1" applyFill="1" applyBorder="1" applyAlignment="1" applyProtection="1">
      <alignment horizontal="center" vertical="center" wrapText="1"/>
      <protection locked="0"/>
    </xf>
    <xf numFmtId="0" fontId="270" fillId="0" borderId="12" xfId="0" applyFont="1" applyBorder="1" applyAlignment="1" applyProtection="1">
      <alignment horizontal="center" vertical="center" wrapText="1"/>
      <protection locked="0"/>
    </xf>
    <xf numFmtId="0" fontId="270" fillId="0" borderId="46" xfId="0" applyNumberFormat="1" applyFont="1" applyFill="1" applyBorder="1" applyAlignment="1" applyProtection="1">
      <alignment horizontal="center" vertical="center" wrapText="1"/>
      <protection locked="0"/>
    </xf>
    <xf numFmtId="49" fontId="148" fillId="0" borderId="18" xfId="0" applyNumberFormat="1" applyFont="1" applyFill="1" applyBorder="1" applyAlignment="1" applyProtection="1">
      <alignment horizontal="center" vertical="center" wrapText="1"/>
      <protection locked="0"/>
    </xf>
    <xf numFmtId="49" fontId="148" fillId="0" borderId="2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168" fillId="5" borderId="0" xfId="3" applyFont="1" applyFill="1" applyAlignment="1" applyProtection="1">
      <alignment horizontal="left" vertical="center"/>
    </xf>
    <xf numFmtId="0" fontId="173" fillId="5" borderId="0" xfId="3" applyFont="1" applyFill="1" applyAlignment="1" applyProtection="1">
      <alignment horizontal="center" vertical="center"/>
    </xf>
    <xf numFmtId="0" fontId="168" fillId="5" borderId="2" xfId="3" applyFont="1" applyFill="1" applyBorder="1" applyAlignment="1" applyProtection="1">
      <alignment horizontal="center" vertical="center"/>
    </xf>
    <xf numFmtId="0" fontId="90" fillId="5" borderId="9" xfId="3" applyFont="1" applyFill="1" applyBorder="1" applyAlignment="1" applyProtection="1">
      <alignment horizontal="center" vertical="center" wrapText="1"/>
      <protection locked="0"/>
    </xf>
    <xf numFmtId="0" fontId="149" fillId="0" borderId="0" xfId="0" applyFont="1" applyFill="1" applyBorder="1">
      <alignment vertical="center"/>
    </xf>
    <xf numFmtId="180" fontId="0" fillId="0" borderId="0" xfId="0" applyNumberFormat="1">
      <alignment vertical="center"/>
    </xf>
    <xf numFmtId="0" fontId="171" fillId="18" borderId="2" xfId="0" applyFont="1" applyFill="1" applyBorder="1" applyAlignment="1">
      <alignment horizontal="center" vertical="center"/>
    </xf>
    <xf numFmtId="2" fontId="153" fillId="18" borderId="21" xfId="0" applyNumberFormat="1" applyFont="1" applyFill="1" applyBorder="1" applyAlignment="1">
      <alignment horizontal="center" vertical="center"/>
    </xf>
    <xf numFmtId="9" fontId="153" fillId="18" borderId="21" xfId="0" applyNumberFormat="1" applyFont="1" applyFill="1" applyBorder="1" applyAlignment="1">
      <alignment horizontal="center" vertical="center"/>
    </xf>
    <xf numFmtId="2" fontId="153" fillId="18" borderId="51" xfId="0" applyNumberFormat="1" applyFont="1" applyFill="1" applyBorder="1" applyAlignment="1">
      <alignment horizontal="center" vertical="center"/>
    </xf>
    <xf numFmtId="0" fontId="153" fillId="18" borderId="0" xfId="0" applyFont="1" applyFill="1" applyAlignment="1">
      <alignment horizontal="center" vertical="center"/>
    </xf>
    <xf numFmtId="0" fontId="0" fillId="18" borderId="0" xfId="0" applyFill="1">
      <alignment vertical="center"/>
    </xf>
    <xf numFmtId="0" fontId="171" fillId="18" borderId="22" xfId="0" applyFont="1" applyFill="1" applyBorder="1" applyAlignment="1">
      <alignment horizontal="center" vertical="center"/>
    </xf>
    <xf numFmtId="0" fontId="153" fillId="18" borderId="10" xfId="0" applyFont="1" applyFill="1" applyBorder="1" applyAlignment="1">
      <alignment horizontal="center" vertical="center"/>
    </xf>
    <xf numFmtId="49" fontId="153" fillId="18" borderId="10" xfId="0" applyNumberFormat="1" applyFont="1" applyFill="1" applyBorder="1" applyAlignment="1">
      <alignment horizontal="center" vertical="center"/>
    </xf>
    <xf numFmtId="2" fontId="153" fillId="18" borderId="10" xfId="0" applyNumberFormat="1" applyFont="1" applyFill="1" applyBorder="1" applyAlignment="1">
      <alignment horizontal="center" vertical="center"/>
    </xf>
    <xf numFmtId="9" fontId="153" fillId="18" borderId="10" xfId="0" applyNumberFormat="1" applyFont="1" applyFill="1" applyBorder="1" applyAlignment="1">
      <alignment horizontal="center" vertical="center"/>
    </xf>
    <xf numFmtId="2" fontId="153" fillId="18" borderId="25" xfId="0" applyNumberFormat="1" applyFont="1" applyFill="1" applyBorder="1" applyAlignment="1">
      <alignment horizontal="center" vertical="center"/>
    </xf>
    <xf numFmtId="0" fontId="0" fillId="8" borderId="2" xfId="0" applyFill="1" applyBorder="1" applyAlignment="1">
      <alignment horizontal="left" vertical="center"/>
    </xf>
    <xf numFmtId="0" fontId="0" fillId="18" borderId="2" xfId="0" applyFill="1" applyBorder="1" applyAlignment="1">
      <alignment horizontal="left" vertical="center"/>
    </xf>
    <xf numFmtId="0" fontId="149" fillId="18" borderId="2" xfId="0" applyFont="1" applyFill="1" applyBorder="1" applyAlignment="1">
      <alignment horizontal="left" vertical="center"/>
    </xf>
    <xf numFmtId="0" fontId="236" fillId="8" borderId="2" xfId="15" applyFont="1" applyFill="1" applyBorder="1" applyAlignment="1">
      <alignment horizontal="center" vertical="center"/>
    </xf>
    <xf numFmtId="0" fontId="180" fillId="8" borderId="2" xfId="15" applyFont="1" applyFill="1" applyBorder="1" applyAlignment="1">
      <alignment horizontal="center" vertical="center"/>
    </xf>
    <xf numFmtId="0" fontId="180" fillId="8" borderId="0" xfId="15" applyFont="1" applyFill="1" applyAlignment="1">
      <alignment horizontal="center" vertical="center"/>
    </xf>
    <xf numFmtId="0" fontId="158" fillId="8" borderId="2" xfId="15" applyFont="1" applyFill="1" applyBorder="1" applyAlignment="1">
      <alignment horizontal="center" vertical="center"/>
    </xf>
    <xf numFmtId="0" fontId="149" fillId="6" borderId="0" xfId="1" applyFill="1">
      <alignment vertical="center"/>
    </xf>
    <xf numFmtId="0" fontId="149" fillId="6" borderId="0" xfId="1" applyFont="1" applyFill="1" applyAlignment="1">
      <alignment horizontal="right" vertical="center"/>
    </xf>
    <xf numFmtId="0" fontId="149" fillId="6" borderId="0" xfId="1" applyFill="1" applyAlignment="1">
      <alignment horizontal="left" vertical="center"/>
    </xf>
    <xf numFmtId="0" fontId="149" fillId="6" borderId="0" xfId="1" applyFont="1" applyFill="1">
      <alignment vertical="center"/>
    </xf>
    <xf numFmtId="0" fontId="149" fillId="6" borderId="0" xfId="1" applyFill="1" applyAlignment="1">
      <alignment horizontal="center" vertical="center"/>
    </xf>
    <xf numFmtId="0" fontId="149" fillId="0" borderId="2" xfId="0" applyFont="1" applyBorder="1" applyAlignment="1">
      <alignment horizontal="center" vertical="center"/>
    </xf>
    <xf numFmtId="0" fontId="149"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49" fillId="19" borderId="2" xfId="0" applyFont="1" applyFill="1" applyBorder="1" applyAlignment="1">
      <alignment horizontal="center" vertical="center" wrapText="1"/>
    </xf>
    <xf numFmtId="0" fontId="0" fillId="0" borderId="2" xfId="0" applyBorder="1">
      <alignment vertical="center"/>
    </xf>
    <xf numFmtId="0" fontId="149" fillId="0" borderId="0" xfId="0" applyFont="1" applyFill="1" applyBorder="1" applyAlignment="1">
      <alignment horizontal="center" vertical="center"/>
    </xf>
    <xf numFmtId="0" fontId="171" fillId="19" borderId="154" xfId="0" applyFont="1" applyFill="1" applyBorder="1" applyAlignment="1">
      <alignment horizontal="center" vertical="center"/>
    </xf>
    <xf numFmtId="0" fontId="177" fillId="19" borderId="35" xfId="0" applyFont="1" applyFill="1" applyBorder="1" applyAlignment="1">
      <alignment horizontal="center" vertical="center" wrapText="1"/>
    </xf>
    <xf numFmtId="0" fontId="283" fillId="19" borderId="35" xfId="0" applyFont="1" applyFill="1" applyBorder="1" applyAlignment="1">
      <alignment horizontal="center" vertical="center" wrapText="1"/>
    </xf>
    <xf numFmtId="0" fontId="282" fillId="0" borderId="5" xfId="15" applyFont="1" applyBorder="1" applyAlignment="1">
      <alignment vertical="center"/>
    </xf>
    <xf numFmtId="0" fontId="282" fillId="0" borderId="8" xfId="15" applyFont="1" applyBorder="1" applyAlignment="1">
      <alignment vertical="center"/>
    </xf>
    <xf numFmtId="0" fontId="282" fillId="0" borderId="9" xfId="15" applyFont="1" applyBorder="1" applyAlignment="1">
      <alignment vertical="center"/>
    </xf>
    <xf numFmtId="180" fontId="153" fillId="0" borderId="0" xfId="0" applyNumberFormat="1" applyFont="1" applyAlignment="1">
      <alignment horizontal="center" vertical="center"/>
    </xf>
    <xf numFmtId="0" fontId="177" fillId="19" borderId="26" xfId="0" applyFont="1" applyFill="1" applyBorder="1" applyAlignment="1">
      <alignment horizontal="center" vertical="center" wrapText="1"/>
    </xf>
    <xf numFmtId="0" fontId="171" fillId="0" borderId="87" xfId="0" applyFont="1" applyBorder="1" applyAlignment="1">
      <alignment horizontal="center" vertical="center"/>
    </xf>
    <xf numFmtId="0" fontId="171" fillId="18" borderId="64" xfId="0" applyFont="1" applyFill="1" applyBorder="1" applyAlignment="1">
      <alignment horizontal="center" vertical="center"/>
    </xf>
    <xf numFmtId="0" fontId="177" fillId="19" borderId="39" xfId="0" applyFont="1" applyFill="1" applyBorder="1" applyAlignment="1">
      <alignment horizontal="center" vertical="center" wrapText="1"/>
    </xf>
    <xf numFmtId="1" fontId="153" fillId="0" borderId="20" xfId="0" applyNumberFormat="1" applyFont="1" applyBorder="1" applyAlignment="1">
      <alignment horizontal="center" vertical="center"/>
    </xf>
    <xf numFmtId="0" fontId="153" fillId="18" borderId="9" xfId="0" applyFont="1" applyFill="1" applyBorder="1" applyAlignment="1">
      <alignment horizontal="center" vertical="center"/>
    </xf>
    <xf numFmtId="0" fontId="153" fillId="18" borderId="2" xfId="0" applyFont="1" applyFill="1" applyBorder="1" applyAlignment="1">
      <alignment horizontal="center" vertical="center" wrapText="1"/>
    </xf>
    <xf numFmtId="177" fontId="295" fillId="8" borderId="2" xfId="1" applyNumberFormat="1" applyFont="1" applyFill="1" applyBorder="1" applyAlignment="1">
      <alignment horizontal="center" vertical="center" wrapText="1" readingOrder="1"/>
    </xf>
    <xf numFmtId="177" fontId="296" fillId="8" borderId="2" xfId="3" applyNumberFormat="1" applyFont="1" applyFill="1" applyBorder="1" applyAlignment="1">
      <alignment horizontal="center" vertical="center" wrapText="1" readingOrder="1"/>
    </xf>
    <xf numFmtId="0" fontId="294" fillId="8" borderId="2" xfId="1" applyFont="1" applyFill="1" applyBorder="1" applyAlignment="1">
      <alignment horizontal="center" vertical="center"/>
    </xf>
    <xf numFmtId="0" fontId="296" fillId="8" borderId="2" xfId="3" applyFont="1" applyFill="1" applyBorder="1" applyAlignment="1">
      <alignment horizontal="center" vertical="center" wrapText="1" readingOrder="1"/>
    </xf>
    <xf numFmtId="0" fontId="177" fillId="19" borderId="160" xfId="0" applyFont="1" applyFill="1" applyBorder="1" applyAlignment="1">
      <alignment horizontal="center" vertical="center" wrapText="1"/>
    </xf>
    <xf numFmtId="0" fontId="177" fillId="19" borderId="161" xfId="0" applyFont="1" applyFill="1" applyBorder="1" applyAlignment="1">
      <alignment horizontal="center" vertical="center" wrapText="1"/>
    </xf>
    <xf numFmtId="49" fontId="177" fillId="19" borderId="161" xfId="0" applyNumberFormat="1" applyFont="1" applyFill="1" applyBorder="1" applyAlignment="1">
      <alignment horizontal="center" vertical="center" wrapText="1"/>
    </xf>
    <xf numFmtId="0" fontId="177" fillId="19" borderId="162" xfId="0" applyFont="1" applyFill="1" applyBorder="1" applyAlignment="1">
      <alignment horizontal="center" vertical="center" wrapText="1"/>
    </xf>
    <xf numFmtId="0" fontId="153" fillId="0" borderId="44" xfId="0" applyFont="1" applyBorder="1" applyAlignment="1">
      <alignment horizontal="center" vertical="center" wrapText="1"/>
    </xf>
    <xf numFmtId="0" fontId="153" fillId="0" borderId="50" xfId="0" applyFont="1" applyBorder="1" applyAlignment="1">
      <alignment horizontal="center" vertical="center" wrapText="1"/>
    </xf>
    <xf numFmtId="49" fontId="153" fillId="0" borderId="21" xfId="0" applyNumberFormat="1" applyFont="1" applyBorder="1" applyAlignment="1">
      <alignment horizontal="center" vertical="center" wrapText="1"/>
    </xf>
    <xf numFmtId="0" fontId="153" fillId="0" borderId="51" xfId="0" applyFont="1" applyBorder="1" applyAlignment="1">
      <alignment horizontal="center" vertical="center" wrapText="1"/>
    </xf>
    <xf numFmtId="0" fontId="153" fillId="18" borderId="11" xfId="0" applyFont="1" applyFill="1" applyBorder="1" applyAlignment="1">
      <alignment horizontal="center" vertical="center" wrapText="1"/>
    </xf>
    <xf numFmtId="49" fontId="153" fillId="18" borderId="2" xfId="0" applyNumberFormat="1" applyFont="1" applyFill="1" applyBorder="1" applyAlignment="1">
      <alignment horizontal="center" vertical="center" wrapText="1"/>
    </xf>
    <xf numFmtId="0" fontId="153" fillId="18" borderId="12" xfId="0" applyFont="1" applyFill="1" applyBorder="1" applyAlignment="1">
      <alignment horizontal="center" vertical="center" wrapText="1"/>
    </xf>
    <xf numFmtId="0" fontId="153" fillId="0" borderId="43" xfId="0" applyFont="1" applyBorder="1" applyAlignment="1">
      <alignment horizontal="center" vertical="center" wrapText="1"/>
    </xf>
    <xf numFmtId="49" fontId="153" fillId="0" borderId="44" xfId="0" applyNumberFormat="1" applyFont="1" applyBorder="1" applyAlignment="1">
      <alignment horizontal="center" vertical="center" wrapText="1"/>
    </xf>
    <xf numFmtId="0" fontId="153" fillId="0" borderId="46" xfId="0" applyFont="1" applyBorder="1" applyAlignment="1">
      <alignment horizontal="center" vertical="center" wrapText="1"/>
    </xf>
    <xf numFmtId="0" fontId="297" fillId="0" borderId="66" xfId="0" applyFont="1" applyBorder="1" applyAlignment="1">
      <alignment horizontal="center" vertical="center" wrapText="1"/>
    </xf>
    <xf numFmtId="0" fontId="297" fillId="0" borderId="38" xfId="0" applyFont="1" applyBorder="1" applyAlignment="1">
      <alignment horizontal="center" vertical="center" wrapText="1"/>
    </xf>
    <xf numFmtId="14" fontId="180" fillId="0" borderId="80" xfId="0" applyNumberFormat="1" applyFont="1" applyBorder="1" applyAlignment="1">
      <alignment horizontal="center" vertical="center" wrapText="1"/>
    </xf>
    <xf numFmtId="0" fontId="199" fillId="0" borderId="66" xfId="0" applyFont="1" applyBorder="1" applyAlignment="1">
      <alignment horizontal="center" vertical="center" wrapText="1"/>
    </xf>
    <xf numFmtId="0" fontId="180" fillId="0" borderId="66" xfId="0" applyFont="1" applyBorder="1" applyAlignment="1">
      <alignment horizontal="center" vertical="center" wrapText="1"/>
    </xf>
    <xf numFmtId="0" fontId="180" fillId="0" borderId="44" xfId="0" applyFont="1" applyBorder="1" applyAlignment="1">
      <alignment horizontal="center" vertical="center" wrapText="1"/>
    </xf>
    <xf numFmtId="0" fontId="180" fillId="0" borderId="46" xfId="0" applyFont="1" applyBorder="1" applyAlignment="1">
      <alignment horizontal="center" vertical="center" wrapText="1"/>
    </xf>
    <xf numFmtId="0" fontId="180" fillId="0" borderId="21" xfId="0" applyFont="1" applyBorder="1" applyAlignment="1">
      <alignment horizontal="center" vertical="center" wrapText="1"/>
    </xf>
    <xf numFmtId="0" fontId="180" fillId="0" borderId="51" xfId="0" applyFont="1" applyBorder="1" applyAlignment="1">
      <alignment horizontal="center" vertical="center" wrapText="1"/>
    </xf>
    <xf numFmtId="0" fontId="180" fillId="0" borderId="20" xfId="0" applyFont="1" applyBorder="1" applyAlignment="1">
      <alignment horizontal="center" vertical="center" wrapText="1"/>
    </xf>
    <xf numFmtId="0" fontId="180" fillId="0" borderId="47" xfId="0" applyFont="1" applyBorder="1" applyAlignment="1">
      <alignment horizontal="center" vertical="center" wrapText="1"/>
    </xf>
    <xf numFmtId="0" fontId="199" fillId="0" borderId="77" xfId="0" applyFont="1" applyBorder="1" applyAlignment="1">
      <alignment horizontal="center" vertical="center" wrapText="1"/>
    </xf>
    <xf numFmtId="0" fontId="199" fillId="0" borderId="116" xfId="0" applyFont="1" applyBorder="1" applyAlignment="1">
      <alignment horizontal="center" vertical="center" wrapText="1"/>
    </xf>
    <xf numFmtId="0" fontId="297" fillId="5" borderId="47" xfId="0" applyFont="1" applyFill="1" applyBorder="1" applyAlignment="1">
      <alignment horizontal="center" vertical="center" wrapText="1"/>
    </xf>
    <xf numFmtId="0" fontId="297" fillId="5" borderId="44" xfId="0" applyFont="1" applyFill="1" applyBorder="1" applyAlignment="1">
      <alignment horizontal="center" vertical="center" wrapText="1"/>
    </xf>
    <xf numFmtId="0" fontId="297" fillId="5" borderId="46" xfId="0" applyFont="1" applyFill="1" applyBorder="1" applyAlignment="1">
      <alignment horizontal="center" vertical="center" wrapText="1"/>
    </xf>
    <xf numFmtId="0" fontId="298" fillId="0" borderId="0" xfId="22" applyFont="1" applyAlignment="1">
      <alignment horizontal="center" vertical="center" wrapText="1"/>
    </xf>
    <xf numFmtId="0" fontId="298" fillId="2" borderId="2" xfId="22" applyFont="1" applyFill="1" applyBorder="1" applyAlignment="1">
      <alignment horizontal="center" vertical="center" wrapText="1"/>
    </xf>
    <xf numFmtId="0" fontId="298" fillId="24" borderId="2" xfId="22" applyFont="1" applyFill="1" applyBorder="1" applyAlignment="1">
      <alignment horizontal="center" vertical="center" wrapText="1"/>
    </xf>
    <xf numFmtId="0" fontId="298" fillId="7" borderId="2" xfId="22" applyFont="1" applyFill="1" applyBorder="1" applyAlignment="1">
      <alignment horizontal="center" vertical="center" wrapText="1"/>
    </xf>
    <xf numFmtId="0" fontId="298" fillId="0" borderId="2" xfId="22" applyFont="1" applyBorder="1" applyAlignment="1">
      <alignment horizontal="center" vertical="center" wrapText="1"/>
    </xf>
    <xf numFmtId="0" fontId="298" fillId="0" borderId="2" xfId="22" applyNumberFormat="1" applyFont="1" applyBorder="1" applyAlignment="1">
      <alignment horizontal="center" vertical="center" wrapText="1"/>
    </xf>
    <xf numFmtId="197" fontId="298" fillId="0" borderId="2" xfId="22" applyNumberFormat="1" applyFont="1" applyBorder="1" applyAlignment="1">
      <alignment horizontal="center" vertical="center" wrapText="1"/>
    </xf>
    <xf numFmtId="1" fontId="298" fillId="2" borderId="2" xfId="22" applyNumberFormat="1" applyFont="1" applyFill="1" applyBorder="1" applyAlignment="1">
      <alignment horizontal="center" vertical="center" wrapText="1"/>
    </xf>
    <xf numFmtId="1" fontId="298" fillId="24" borderId="2" xfId="22" applyNumberFormat="1" applyFont="1" applyFill="1" applyBorder="1" applyAlignment="1">
      <alignment horizontal="center" vertical="center" wrapText="1"/>
    </xf>
    <xf numFmtId="0" fontId="298" fillId="0" borderId="0" xfId="22" applyNumberFormat="1" applyFont="1" applyAlignment="1">
      <alignment horizontal="center" vertical="center" wrapText="1"/>
    </xf>
    <xf numFmtId="0" fontId="298" fillId="7" borderId="10" xfId="22" applyFont="1" applyFill="1" applyBorder="1" applyAlignment="1">
      <alignment horizontal="center" vertical="center" wrapText="1"/>
    </xf>
    <xf numFmtId="0" fontId="298" fillId="0" borderId="10" xfId="22" applyFont="1" applyBorder="1" applyAlignment="1">
      <alignment horizontal="center" vertical="center" wrapText="1"/>
    </xf>
    <xf numFmtId="197" fontId="298" fillId="0" borderId="10" xfId="22" applyNumberFormat="1" applyFont="1" applyBorder="1" applyAlignment="1">
      <alignment horizontal="center" vertical="center" wrapText="1"/>
    </xf>
    <xf numFmtId="0" fontId="298" fillId="6" borderId="3" xfId="22" applyFont="1" applyFill="1" applyBorder="1" applyAlignment="1">
      <alignment horizontal="center" vertical="center" wrapText="1"/>
    </xf>
    <xf numFmtId="0" fontId="298" fillId="0" borderId="3" xfId="22" applyFont="1" applyBorder="1" applyAlignment="1">
      <alignment horizontal="center" vertical="center" wrapText="1"/>
    </xf>
    <xf numFmtId="0" fontId="298" fillId="6" borderId="10" xfId="22" applyFont="1" applyFill="1" applyBorder="1" applyAlignment="1">
      <alignment horizontal="center" vertical="center" wrapText="1"/>
    </xf>
    <xf numFmtId="0" fontId="298" fillId="25" borderId="21" xfId="22" applyFont="1" applyFill="1" applyBorder="1" applyAlignment="1">
      <alignment horizontal="center" vertical="center" wrapText="1"/>
    </xf>
    <xf numFmtId="0" fontId="298" fillId="0" borderId="21" xfId="22" applyFont="1" applyBorder="1" applyAlignment="1">
      <alignment horizontal="center" vertical="center" wrapText="1"/>
    </xf>
    <xf numFmtId="0" fontId="298" fillId="25" borderId="2" xfId="22" applyFont="1" applyFill="1" applyBorder="1" applyAlignment="1">
      <alignment horizontal="center" vertical="center" wrapText="1"/>
    </xf>
    <xf numFmtId="0" fontId="298" fillId="0" borderId="8" xfId="22" applyFont="1" applyBorder="1" applyAlignment="1">
      <alignment horizontal="center" vertical="center" wrapText="1"/>
    </xf>
    <xf numFmtId="0" fontId="298" fillId="0" borderId="8" xfId="22" applyNumberFormat="1" applyFont="1" applyBorder="1" applyAlignment="1">
      <alignment horizontal="center" vertical="center" wrapText="1"/>
    </xf>
    <xf numFmtId="0" fontId="177" fillId="19" borderId="0" xfId="0" applyFont="1" applyFill="1" applyBorder="1" applyAlignment="1">
      <alignment horizontal="center" vertical="center" wrapText="1"/>
    </xf>
    <xf numFmtId="0" fontId="153" fillId="0" borderId="0" xfId="0" applyFont="1" applyBorder="1" applyAlignment="1">
      <alignment horizontal="center" vertical="center" wrapText="1"/>
    </xf>
    <xf numFmtId="0" fontId="153" fillId="18" borderId="0" xfId="0" applyFont="1" applyFill="1" applyBorder="1" applyAlignment="1">
      <alignment horizontal="center" vertical="center" wrapText="1"/>
    </xf>
    <xf numFmtId="0" fontId="177" fillId="19" borderId="163" xfId="0" applyFont="1" applyFill="1" applyBorder="1" applyAlignment="1">
      <alignment horizontal="center" vertical="center" wrapText="1"/>
    </xf>
    <xf numFmtId="2" fontId="153" fillId="0" borderId="63" xfId="0" applyNumberFormat="1" applyFont="1" applyBorder="1" applyAlignment="1">
      <alignment horizontal="center" vertical="center"/>
    </xf>
    <xf numFmtId="2" fontId="153" fillId="18" borderId="16" xfId="0" applyNumberFormat="1" applyFont="1" applyFill="1" applyBorder="1" applyAlignment="1">
      <alignment horizontal="center" vertical="center" wrapText="1"/>
    </xf>
    <xf numFmtId="2" fontId="153" fillId="0" borderId="63" xfId="0" applyNumberFormat="1" applyFont="1" applyBorder="1" applyAlignment="1">
      <alignment horizontal="center" vertical="center" wrapText="1"/>
    </xf>
    <xf numFmtId="2" fontId="153" fillId="18" borderId="90" xfId="0" applyNumberFormat="1" applyFont="1" applyFill="1" applyBorder="1" applyAlignment="1">
      <alignment horizontal="center" vertical="center" wrapText="1"/>
    </xf>
    <xf numFmtId="2" fontId="153" fillId="19" borderId="66" xfId="0" applyNumberFormat="1" applyFont="1" applyFill="1" applyBorder="1" applyAlignment="1">
      <alignment horizontal="center" vertical="center"/>
    </xf>
    <xf numFmtId="0" fontId="177" fillId="19" borderId="2" xfId="0" applyFont="1" applyFill="1" applyBorder="1" applyAlignment="1">
      <alignment horizontal="center" vertical="center" wrapText="1"/>
    </xf>
    <xf numFmtId="49" fontId="177" fillId="19" borderId="2" xfId="0" applyNumberFormat="1" applyFont="1" applyFill="1" applyBorder="1" applyAlignment="1">
      <alignment horizontal="center" vertical="center" wrapText="1"/>
    </xf>
    <xf numFmtId="0" fontId="283" fillId="19" borderId="2" xfId="0" applyFont="1" applyFill="1" applyBorder="1" applyAlignment="1">
      <alignment horizontal="center" vertical="center" wrapText="1"/>
    </xf>
    <xf numFmtId="0" fontId="171" fillId="0" borderId="2" xfId="0" applyFont="1" applyBorder="1" applyAlignment="1">
      <alignment horizontal="center" vertical="center" wrapText="1"/>
    </xf>
    <xf numFmtId="0" fontId="153" fillId="0" borderId="2" xfId="0" applyNumberFormat="1" applyFont="1" applyBorder="1" applyAlignment="1">
      <alignment horizontal="center" vertical="center"/>
    </xf>
    <xf numFmtId="0" fontId="153" fillId="0" borderId="2" xfId="0" applyFont="1" applyBorder="1" applyAlignment="1">
      <alignment horizontal="center" vertical="center" wrapText="1"/>
    </xf>
    <xf numFmtId="0" fontId="153" fillId="19" borderId="2" xfId="0" applyFont="1" applyFill="1" applyBorder="1" applyAlignment="1">
      <alignment horizontal="center" vertical="center"/>
    </xf>
    <xf numFmtId="0" fontId="153" fillId="19" borderId="2" xfId="0" applyFont="1" applyFill="1" applyBorder="1" applyAlignment="1">
      <alignment horizontal="center" vertical="center" wrapText="1"/>
    </xf>
    <xf numFmtId="49" fontId="153" fillId="19" borderId="2" xfId="0" applyNumberFormat="1" applyFont="1" applyFill="1" applyBorder="1" applyAlignment="1">
      <alignment horizontal="center" vertical="center"/>
    </xf>
    <xf numFmtId="0" fontId="189" fillId="0" borderId="0" xfId="7" applyFont="1" applyAlignment="1" applyProtection="1">
      <alignment horizontal="left" vertical="top" wrapText="1"/>
    </xf>
    <xf numFmtId="0" fontId="211" fillId="0" borderId="5" xfId="0" applyFont="1" applyBorder="1" applyAlignment="1">
      <alignment horizontal="center" vertical="center" wrapText="1"/>
    </xf>
    <xf numFmtId="0" fontId="211" fillId="0" borderId="8" xfId="0" applyFont="1" applyBorder="1" applyAlignment="1">
      <alignment horizontal="center" vertical="center" wrapText="1"/>
    </xf>
    <xf numFmtId="0" fontId="211" fillId="0" borderId="9" xfId="0" applyFont="1" applyBorder="1" applyAlignment="1">
      <alignment horizontal="center" vertical="center" wrapText="1"/>
    </xf>
    <xf numFmtId="0" fontId="195" fillId="0" borderId="0" xfId="0" applyFont="1" applyAlignment="1">
      <alignment horizontal="center" vertical="center"/>
    </xf>
    <xf numFmtId="0" fontId="241"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241" fillId="0" borderId="2" xfId="0" applyFont="1" applyFill="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199" fillId="0" borderId="0" xfId="0" applyFont="1" applyAlignment="1">
      <alignment vertical="center" wrapText="1"/>
    </xf>
    <xf numFmtId="49" fontId="191" fillId="0" borderId="0" xfId="0" applyNumberFormat="1" applyFont="1" applyAlignment="1" applyProtection="1">
      <alignment vertical="center" wrapText="1"/>
      <protection locked="0"/>
    </xf>
    <xf numFmtId="0" fontId="199" fillId="0" borderId="0" xfId="0" applyFont="1" applyAlignment="1" applyProtection="1">
      <alignment vertical="center" wrapText="1"/>
    </xf>
    <xf numFmtId="0" fontId="191"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171" fillId="0" borderId="10" xfId="0" applyFont="1" applyBorder="1" applyAlignment="1" applyProtection="1">
      <alignment horizontal="left" vertical="center" wrapText="1"/>
    </xf>
    <xf numFmtId="0" fontId="171" fillId="0" borderId="3" xfId="0" applyFont="1" applyBorder="1" applyAlignment="1" applyProtection="1">
      <alignment horizontal="left" vertical="center" wrapText="1"/>
    </xf>
    <xf numFmtId="0" fontId="171" fillId="0" borderId="21" xfId="0" applyFont="1" applyBorder="1" applyAlignment="1" applyProtection="1">
      <alignment horizontal="left" vertical="center" wrapText="1"/>
    </xf>
    <xf numFmtId="0" fontId="153" fillId="0" borderId="5" xfId="0" applyFont="1" applyBorder="1" applyAlignment="1" applyProtection="1">
      <alignment horizontal="left" vertical="center"/>
    </xf>
    <xf numFmtId="0" fontId="153" fillId="0" borderId="9" xfId="0" applyFont="1" applyBorder="1" applyAlignment="1" applyProtection="1">
      <alignment horizontal="left" vertical="center"/>
    </xf>
    <xf numFmtId="0" fontId="153" fillId="0" borderId="2" xfId="0" applyFont="1" applyBorder="1" applyAlignment="1" applyProtection="1">
      <alignment horizontal="left" vertical="center"/>
    </xf>
    <xf numFmtId="0" fontId="153" fillId="9" borderId="2" xfId="0" applyFont="1" applyFill="1" applyBorder="1" applyAlignment="1" applyProtection="1">
      <alignment horizontal="left" vertical="center"/>
    </xf>
    <xf numFmtId="0" fontId="153" fillId="6" borderId="2" xfId="0" applyFont="1" applyFill="1" applyBorder="1" applyAlignment="1" applyProtection="1">
      <alignment horizontal="left" vertical="center"/>
    </xf>
    <xf numFmtId="0" fontId="56" fillId="0" borderId="5" xfId="0" applyFont="1" applyBorder="1" applyAlignment="1" applyProtection="1">
      <alignment horizontal="left" vertical="center"/>
    </xf>
    <xf numFmtId="0" fontId="153" fillId="0" borderId="10" xfId="0" applyFont="1" applyBorder="1" applyAlignment="1" applyProtection="1">
      <alignment horizontal="left" vertical="center"/>
    </xf>
    <xf numFmtId="0" fontId="153" fillId="0" borderId="3" xfId="0" applyFont="1" applyBorder="1" applyAlignment="1" applyProtection="1">
      <alignment horizontal="left" vertical="center"/>
    </xf>
    <xf numFmtId="0" fontId="219" fillId="0" borderId="2" xfId="7" applyFont="1" applyFill="1" applyBorder="1" applyAlignment="1">
      <alignment horizontal="center" vertical="center"/>
    </xf>
    <xf numFmtId="0" fontId="218" fillId="0" borderId="2" xfId="7" applyFont="1" applyBorder="1" applyAlignment="1">
      <alignment horizontal="center" vertical="center"/>
    </xf>
    <xf numFmtId="0" fontId="169" fillId="5" borderId="0" xfId="0" applyFont="1" applyFill="1" applyBorder="1" applyAlignment="1" applyProtection="1">
      <alignment horizontal="center" vertical="center" wrapText="1"/>
    </xf>
    <xf numFmtId="0" fontId="82" fillId="0" borderId="2" xfId="0" applyFont="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49" xfId="0" applyFont="1" applyFill="1" applyBorder="1" applyAlignment="1" applyProtection="1">
      <alignment vertical="center" wrapText="1"/>
    </xf>
    <xf numFmtId="0" fontId="82" fillId="5" borderId="37" xfId="0" applyFont="1" applyFill="1" applyBorder="1" applyAlignment="1" applyProtection="1">
      <alignment vertical="center" wrapText="1"/>
    </xf>
    <xf numFmtId="0" fontId="82" fillId="5" borderId="38" xfId="0" applyFont="1" applyFill="1" applyBorder="1" applyAlignment="1" applyProtection="1">
      <alignment vertical="center" wrapText="1"/>
    </xf>
    <xf numFmtId="0" fontId="191" fillId="8" borderId="5" xfId="0" applyFont="1" applyFill="1" applyBorder="1" applyAlignment="1" applyProtection="1">
      <alignment vertical="center" wrapText="1"/>
      <protection locked="0"/>
    </xf>
    <xf numFmtId="0" fontId="191" fillId="8" borderId="8" xfId="0" applyFont="1" applyFill="1" applyBorder="1" applyAlignment="1" applyProtection="1">
      <alignment vertical="center" wrapText="1"/>
      <protection locked="0"/>
    </xf>
    <xf numFmtId="0" fontId="191" fillId="8" borderId="9" xfId="0" applyFont="1" applyFill="1" applyBorder="1" applyAlignment="1" applyProtection="1">
      <alignment vertical="center" wrapText="1"/>
      <protection locked="0"/>
    </xf>
    <xf numFmtId="0" fontId="82" fillId="5" borderId="10" xfId="0" applyFont="1" applyFill="1" applyBorder="1" applyAlignment="1" applyProtection="1">
      <alignment horizontal="center" vertical="center" wrapText="1"/>
    </xf>
    <xf numFmtId="0" fontId="82" fillId="5" borderId="102" xfId="0" applyFont="1" applyFill="1" applyBorder="1" applyAlignment="1" applyProtection="1">
      <alignment horizontal="center" vertical="center" wrapText="1"/>
    </xf>
    <xf numFmtId="49" fontId="191" fillId="8" borderId="5" xfId="0" applyNumberFormat="1" applyFont="1" applyFill="1" applyBorder="1" applyAlignment="1" applyProtection="1">
      <alignment horizontal="left" vertical="center"/>
      <protection locked="0"/>
    </xf>
    <xf numFmtId="49" fontId="191" fillId="8" borderId="8" xfId="0" applyNumberFormat="1" applyFont="1" applyFill="1" applyBorder="1" applyAlignment="1" applyProtection="1">
      <alignment horizontal="left" vertical="center"/>
      <protection locked="0"/>
    </xf>
    <xf numFmtId="49" fontId="191" fillId="8" borderId="9" xfId="0" applyNumberFormat="1" applyFont="1" applyFill="1" applyBorder="1" applyAlignment="1" applyProtection="1">
      <alignment horizontal="left" vertical="center"/>
      <protection locked="0"/>
    </xf>
    <xf numFmtId="0" fontId="82" fillId="5" borderId="42"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2" fillId="5" borderId="59" xfId="0" applyFont="1" applyFill="1" applyBorder="1" applyAlignment="1" applyProtection="1">
      <alignment horizontal="center" vertical="center"/>
    </xf>
    <xf numFmtId="0" fontId="82" fillId="5" borderId="30" xfId="0" applyFont="1" applyFill="1" applyBorder="1" applyAlignment="1" applyProtection="1">
      <alignment horizontal="center" vertical="center"/>
    </xf>
    <xf numFmtId="0" fontId="82" fillId="5" borderId="10" xfId="0" applyFont="1" applyFill="1" applyBorder="1" applyAlignment="1" applyProtection="1">
      <alignment horizontal="left" vertical="center" wrapText="1"/>
    </xf>
    <xf numFmtId="0" fontId="82" fillId="5" borderId="3" xfId="0" applyFont="1" applyFill="1" applyBorder="1" applyAlignment="1" applyProtection="1">
      <alignment horizontal="left" vertical="center" wrapText="1"/>
    </xf>
    <xf numFmtId="0" fontId="82" fillId="5" borderId="17" xfId="0" applyFont="1" applyFill="1" applyBorder="1" applyAlignment="1" applyProtection="1">
      <alignment horizontal="left" vertical="center" wrapText="1"/>
    </xf>
    <xf numFmtId="180" fontId="82" fillId="8" borderId="5" xfId="0" applyNumberFormat="1" applyFont="1" applyFill="1" applyBorder="1" applyAlignment="1" applyProtection="1">
      <alignment horizontal="center" vertical="center" wrapText="1"/>
      <protection locked="0"/>
    </xf>
    <xf numFmtId="180" fontId="82" fillId="8" borderId="8" xfId="0" applyNumberFormat="1" applyFont="1" applyFill="1" applyBorder="1" applyAlignment="1" applyProtection="1">
      <alignment horizontal="center" vertical="center" wrapText="1"/>
      <protection locked="0"/>
    </xf>
    <xf numFmtId="180" fontId="82" fillId="8" borderId="9" xfId="0" applyNumberFormat="1" applyFont="1" applyFill="1" applyBorder="1" applyAlignment="1" applyProtection="1">
      <alignment horizontal="center" vertical="center" wrapText="1"/>
      <protection locked="0"/>
    </xf>
    <xf numFmtId="0" fontId="191" fillId="8" borderId="5" xfId="0" applyFont="1" applyFill="1" applyBorder="1" applyAlignment="1" applyProtection="1">
      <alignment vertical="center"/>
      <protection locked="0"/>
    </xf>
    <xf numFmtId="0" fontId="191" fillId="8" borderId="8" xfId="0" applyFont="1" applyFill="1" applyBorder="1" applyAlignment="1" applyProtection="1">
      <alignment vertical="center"/>
      <protection locked="0"/>
    </xf>
    <xf numFmtId="0" fontId="191" fillId="8" borderId="9" xfId="0" applyFont="1" applyFill="1" applyBorder="1" applyAlignment="1" applyProtection="1">
      <alignment vertical="center"/>
      <protection locked="0"/>
    </xf>
    <xf numFmtId="0" fontId="82" fillId="2" borderId="17"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0" borderId="5" xfId="0" applyFont="1" applyBorder="1" applyAlignment="1" applyProtection="1">
      <alignment horizontal="left" vertical="center" wrapText="1"/>
      <protection locked="0"/>
    </xf>
    <xf numFmtId="0" fontId="82" fillId="0" borderId="32" xfId="0" applyFont="1" applyBorder="1" applyAlignment="1" applyProtection="1">
      <alignment horizontal="left" vertical="center" wrapText="1"/>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82" fillId="8" borderId="5" xfId="0" applyFont="1" applyFill="1" applyBorder="1" applyAlignment="1" applyProtection="1">
      <alignment horizontal="left" vertical="center" wrapText="1"/>
      <protection locked="0"/>
    </xf>
    <xf numFmtId="0" fontId="82" fillId="8" borderId="8" xfId="0" applyFont="1" applyFill="1" applyBorder="1" applyAlignment="1" applyProtection="1">
      <alignment horizontal="left" vertical="center" wrapText="1"/>
      <protection locked="0"/>
    </xf>
    <xf numFmtId="0" fontId="82" fillId="8" borderId="9" xfId="0" applyFont="1" applyFill="1" applyBorder="1" applyAlignment="1" applyProtection="1">
      <alignment horizontal="left" vertical="center" wrapText="1"/>
      <protection locked="0"/>
    </xf>
    <xf numFmtId="0" fontId="82" fillId="5" borderId="5" xfId="0" applyFont="1" applyFill="1" applyBorder="1" applyAlignment="1" applyProtection="1">
      <alignment horizontal="left" vertical="center" wrapText="1"/>
    </xf>
    <xf numFmtId="0" fontId="82" fillId="5" borderId="9" xfId="0" applyFont="1" applyFill="1" applyBorder="1" applyAlignment="1" applyProtection="1">
      <alignment horizontal="left" vertical="center" wrapText="1"/>
    </xf>
    <xf numFmtId="0" fontId="82" fillId="8" borderId="2" xfId="0" applyFont="1" applyFill="1" applyBorder="1" applyAlignment="1" applyProtection="1">
      <alignment vertical="center" wrapText="1"/>
      <protection locked="0"/>
    </xf>
    <xf numFmtId="0" fontId="82" fillId="0" borderId="2" xfId="0" applyFont="1" applyBorder="1" applyAlignment="1" applyProtection="1">
      <alignment vertical="center" wrapText="1"/>
      <protection locked="0"/>
    </xf>
    <xf numFmtId="0" fontId="22" fillId="0" borderId="2" xfId="0" applyFont="1" applyFill="1" applyBorder="1" applyAlignment="1" applyProtection="1">
      <alignment horizontal="center" vertical="center" wrapText="1"/>
    </xf>
    <xf numFmtId="0" fontId="152" fillId="0" borderId="2" xfId="0" applyFont="1" applyBorder="1" applyAlignment="1">
      <alignment horizontal="center" vertical="center" wrapText="1"/>
    </xf>
    <xf numFmtId="0" fontId="23" fillId="5" borderId="53" xfId="0" applyFont="1" applyFill="1" applyBorder="1" applyAlignment="1" applyProtection="1">
      <alignment horizontal="center" vertical="center"/>
    </xf>
    <xf numFmtId="0" fontId="23" fillId="5" borderId="27" xfId="0" applyFont="1" applyFill="1" applyBorder="1" applyAlignment="1" applyProtection="1">
      <alignment horizontal="center" vertical="center"/>
    </xf>
    <xf numFmtId="0" fontId="23" fillId="5" borderId="41" xfId="0" applyFont="1" applyFill="1" applyBorder="1" applyAlignment="1" applyProtection="1">
      <alignment horizontal="center" vertical="center"/>
    </xf>
    <xf numFmtId="0" fontId="21" fillId="5" borderId="1" xfId="0" applyFont="1" applyFill="1" applyBorder="1" applyAlignment="1" applyProtection="1">
      <alignment horizontal="center" vertical="center"/>
    </xf>
    <xf numFmtId="0" fontId="21" fillId="5" borderId="6" xfId="0" applyFont="1" applyFill="1" applyBorder="1" applyAlignment="1" applyProtection="1">
      <alignment horizontal="center" vertical="center"/>
    </xf>
    <xf numFmtId="0" fontId="21"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66" fillId="5" borderId="104" xfId="0" applyFont="1" applyFill="1" applyBorder="1" applyAlignment="1" applyProtection="1">
      <alignment horizontal="center" vertical="center"/>
    </xf>
    <xf numFmtId="0" fontId="66" fillId="5" borderId="100" xfId="0" applyFont="1" applyFill="1" applyBorder="1" applyAlignment="1" applyProtection="1">
      <alignment horizontal="center" vertical="center"/>
    </xf>
    <xf numFmtId="0" fontId="166" fillId="5" borderId="2" xfId="0" applyFont="1" applyFill="1" applyBorder="1" applyAlignment="1">
      <alignment horizontal="center" vertical="center" wrapText="1"/>
    </xf>
    <xf numFmtId="0" fontId="53" fillId="5" borderId="5" xfId="0" applyFont="1" applyFill="1" applyBorder="1" applyAlignment="1" applyProtection="1">
      <alignment horizontal="center" vertical="center"/>
    </xf>
    <xf numFmtId="0" fontId="53" fillId="5" borderId="8" xfId="0" applyFont="1" applyFill="1" applyBorder="1" applyAlignment="1" applyProtection="1">
      <alignment horizontal="center" vertical="center"/>
    </xf>
    <xf numFmtId="0" fontId="53" fillId="5" borderId="5" xfId="0"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179" fillId="5" borderId="36" xfId="0" applyFont="1" applyFill="1" applyBorder="1" applyAlignment="1" applyProtection="1">
      <alignment horizontal="center" vertical="center" wrapText="1"/>
    </xf>
    <xf numFmtId="0" fontId="179" fillId="5" borderId="37"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61" fillId="5" borderId="21" xfId="0" applyFont="1" applyFill="1" applyBorder="1" applyAlignment="1" applyProtection="1">
      <alignment horizontal="center" vertical="center" wrapText="1"/>
    </xf>
    <xf numFmtId="0" fontId="161" fillId="5" borderId="17"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69" fillId="5" borderId="2" xfId="0" applyFont="1" applyFill="1" applyBorder="1" applyAlignment="1" applyProtection="1">
      <alignment horizontal="center" vertical="center" wrapText="1"/>
    </xf>
    <xf numFmtId="0" fontId="49" fillId="5" borderId="10"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89" fillId="5" borderId="61" xfId="0" applyFont="1" applyFill="1" applyBorder="1" applyAlignment="1" applyProtection="1">
      <alignment horizontal="center" vertical="center"/>
    </xf>
    <xf numFmtId="0" fontId="99" fillId="5" borderId="1" xfId="0" applyFont="1" applyFill="1" applyBorder="1" applyAlignment="1" applyProtection="1">
      <alignment horizontal="center" vertical="center" wrapText="1"/>
    </xf>
    <xf numFmtId="0" fontId="99" fillId="5" borderId="6"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5" borderId="53" xfId="0" applyFont="1" applyFill="1" applyBorder="1" applyAlignment="1" applyProtection="1">
      <alignment horizontal="left" vertical="center" wrapText="1"/>
    </xf>
    <xf numFmtId="0" fontId="79" fillId="5" borderId="24" xfId="0" applyFont="1" applyFill="1" applyBorder="1" applyAlignment="1" applyProtection="1">
      <alignment horizontal="left" vertical="center" wrapText="1"/>
    </xf>
    <xf numFmtId="0" fontId="79" fillId="5" borderId="23" xfId="0" applyFont="1" applyFill="1" applyBorder="1" applyAlignment="1" applyProtection="1">
      <alignment horizontal="left" vertical="center" wrapText="1"/>
    </xf>
    <xf numFmtId="0" fontId="169" fillId="5" borderId="71" xfId="0" applyFont="1" applyFill="1" applyBorder="1" applyAlignment="1" applyProtection="1">
      <alignment horizontal="center" vertical="center" wrapText="1"/>
    </xf>
    <xf numFmtId="0" fontId="169" fillId="5" borderId="84"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77" fillId="5" borderId="35" xfId="0" applyFont="1" applyFill="1" applyBorder="1" applyAlignment="1" applyProtection="1">
      <alignment horizontal="center" vertical="center" wrapText="1"/>
    </xf>
    <xf numFmtId="0" fontId="177" fillId="5" borderId="79" xfId="0" applyFont="1" applyFill="1" applyBorder="1" applyAlignment="1" applyProtection="1">
      <alignment horizontal="center" vertical="center" wrapText="1"/>
    </xf>
    <xf numFmtId="0" fontId="177" fillId="5" borderId="80" xfId="0" applyFont="1" applyFill="1" applyBorder="1" applyAlignment="1" applyProtection="1">
      <alignment horizontal="center" vertical="center" wrapText="1"/>
    </xf>
    <xf numFmtId="0" fontId="80" fillId="5" borderId="43" xfId="0" applyFont="1" applyFill="1" applyBorder="1" applyAlignment="1" applyProtection="1">
      <alignment horizontal="left" vertical="center" wrapText="1"/>
    </xf>
    <xf numFmtId="0" fontId="80" fillId="5" borderId="44" xfId="0" applyFont="1" applyFill="1" applyBorder="1" applyAlignment="1" applyProtection="1">
      <alignment horizontal="left" vertical="center" wrapText="1"/>
    </xf>
    <xf numFmtId="0" fontId="89" fillId="5" borderId="4" xfId="0" applyFont="1" applyFill="1" applyBorder="1" applyAlignment="1" applyProtection="1">
      <alignment horizontal="left" vertical="center" wrapText="1"/>
    </xf>
    <xf numFmtId="0" fontId="89" fillId="5" borderId="14" xfId="0" applyFont="1" applyFill="1" applyBorder="1" applyAlignment="1" applyProtection="1">
      <alignment horizontal="left" vertical="center" wrapText="1"/>
    </xf>
    <xf numFmtId="0" fontId="89" fillId="5" borderId="32" xfId="0" applyFont="1" applyFill="1" applyBorder="1" applyAlignment="1" applyProtection="1">
      <alignment horizontal="left" vertical="center" wrapText="1"/>
    </xf>
    <xf numFmtId="0" fontId="80" fillId="5" borderId="25" xfId="0" applyFont="1" applyFill="1" applyBorder="1" applyAlignment="1" applyProtection="1">
      <alignment horizontal="center" vertical="center"/>
    </xf>
    <xf numFmtId="0" fontId="80" fillId="5" borderId="52"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1"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10" fontId="53"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10" fontId="80" fillId="5" borderId="5" xfId="0" applyNumberFormat="1" applyFont="1" applyFill="1" applyBorder="1" applyAlignment="1" applyProtection="1">
      <alignment horizontal="left" vertical="center" wrapText="1"/>
    </xf>
    <xf numFmtId="0" fontId="157" fillId="0" borderId="36" xfId="0" applyFont="1" applyBorder="1" applyAlignment="1" applyProtection="1">
      <alignment horizontal="center" vertical="center"/>
      <protection locked="0"/>
    </xf>
    <xf numFmtId="0" fontId="157" fillId="0" borderId="37" xfId="0" applyFont="1" applyBorder="1" applyAlignment="1" applyProtection="1">
      <alignment horizontal="center" vertical="center"/>
      <protection locked="0"/>
    </xf>
    <xf numFmtId="0" fontId="157" fillId="0" borderId="61" xfId="0" applyFont="1" applyBorder="1" applyAlignment="1" applyProtection="1">
      <alignment horizontal="center" vertical="center"/>
      <protection locked="0"/>
    </xf>
    <xf numFmtId="0" fontId="157" fillId="0" borderId="38" xfId="0" applyFont="1" applyBorder="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99" fillId="5" borderId="31"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80" fillId="5" borderId="87"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3" xfId="0" applyFont="1" applyBorder="1" applyAlignment="1" applyProtection="1">
      <alignment horizontal="center" vertical="center"/>
      <protection locked="0"/>
    </xf>
    <xf numFmtId="0" fontId="75" fillId="0" borderId="21"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80" fillId="5" borderId="8" xfId="0" applyFont="1" applyFill="1" applyBorder="1" applyAlignment="1" applyProtection="1">
      <alignment horizontal="center" vertical="center" wrapText="1"/>
    </xf>
    <xf numFmtId="0" fontId="80" fillId="5" borderId="9" xfId="0" applyFont="1" applyFill="1" applyBorder="1" applyAlignment="1" applyProtection="1">
      <alignment horizontal="left" vertical="center" wrapText="1"/>
    </xf>
    <xf numFmtId="0" fontId="79" fillId="5" borderId="50" xfId="0" applyFont="1" applyFill="1" applyBorder="1" applyAlignment="1" applyProtection="1">
      <alignment horizontal="left" vertical="center" wrapText="1"/>
    </xf>
    <xf numFmtId="0" fontId="79" fillId="5" borderId="11" xfId="0" applyFont="1" applyFill="1" applyBorder="1" applyAlignment="1" applyProtection="1">
      <alignment horizontal="left" vertical="center"/>
    </xf>
    <xf numFmtId="0" fontId="79" fillId="5" borderId="2" xfId="0" applyFont="1" applyFill="1" applyBorder="1" applyAlignment="1" applyProtection="1">
      <alignment horizontal="left" vertical="center"/>
    </xf>
    <xf numFmtId="0" fontId="79" fillId="5" borderId="43" xfId="0" applyFont="1" applyFill="1" applyBorder="1" applyAlignment="1" applyProtection="1">
      <alignment horizontal="left" vertical="center" wrapText="1"/>
      <protection locked="0"/>
    </xf>
    <xf numFmtId="0" fontId="79" fillId="5" borderId="44" xfId="0" applyFont="1" applyFill="1" applyBorder="1" applyAlignment="1" applyProtection="1">
      <alignment horizontal="left" vertical="center" wrapText="1"/>
      <protection locked="0"/>
    </xf>
    <xf numFmtId="0" fontId="80" fillId="5" borderId="22" xfId="0" applyFont="1" applyFill="1" applyBorder="1" applyAlignment="1" applyProtection="1">
      <alignment horizontal="left" vertical="center" wrapText="1"/>
    </xf>
    <xf numFmtId="0" fontId="79" fillId="5" borderId="64"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89" fillId="5" borderId="59" xfId="0" applyFont="1" applyFill="1" applyBorder="1" applyAlignment="1" applyProtection="1">
      <alignment horizontal="center" vertical="center" wrapText="1"/>
    </xf>
    <xf numFmtId="0" fontId="89" fillId="5" borderId="30" xfId="0" applyFont="1" applyFill="1" applyBorder="1" applyAlignment="1" applyProtection="1">
      <alignment horizontal="center" vertical="center" wrapText="1"/>
    </xf>
    <xf numFmtId="0" fontId="89" fillId="5" borderId="57" xfId="0" applyFont="1" applyFill="1" applyBorder="1" applyAlignment="1" applyProtection="1">
      <alignment horizontal="center" vertical="center" wrapText="1"/>
    </xf>
    <xf numFmtId="0" fontId="79" fillId="6" borderId="8" xfId="0" applyFont="1" applyFill="1" applyBorder="1" applyAlignment="1" applyProtection="1">
      <alignment vertical="center"/>
    </xf>
    <xf numFmtId="0" fontId="79" fillId="6" borderId="9" xfId="0" applyFont="1" applyFill="1" applyBorder="1" applyAlignment="1" applyProtection="1">
      <alignment vertical="center"/>
    </xf>
    <xf numFmtId="0" fontId="148" fillId="5" borderId="1" xfId="0" applyFont="1" applyFill="1" applyBorder="1" applyAlignment="1" applyProtection="1">
      <alignment horizontal="center" vertical="center" wrapText="1"/>
    </xf>
    <xf numFmtId="0" fontId="148" fillId="5" borderId="6"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205" fillId="5" borderId="11" xfId="0" applyFont="1" applyFill="1" applyBorder="1" applyAlignment="1" applyProtection="1">
      <alignment horizontal="center" vertical="center"/>
    </xf>
    <xf numFmtId="0" fontId="88" fillId="5" borderId="10"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88" fillId="5" borderId="21" xfId="0" applyFont="1" applyFill="1" applyBorder="1" applyAlignment="1" applyProtection="1">
      <alignment horizontal="center" vertical="center"/>
    </xf>
    <xf numFmtId="0" fontId="75" fillId="5" borderId="5"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88" fillId="5" borderId="4" xfId="0" applyFont="1" applyFill="1" applyBorder="1" applyAlignment="1" applyProtection="1">
      <alignment horizontal="center" vertical="center"/>
    </xf>
    <xf numFmtId="0" fontId="88" fillId="5" borderId="32" xfId="0" applyFont="1" applyFill="1" applyBorder="1" applyAlignment="1" applyProtection="1">
      <alignment horizontal="center" vertical="center"/>
    </xf>
    <xf numFmtId="0" fontId="88" fillId="5" borderId="13"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17" xfId="0" applyFont="1" applyFill="1" applyBorder="1" applyAlignment="1" applyProtection="1">
      <alignment horizontal="center" vertical="center"/>
    </xf>
    <xf numFmtId="0" fontId="88" fillId="5" borderId="20" xfId="0"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88" fillId="5" borderId="10" xfId="0" applyFont="1" applyFill="1" applyBorder="1" applyAlignment="1" applyProtection="1">
      <alignment horizontal="center" vertical="center" wrapText="1"/>
    </xf>
    <xf numFmtId="0" fontId="88" fillId="5" borderId="3" xfId="0" applyFont="1" applyFill="1" applyBorder="1" applyAlignment="1" applyProtection="1">
      <alignment horizontal="center" vertical="center" wrapText="1"/>
    </xf>
    <xf numFmtId="0" fontId="88" fillId="5" borderId="10" xfId="0" applyFont="1" applyFill="1" applyBorder="1" applyAlignment="1" applyProtection="1">
      <alignment horizontal="center" vertical="center" textRotation="255" wrapText="1"/>
    </xf>
    <xf numFmtId="0" fontId="88" fillId="5" borderId="3" xfId="0" applyFont="1" applyFill="1" applyBorder="1" applyAlignment="1" applyProtection="1">
      <alignment horizontal="center" vertical="center" textRotation="255" wrapText="1"/>
    </xf>
    <xf numFmtId="0" fontId="88" fillId="5" borderId="1" xfId="0" applyFont="1" applyFill="1" applyBorder="1" applyAlignment="1" applyProtection="1">
      <alignment horizontal="center" vertical="center" wrapText="1"/>
    </xf>
    <xf numFmtId="0" fontId="88" fillId="5" borderId="7" xfId="0" applyFont="1" applyFill="1" applyBorder="1" applyAlignment="1" applyProtection="1">
      <alignment horizontal="center" vertical="center" wrapText="1"/>
    </xf>
    <xf numFmtId="0" fontId="88" fillId="5" borderId="4" xfId="0" applyFont="1" applyFill="1" applyBorder="1" applyAlignment="1" applyProtection="1">
      <alignment horizontal="center" vertical="center" wrapText="1"/>
    </xf>
    <xf numFmtId="0" fontId="88" fillId="5" borderId="32" xfId="0" applyFont="1" applyFill="1" applyBorder="1" applyAlignment="1" applyProtection="1">
      <alignment horizontal="center" vertical="center" wrapText="1"/>
    </xf>
    <xf numFmtId="0" fontId="88" fillId="5" borderId="13" xfId="0" applyFont="1" applyFill="1" applyBorder="1" applyAlignment="1" applyProtection="1">
      <alignment horizontal="center" vertical="center" wrapText="1"/>
    </xf>
    <xf numFmtId="0" fontId="88" fillId="5" borderId="18"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wrapText="1"/>
    </xf>
    <xf numFmtId="0" fontId="88" fillId="5" borderId="20"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271" fillId="0" borderId="22" xfId="0" applyFont="1" applyFill="1" applyBorder="1" applyAlignment="1" applyProtection="1">
      <alignment horizontal="center" vertical="center" wrapText="1"/>
      <protection locked="0"/>
    </xf>
    <xf numFmtId="0" fontId="271" fillId="0" borderId="25"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271" fillId="0" borderId="12" xfId="0" applyFont="1" applyFill="1" applyBorder="1" applyAlignment="1" applyProtection="1">
      <alignment horizontal="center" vertical="center" wrapText="1"/>
      <protection locked="0"/>
    </xf>
    <xf numFmtId="0" fontId="271" fillId="0" borderId="43" xfId="0" applyFont="1" applyFill="1" applyBorder="1" applyAlignment="1" applyProtection="1">
      <alignment horizontal="center" vertical="center" wrapText="1"/>
      <protection locked="0"/>
    </xf>
    <xf numFmtId="0" fontId="271" fillId="0" borderId="46" xfId="0"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5" borderId="9" xfId="0" applyFont="1" applyFill="1" applyBorder="1" applyAlignment="1" applyProtection="1">
      <alignment horizontal="center" vertical="center" wrapText="1"/>
    </xf>
    <xf numFmtId="185" fontId="87" fillId="5" borderId="2" xfId="0" applyNumberFormat="1" applyFont="1" applyFill="1" applyBorder="1" applyAlignment="1" applyProtection="1">
      <alignment horizontal="center" vertical="center"/>
    </xf>
    <xf numFmtId="185" fontId="88" fillId="5" borderId="2" xfId="0" applyNumberFormat="1" applyFont="1" applyFill="1" applyBorder="1" applyAlignment="1" applyProtection="1">
      <alignment horizontal="center" vertical="center"/>
    </xf>
    <xf numFmtId="0" fontId="150" fillId="21" borderId="2" xfId="0" applyFont="1" applyFill="1" applyBorder="1" applyAlignment="1">
      <alignment horizontal="center"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149" fillId="0" borderId="0" xfId="0" applyFont="1" applyAlignment="1">
      <alignment horizontal="center" vertical="center"/>
    </xf>
    <xf numFmtId="0" fontId="0" fillId="0" borderId="0" xfId="0" applyAlignment="1">
      <alignment horizontal="center" vertical="center"/>
    </xf>
    <xf numFmtId="0" fontId="297" fillId="0" borderId="35" xfId="0" applyFont="1" applyBorder="1" applyAlignment="1">
      <alignment horizontal="center" vertical="center" wrapText="1"/>
    </xf>
    <xf numFmtId="0" fontId="297" fillId="0" borderId="80" xfId="0" applyFont="1" applyBorder="1" applyAlignment="1">
      <alignment horizontal="center" vertical="center" wrapText="1"/>
    </xf>
    <xf numFmtId="0" fontId="297" fillId="0" borderId="36" xfId="0" applyFont="1" applyBorder="1" applyAlignment="1">
      <alignment horizontal="center" vertical="center" wrapText="1"/>
    </xf>
    <xf numFmtId="0" fontId="297" fillId="0" borderId="37" xfId="0" applyFont="1" applyBorder="1" applyAlignment="1">
      <alignment horizontal="center" vertical="center" wrapText="1"/>
    </xf>
    <xf numFmtId="0" fontId="297" fillId="0" borderId="38" xfId="0" applyFont="1" applyBorder="1" applyAlignment="1">
      <alignment horizontal="center" vertical="center" wrapText="1"/>
    </xf>
    <xf numFmtId="0" fontId="297" fillId="5" borderId="115" xfId="0" applyFont="1" applyFill="1" applyBorder="1" applyAlignment="1">
      <alignment horizontal="center" vertical="center" wrapText="1"/>
    </xf>
    <xf numFmtId="0" fontId="297" fillId="5" borderId="116" xfId="0" applyFont="1" applyFill="1" applyBorder="1" applyAlignment="1">
      <alignment horizontal="center" vertical="center" wrapText="1"/>
    </xf>
    <xf numFmtId="0" fontId="297" fillId="5" borderId="42" xfId="0" applyFont="1" applyFill="1" applyBorder="1" applyAlignment="1">
      <alignment horizontal="center" vertical="center" wrapText="1"/>
    </xf>
    <xf numFmtId="0" fontId="297" fillId="5" borderId="6" xfId="0" applyFont="1" applyFill="1" applyBorder="1" applyAlignment="1">
      <alignment horizontal="center" vertical="center" wrapText="1"/>
    </xf>
    <xf numFmtId="0" fontId="297" fillId="5" borderId="7" xfId="0" applyFont="1" applyFill="1" applyBorder="1" applyAlignment="1">
      <alignment horizontal="center" vertical="center" wrapText="1"/>
    </xf>
    <xf numFmtId="0" fontId="298" fillId="0" borderId="2" xfId="22" applyFont="1" applyBorder="1" applyAlignment="1">
      <alignment horizontal="center" vertical="center" wrapText="1"/>
    </xf>
    <xf numFmtId="0" fontId="298" fillId="2" borderId="2" xfId="22" applyFont="1" applyFill="1" applyBorder="1" applyAlignment="1">
      <alignment horizontal="center" vertical="center" wrapText="1"/>
    </xf>
    <xf numFmtId="0" fontId="298" fillId="24" borderId="2" xfId="22" applyFont="1" applyFill="1" applyBorder="1" applyAlignment="1">
      <alignment horizontal="center" vertical="center" wrapText="1"/>
    </xf>
    <xf numFmtId="0" fontId="298" fillId="0" borderId="5" xfId="22" applyFont="1" applyBorder="1" applyAlignment="1">
      <alignment horizontal="center" vertical="center" wrapText="1"/>
    </xf>
    <xf numFmtId="0" fontId="298" fillId="0" borderId="8" xfId="22" applyFont="1" applyBorder="1" applyAlignment="1">
      <alignment horizontal="center" vertical="center" wrapText="1"/>
    </xf>
    <xf numFmtId="0" fontId="298" fillId="0" borderId="9" xfId="22" applyFont="1" applyBorder="1" applyAlignment="1">
      <alignment horizontal="center" vertical="center" wrapText="1"/>
    </xf>
    <xf numFmtId="0" fontId="298" fillId="0" borderId="2" xfId="22" applyNumberFormat="1" applyFont="1" applyBorder="1" applyAlignment="1">
      <alignment horizontal="center" vertical="center" wrapText="1"/>
    </xf>
    <xf numFmtId="0" fontId="168" fillId="5" borderId="0" xfId="3" applyFont="1" applyFill="1" applyAlignment="1" applyProtection="1">
      <alignment horizontal="left" vertical="center"/>
    </xf>
    <xf numFmtId="49" fontId="130" fillId="5" borderId="53" xfId="0" applyNumberFormat="1" applyFont="1" applyFill="1" applyBorder="1" applyAlignment="1" applyProtection="1">
      <alignment horizontal="center" vertical="center" wrapText="1"/>
    </xf>
    <xf numFmtId="49" fontId="130" fillId="5" borderId="24" xfId="0" applyNumberFormat="1" applyFont="1" applyFill="1" applyBorder="1" applyAlignment="1" applyProtection="1">
      <alignment horizontal="center" vertical="center" wrapText="1"/>
    </xf>
    <xf numFmtId="49" fontId="163" fillId="5" borderId="31" xfId="0" applyNumberFormat="1" applyFont="1" applyFill="1" applyBorder="1" applyAlignment="1" applyProtection="1">
      <alignment horizontal="center" vertical="center" wrapText="1"/>
    </xf>
    <xf numFmtId="49" fontId="163" fillId="5" borderId="23" xfId="0" applyNumberFormat="1" applyFont="1" applyFill="1" applyBorder="1" applyAlignment="1" applyProtection="1">
      <alignment horizontal="center" vertical="center" wrapText="1"/>
    </xf>
    <xf numFmtId="0" fontId="173" fillId="5" borderId="0" xfId="3" applyFont="1" applyFill="1" applyAlignment="1" applyProtection="1">
      <alignment horizontal="center" vertical="center"/>
    </xf>
    <xf numFmtId="0" fontId="168" fillId="5" borderId="2" xfId="3" applyFont="1" applyFill="1" applyBorder="1" applyAlignment="1" applyProtection="1">
      <alignment horizontal="center" vertical="center"/>
    </xf>
    <xf numFmtId="0" fontId="280" fillId="5" borderId="10" xfId="0" applyFont="1" applyFill="1" applyBorder="1" applyAlignment="1" applyProtection="1">
      <alignment vertical="center" wrapText="1"/>
    </xf>
    <xf numFmtId="0" fontId="280" fillId="5" borderId="3" xfId="0" applyFont="1" applyFill="1" applyBorder="1" applyAlignment="1" applyProtection="1">
      <alignment vertical="center" wrapText="1"/>
    </xf>
    <xf numFmtId="0" fontId="280" fillId="5" borderId="21" xfId="0"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44" fillId="5" borderId="8" xfId="3" applyFont="1" applyFill="1" applyBorder="1" applyAlignment="1" applyProtection="1">
      <alignment horizontal="right" vertical="center" wrapText="1"/>
      <protection locked="0"/>
    </xf>
    <xf numFmtId="0" fontId="90" fillId="5" borderId="9" xfId="3" applyFont="1" applyFill="1" applyBorder="1" applyAlignment="1" applyProtection="1">
      <alignment horizontal="right" vertical="center" wrapText="1"/>
      <protection locked="0"/>
    </xf>
    <xf numFmtId="0" fontId="168" fillId="5" borderId="10" xfId="3" applyFont="1" applyFill="1" applyBorder="1" applyAlignment="1" applyProtection="1">
      <alignment horizontal="center" vertical="center"/>
    </xf>
    <xf numFmtId="0" fontId="168" fillId="5" borderId="3" xfId="3" applyFont="1" applyFill="1" applyBorder="1" applyAlignment="1" applyProtection="1">
      <alignment horizontal="center" vertical="center"/>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wrapText="1"/>
    </xf>
    <xf numFmtId="0" fontId="204" fillId="5" borderId="0" xfId="3" applyFont="1" applyFill="1" applyAlignment="1" applyProtection="1">
      <alignment horizontal="center" vertical="center"/>
    </xf>
    <xf numFmtId="0" fontId="164" fillId="5" borderId="0" xfId="3" applyFont="1" applyFill="1" applyBorder="1" applyAlignment="1" applyProtection="1">
      <alignment horizontal="left" vertical="center"/>
    </xf>
    <xf numFmtId="0" fontId="170" fillId="5" borderId="1" xfId="3" applyFont="1" applyFill="1" applyBorder="1" applyAlignment="1" applyProtection="1">
      <alignment horizontal="center" vertical="center" wrapText="1"/>
    </xf>
    <xf numFmtId="0" fontId="170" fillId="5" borderId="43" xfId="3" applyFont="1" applyFill="1" applyBorder="1" applyAlignment="1" applyProtection="1">
      <alignment horizontal="center" vertical="center" wrapText="1"/>
    </xf>
    <xf numFmtId="0" fontId="204" fillId="5" borderId="0" xfId="0" applyFont="1" applyFill="1" applyAlignment="1" applyProtection="1">
      <alignment horizontal="center" vertical="center"/>
    </xf>
    <xf numFmtId="0" fontId="126" fillId="5" borderId="0" xfId="0" applyFont="1" applyFill="1" applyAlignment="1" applyProtection="1">
      <alignment horizontal="left" vertical="center"/>
      <protection locked="0"/>
    </xf>
    <xf numFmtId="0" fontId="234" fillId="5" borderId="10" xfId="0" applyFont="1" applyFill="1" applyBorder="1" applyAlignment="1" applyProtection="1">
      <alignment vertical="top" wrapText="1"/>
    </xf>
    <xf numFmtId="0" fontId="234" fillId="5" borderId="18" xfId="0" applyFont="1" applyFill="1" applyBorder="1" applyAlignment="1" applyProtection="1">
      <alignment vertical="top" wrapText="1"/>
    </xf>
    <xf numFmtId="0" fontId="234" fillId="5" borderId="3" xfId="0" applyFont="1" applyFill="1" applyBorder="1" applyAlignment="1" applyProtection="1">
      <alignment vertical="top" wrapText="1"/>
    </xf>
    <xf numFmtId="0" fontId="234" fillId="5" borderId="21" xfId="0" applyFont="1" applyFill="1" applyBorder="1" applyAlignment="1" applyProtection="1">
      <alignment vertical="top" wrapText="1"/>
    </xf>
    <xf numFmtId="0" fontId="165" fillId="5" borderId="49" xfId="0" applyFont="1" applyFill="1" applyBorder="1" applyAlignment="1" applyProtection="1">
      <alignment horizontal="left" vertical="center" wrapText="1"/>
      <protection locked="0"/>
    </xf>
    <xf numFmtId="0" fontId="165" fillId="5" borderId="38" xfId="0" applyFont="1" applyFill="1" applyBorder="1" applyAlignment="1" applyProtection="1">
      <alignment horizontal="left" vertical="center" wrapText="1"/>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9" fillId="11" borderId="5" xfId="0" applyFont="1" applyFill="1" applyBorder="1" applyAlignment="1">
      <alignment horizontal="left" vertical="center"/>
    </xf>
    <xf numFmtId="0" fontId="239" fillId="11" borderId="8" xfId="0" applyFont="1" applyFill="1" applyBorder="1" applyAlignment="1">
      <alignment horizontal="left" vertical="center"/>
    </xf>
    <xf numFmtId="0" fontId="239" fillId="11" borderId="9" xfId="0" applyFont="1" applyFill="1" applyBorder="1" applyAlignment="1">
      <alignment horizontal="left" vertical="center"/>
    </xf>
    <xf numFmtId="0" fontId="230" fillId="11" borderId="2" xfId="0" applyFont="1" applyFill="1" applyBorder="1" applyAlignment="1">
      <alignment horizontal="center" vertical="center"/>
    </xf>
    <xf numFmtId="0" fontId="131" fillId="0" borderId="2" xfId="0" applyFont="1" applyBorder="1" applyAlignment="1">
      <alignment horizontal="center"/>
    </xf>
    <xf numFmtId="0" fontId="131" fillId="0" borderId="2" xfId="0" applyFont="1" applyBorder="1" applyAlignment="1"/>
    <xf numFmtId="0" fontId="230" fillId="5" borderId="11" xfId="0" applyFont="1" applyFill="1" applyBorder="1" applyAlignment="1">
      <alignment horizontal="left" vertical="center" wrapText="1"/>
    </xf>
    <xf numFmtId="0" fontId="131" fillId="0" borderId="2" xfId="0" applyFont="1" applyFill="1" applyBorder="1" applyAlignment="1">
      <alignment horizontal="center" vertical="center"/>
    </xf>
    <xf numFmtId="0" fontId="230" fillId="0" borderId="2" xfId="0" applyFont="1" applyFill="1" applyBorder="1" applyAlignment="1">
      <alignment horizontal="center" vertical="center"/>
    </xf>
    <xf numFmtId="0" fontId="230" fillId="5" borderId="2" xfId="0" applyFont="1" applyFill="1" applyBorder="1" applyAlignment="1">
      <alignment horizontal="left" vertical="center" wrapText="1"/>
    </xf>
    <xf numFmtId="0" fontId="239" fillId="5" borderId="81" xfId="0" applyFont="1" applyFill="1" applyBorder="1" applyAlignment="1">
      <alignment vertical="center"/>
    </xf>
    <xf numFmtId="0" fontId="239" fillId="5" borderId="14" xfId="0" applyFont="1" applyFill="1" applyBorder="1" applyAlignment="1">
      <alignment vertical="center"/>
    </xf>
    <xf numFmtId="0" fontId="239" fillId="5" borderId="32" xfId="0" applyFont="1" applyFill="1" applyBorder="1" applyAlignment="1">
      <alignment vertical="center"/>
    </xf>
    <xf numFmtId="0" fontId="239" fillId="5" borderId="54" xfId="0" applyFont="1" applyFill="1" applyBorder="1" applyAlignment="1">
      <alignment vertical="center"/>
    </xf>
    <xf numFmtId="0" fontId="239" fillId="5" borderId="61" xfId="0" applyFont="1" applyFill="1" applyBorder="1" applyAlignment="1">
      <alignment vertical="center"/>
    </xf>
    <xf numFmtId="0" fontId="239" fillId="5" borderId="67" xfId="0" applyFont="1" applyFill="1" applyBorder="1" applyAlignment="1">
      <alignment vertical="center"/>
    </xf>
    <xf numFmtId="0" fontId="236" fillId="5" borderId="64" xfId="0" applyFont="1" applyFill="1" applyBorder="1" applyAlignment="1">
      <alignment horizontal="left" vertical="center"/>
    </xf>
    <xf numFmtId="0" fontId="236" fillId="5" borderId="8" xfId="0" applyFont="1" applyFill="1" applyBorder="1" applyAlignment="1">
      <alignment horizontal="left" vertical="center"/>
    </xf>
    <xf numFmtId="0" fontId="236" fillId="5" borderId="9" xfId="0" applyFont="1" applyFill="1" applyBorder="1" applyAlignment="1">
      <alignment horizontal="left" vertical="center"/>
    </xf>
    <xf numFmtId="0" fontId="238" fillId="5" borderId="2" xfId="0" applyFont="1" applyFill="1" applyBorder="1" applyAlignment="1">
      <alignment horizontal="center" vertical="center"/>
    </xf>
    <xf numFmtId="0" fontId="238" fillId="5" borderId="12" xfId="0" applyFont="1" applyFill="1" applyBorder="1" applyAlignment="1">
      <alignment horizontal="center" vertical="center"/>
    </xf>
    <xf numFmtId="0" fontId="153" fillId="5" borderId="26" xfId="0" applyFont="1" applyFill="1" applyBorder="1" applyAlignment="1" applyProtection="1">
      <alignment horizontal="center" vertical="center" wrapText="1"/>
    </xf>
    <xf numFmtId="0" fontId="153" fillId="5" borderId="39" xfId="0" applyFont="1" applyFill="1" applyBorder="1" applyAlignment="1" applyProtection="1">
      <alignment horizontal="center" vertical="center" wrapText="1"/>
    </xf>
    <xf numFmtId="0" fontId="153" fillId="5" borderId="87" xfId="0" applyFont="1" applyFill="1" applyBorder="1" applyAlignment="1" applyProtection="1">
      <alignment horizontal="center" vertical="center" wrapText="1"/>
    </xf>
    <xf numFmtId="0" fontId="153" fillId="5" borderId="63" xfId="0" applyFont="1" applyFill="1" applyBorder="1" applyAlignment="1" applyProtection="1">
      <alignment horizontal="center" vertical="center" wrapText="1"/>
    </xf>
    <xf numFmtId="0" fontId="156" fillId="5" borderId="11" xfId="0" applyFont="1" applyFill="1" applyBorder="1" applyAlignment="1" applyProtection="1">
      <alignment horizontal="center" vertical="center"/>
    </xf>
    <xf numFmtId="0" fontId="88" fillId="5" borderId="42" xfId="0" applyFont="1" applyFill="1" applyBorder="1" applyAlignment="1" applyProtection="1">
      <alignment horizontal="center" vertical="center" wrapText="1"/>
    </xf>
    <xf numFmtId="0" fontId="88" fillId="5" borderId="29" xfId="0" applyFont="1" applyFill="1" applyBorder="1" applyAlignment="1" applyProtection="1">
      <alignment horizontal="center" vertical="center" wrapText="1"/>
    </xf>
    <xf numFmtId="0" fontId="270" fillId="0" borderId="9"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49" fontId="293" fillId="0" borderId="11" xfId="0" applyNumberFormat="1" applyFont="1" applyFill="1" applyBorder="1" applyAlignment="1" applyProtection="1">
      <alignment horizontal="center" vertical="center" wrapText="1"/>
      <protection locked="0"/>
    </xf>
    <xf numFmtId="49" fontId="271" fillId="0" borderId="22" xfId="0" applyNumberFormat="1" applyFont="1" applyFill="1" applyBorder="1" applyAlignment="1" applyProtection="1">
      <alignment horizontal="center" vertical="center" wrapText="1"/>
      <protection locked="0"/>
    </xf>
    <xf numFmtId="0" fontId="271" fillId="0" borderId="32" xfId="0" applyFont="1" applyFill="1" applyBorder="1" applyAlignment="1" applyProtection="1">
      <alignment horizontal="center" vertical="center" wrapText="1"/>
      <protection locked="0"/>
    </xf>
    <xf numFmtId="0" fontId="271" fillId="0" borderId="4" xfId="0" applyFont="1" applyFill="1" applyBorder="1" applyAlignment="1" applyProtection="1">
      <alignment horizontal="center" vertical="center" wrapText="1"/>
      <protection locked="0"/>
    </xf>
    <xf numFmtId="0" fontId="271" fillId="0" borderId="9" xfId="0" applyFont="1" applyFill="1" applyBorder="1" applyAlignment="1" applyProtection="1">
      <alignment horizontal="center" vertical="center" wrapText="1"/>
      <protection locked="0"/>
    </xf>
    <xf numFmtId="0" fontId="87" fillId="5" borderId="2" xfId="0" applyNumberFormat="1"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0" fontId="88" fillId="5" borderId="21" xfId="0" applyFont="1" applyFill="1" applyBorder="1" applyAlignment="1" applyProtection="1">
      <alignment horizontal="center" vertical="center" textRotation="255" wrapText="1"/>
    </xf>
    <xf numFmtId="0" fontId="88" fillId="5" borderId="14" xfId="0" applyFont="1" applyFill="1" applyBorder="1" applyAlignment="1" applyProtection="1">
      <alignment horizontal="center" vertical="center" wrapText="1"/>
    </xf>
    <xf numFmtId="0" fontId="88" fillId="5" borderId="0" xfId="0" applyFont="1" applyFill="1" applyBorder="1" applyAlignment="1" applyProtection="1">
      <alignment horizontal="center" vertical="center" wrapText="1"/>
    </xf>
    <xf numFmtId="0" fontId="88" fillId="5" borderId="19" xfId="0" applyFont="1" applyFill="1" applyBorder="1" applyAlignment="1" applyProtection="1">
      <alignment horizontal="center" vertical="center" wrapText="1"/>
    </xf>
    <xf numFmtId="0" fontId="88"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68" xfId="0" applyFont="1" applyFill="1" applyBorder="1" applyAlignment="1" applyProtection="1">
      <alignment horizontal="center" vertical="center"/>
      <protection locked="0"/>
    </xf>
    <xf numFmtId="0" fontId="80" fillId="5" borderId="61" xfId="0" applyFont="1" applyFill="1" applyBorder="1" applyAlignment="1" applyProtection="1">
      <alignment horizontal="center" vertical="center"/>
      <protection locked="0"/>
    </xf>
    <xf numFmtId="0" fontId="80" fillId="5" borderId="67" xfId="0" applyFont="1" applyFill="1" applyBorder="1" applyAlignment="1" applyProtection="1">
      <alignment horizontal="center" vertical="center"/>
      <protection locked="0"/>
    </xf>
    <xf numFmtId="0" fontId="290" fillId="9" borderId="10" xfId="3" applyFont="1" applyFill="1" applyBorder="1" applyAlignment="1">
      <alignment horizontal="center" vertical="center" wrapText="1" readingOrder="1"/>
    </xf>
    <xf numFmtId="0" fontId="290" fillId="9" borderId="21" xfId="3" applyFont="1" applyFill="1" applyBorder="1" applyAlignment="1">
      <alignment horizontal="center" vertical="center" wrapText="1" readingOrder="1"/>
    </xf>
    <xf numFmtId="0" fontId="290" fillId="3" borderId="10" xfId="3" applyFont="1" applyFill="1" applyBorder="1" applyAlignment="1">
      <alignment horizontal="center" vertical="center" wrapText="1" readingOrder="1"/>
    </xf>
    <xf numFmtId="0" fontId="149" fillId="3" borderId="21" xfId="1" applyFill="1" applyBorder="1" applyAlignment="1">
      <alignment horizontal="center" vertical="center"/>
    </xf>
    <xf numFmtId="0" fontId="290" fillId="3" borderId="21" xfId="3" applyFont="1" applyFill="1" applyBorder="1" applyAlignment="1">
      <alignment horizontal="center" vertical="center" wrapText="1" readingOrder="1"/>
    </xf>
    <xf numFmtId="177" fontId="290" fillId="3" borderId="17" xfId="3" applyNumberFormat="1" applyFont="1" applyFill="1" applyBorder="1" applyAlignment="1">
      <alignment horizontal="center" vertical="center" wrapText="1" readingOrder="1"/>
    </xf>
    <xf numFmtId="177" fontId="290" fillId="3" borderId="20" xfId="3" applyNumberFormat="1" applyFont="1" applyFill="1" applyBorder="1" applyAlignment="1">
      <alignment horizontal="center" vertical="center" wrapText="1" readingOrder="1"/>
    </xf>
    <xf numFmtId="177" fontId="290" fillId="3" borderId="10" xfId="3" applyNumberFormat="1" applyFont="1" applyFill="1" applyBorder="1" applyAlignment="1">
      <alignment horizontal="center" vertical="center" wrapText="1" readingOrder="1"/>
    </xf>
    <xf numFmtId="177" fontId="290" fillId="3" borderId="21" xfId="3" applyNumberFormat="1" applyFont="1" applyFill="1" applyBorder="1" applyAlignment="1">
      <alignment horizontal="center" vertical="center" wrapText="1" readingOrder="1"/>
    </xf>
    <xf numFmtId="0" fontId="290" fillId="6" borderId="5" xfId="3" applyFont="1" applyFill="1" applyBorder="1" applyAlignment="1">
      <alignment horizontal="center" vertical="center" wrapText="1" readingOrder="1"/>
    </xf>
    <xf numFmtId="0" fontId="290" fillId="6" borderId="8" xfId="3" applyFont="1" applyFill="1" applyBorder="1" applyAlignment="1">
      <alignment horizontal="center" vertical="center" wrapText="1" readingOrder="1"/>
    </xf>
    <xf numFmtId="0" fontId="290" fillId="6" borderId="9" xfId="3" applyFont="1" applyFill="1" applyBorder="1" applyAlignment="1">
      <alignment horizontal="center" vertical="center" wrapText="1" readingOrder="1"/>
    </xf>
    <xf numFmtId="0" fontId="290" fillId="3" borderId="2" xfId="3" applyFont="1" applyFill="1" applyBorder="1" applyAlignment="1">
      <alignment horizontal="center" vertical="center" wrapText="1" readingOrder="1"/>
    </xf>
    <xf numFmtId="0" fontId="239" fillId="0" borderId="0" xfId="10" applyFont="1" applyAlignment="1">
      <alignment horizontal="center" vertical="center"/>
    </xf>
    <xf numFmtId="0" fontId="161" fillId="0" borderId="0" xfId="10" applyFont="1" applyAlignment="1">
      <alignment horizontal="center" vertical="center"/>
    </xf>
    <xf numFmtId="0" fontId="243" fillId="0" borderId="0" xfId="10" applyFont="1" applyAlignment="1">
      <alignment horizontal="center" vertical="center"/>
    </xf>
    <xf numFmtId="0" fontId="245" fillId="12" borderId="129" xfId="10" applyFont="1" applyFill="1" applyBorder="1" applyAlignment="1" applyProtection="1">
      <alignment horizontal="center" vertical="center" wrapText="1"/>
    </xf>
    <xf numFmtId="0" fontId="245" fillId="12" borderId="123" xfId="10" applyFont="1" applyFill="1" applyBorder="1" applyAlignment="1" applyProtection="1">
      <alignment horizontal="center" vertical="center" wrapText="1"/>
    </xf>
    <xf numFmtId="0" fontId="245" fillId="12" borderId="125" xfId="10" applyFont="1" applyFill="1" applyBorder="1" applyAlignment="1" applyProtection="1">
      <alignment horizontal="center" vertical="center" wrapText="1"/>
    </xf>
    <xf numFmtId="0" fontId="156" fillId="12" borderId="129" xfId="10" applyFont="1" applyFill="1" applyBorder="1" applyAlignment="1" applyProtection="1">
      <alignment horizontal="center" vertical="center" wrapText="1"/>
    </xf>
    <xf numFmtId="0" fontId="156" fillId="12" borderId="123" xfId="10" applyFont="1" applyFill="1" applyBorder="1" applyAlignment="1" applyProtection="1">
      <alignment horizontal="center" vertical="center" wrapText="1"/>
    </xf>
    <xf numFmtId="0" fontId="156" fillId="12" borderId="125" xfId="10" applyFont="1" applyFill="1" applyBorder="1" applyAlignment="1" applyProtection="1">
      <alignment horizontal="center" vertical="center" wrapText="1"/>
    </xf>
    <xf numFmtId="0" fontId="245" fillId="12" borderId="119" xfId="10" applyFont="1" applyFill="1" applyBorder="1" applyAlignment="1" applyProtection="1">
      <alignment horizontal="center" vertical="center" wrapText="1"/>
    </xf>
    <xf numFmtId="0" fontId="180" fillId="0" borderId="2" xfId="15" applyFont="1" applyBorder="1" applyAlignment="1">
      <alignment horizontal="center" vertical="center"/>
    </xf>
    <xf numFmtId="0" fontId="287" fillId="0" borderId="0" xfId="19" applyFont="1" applyAlignment="1">
      <alignment horizontal="center" vertical="center" wrapText="1"/>
    </xf>
    <xf numFmtId="0" fontId="288" fillId="0" borderId="0" xfId="19" applyFont="1" applyAlignment="1">
      <alignment horizontal="center" vertical="center" wrapText="1"/>
    </xf>
    <xf numFmtId="177" fontId="47" fillId="0" borderId="0" xfId="19" applyNumberFormat="1" applyFont="1" applyAlignment="1">
      <alignment horizontal="center" vertical="center"/>
    </xf>
    <xf numFmtId="0" fontId="47" fillId="0" borderId="0" xfId="19" applyNumberFormat="1" applyFont="1" applyAlignment="1">
      <alignment horizontal="center" vertical="center"/>
    </xf>
    <xf numFmtId="0" fontId="131" fillId="8" borderId="2" xfId="19" applyFont="1" applyFill="1" applyBorder="1" applyAlignment="1">
      <alignment horizontal="center" vertical="center"/>
    </xf>
    <xf numFmtId="0" fontId="47" fillId="8" borderId="2" xfId="19" applyFont="1" applyFill="1" applyBorder="1" applyAlignment="1">
      <alignment horizontal="center" vertical="center"/>
    </xf>
    <xf numFmtId="0" fontId="131" fillId="8" borderId="2" xfId="20" applyFont="1" applyFill="1" applyBorder="1" applyAlignment="1">
      <alignment horizontal="center" vertical="center"/>
    </xf>
    <xf numFmtId="0" fontId="47" fillId="8" borderId="2" xfId="20" applyFont="1" applyFill="1" applyBorder="1" applyAlignment="1">
      <alignment horizontal="center" vertical="center"/>
    </xf>
    <xf numFmtId="0" fontId="131" fillId="8" borderId="10" xfId="20" applyFont="1" applyFill="1" applyBorder="1" applyAlignment="1">
      <alignment horizontal="center" vertical="center" wrapText="1"/>
    </xf>
    <xf numFmtId="0" fontId="131" fillId="8" borderId="21" xfId="20" applyFont="1" applyFill="1" applyBorder="1" applyAlignment="1">
      <alignment horizontal="center" vertical="center" wrapText="1"/>
    </xf>
    <xf numFmtId="0" fontId="131" fillId="8" borderId="2" xfId="19" applyFont="1" applyFill="1" applyBorder="1" applyAlignment="1">
      <alignment horizontal="center" vertical="center" wrapText="1"/>
    </xf>
    <xf numFmtId="0" fontId="131" fillId="0" borderId="2" xfId="19" applyFont="1" applyBorder="1" applyAlignment="1">
      <alignment horizontal="center" vertical="center" wrapText="1"/>
    </xf>
    <xf numFmtId="0" fontId="47" fillId="0" borderId="2" xfId="19" applyFont="1" applyBorder="1" applyAlignment="1">
      <alignment horizontal="center" vertical="center"/>
    </xf>
    <xf numFmtId="0" fontId="131" fillId="0" borderId="2" xfId="19" applyFont="1" applyBorder="1" applyAlignment="1">
      <alignment horizontal="center" vertical="center"/>
    </xf>
    <xf numFmtId="0" fontId="47" fillId="0" borderId="157" xfId="19" applyFont="1" applyBorder="1" applyAlignment="1">
      <alignment horizontal="center" vertical="center"/>
    </xf>
    <xf numFmtId="0" fontId="131" fillId="0" borderId="9" xfId="21" applyFont="1" applyBorder="1" applyAlignment="1">
      <alignment horizontal="center" vertical="center" wrapText="1"/>
    </xf>
    <xf numFmtId="0" fontId="47" fillId="0" borderId="2" xfId="21" applyFont="1" applyBorder="1" applyAlignment="1">
      <alignment horizontal="center" vertical="center" wrapText="1"/>
    </xf>
    <xf numFmtId="0" fontId="131" fillId="8" borderId="5" xfId="19" applyFont="1" applyFill="1" applyBorder="1" applyAlignment="1">
      <alignment horizontal="center" vertical="center"/>
    </xf>
    <xf numFmtId="0" fontId="131" fillId="8" borderId="9" xfId="19" applyFont="1" applyFill="1" applyBorder="1" applyAlignment="1">
      <alignment horizontal="center" vertical="center"/>
    </xf>
    <xf numFmtId="0" fontId="0" fillId="8" borderId="2" xfId="0" applyFill="1" applyBorder="1" applyAlignment="1">
      <alignment horizontal="center" vertical="center"/>
    </xf>
    <xf numFmtId="0" fontId="149" fillId="0" borderId="5" xfId="0" applyFont="1" applyBorder="1" applyAlignment="1">
      <alignment horizontal="center" vertical="center"/>
    </xf>
    <xf numFmtId="0" fontId="149" fillId="0" borderId="9" xfId="0" applyFont="1" applyBorder="1" applyAlignment="1">
      <alignment horizontal="center" vertical="center"/>
    </xf>
    <xf numFmtId="0" fontId="150" fillId="20" borderId="2" xfId="0" applyFont="1" applyFill="1" applyBorder="1" applyAlignment="1">
      <alignment horizontal="center" vertical="center"/>
    </xf>
    <xf numFmtId="0" fontId="177" fillId="19" borderId="35" xfId="0" applyFont="1" applyFill="1" applyBorder="1" applyAlignment="1">
      <alignment horizontal="center" vertical="center" wrapText="1"/>
    </xf>
    <xf numFmtId="0" fontId="177" fillId="19" borderId="156" xfId="0" applyFont="1" applyFill="1" applyBorder="1" applyAlignment="1">
      <alignment horizontal="center" vertical="center" wrapText="1"/>
    </xf>
    <xf numFmtId="0" fontId="283" fillId="19" borderId="35" xfId="0" applyFont="1" applyFill="1" applyBorder="1" applyAlignment="1">
      <alignment horizontal="center" vertical="center" wrapText="1"/>
    </xf>
    <xf numFmtId="0" fontId="172" fillId="6" borderId="37" xfId="0" applyFont="1" applyFill="1" applyBorder="1" applyAlignment="1">
      <alignment horizontal="center" vertical="center"/>
    </xf>
    <xf numFmtId="0" fontId="160" fillId="6" borderId="37" xfId="0" applyFont="1" applyFill="1" applyBorder="1" applyAlignment="1">
      <alignment horizontal="center" vertical="center"/>
    </xf>
    <xf numFmtId="0" fontId="172" fillId="6" borderId="0" xfId="0" applyFont="1" applyFill="1" applyAlignment="1">
      <alignment horizontal="center" vertical="center"/>
    </xf>
    <xf numFmtId="0" fontId="160" fillId="6" borderId="0" xfId="0" applyFont="1" applyFill="1" applyAlignment="1">
      <alignment horizontal="center" vertical="center"/>
    </xf>
    <xf numFmtId="49" fontId="177" fillId="19" borderId="35" xfId="0" applyNumberFormat="1" applyFont="1" applyFill="1" applyBorder="1" applyAlignment="1">
      <alignment horizontal="center" vertical="center" wrapText="1"/>
    </xf>
    <xf numFmtId="49" fontId="177" fillId="19" borderId="156" xfId="0" applyNumberFormat="1" applyFont="1" applyFill="1" applyBorder="1" applyAlignment="1">
      <alignment horizontal="center" vertical="center" wrapText="1"/>
    </xf>
    <xf numFmtId="0" fontId="171" fillId="0" borderId="11" xfId="0" applyFont="1" applyBorder="1" applyAlignment="1">
      <alignment horizontal="center" vertical="center"/>
    </xf>
    <xf numFmtId="0" fontId="149" fillId="0" borderId="2" xfId="0" applyFont="1" applyFill="1" applyBorder="1" applyAlignment="1">
      <alignment horizontal="center" vertical="center"/>
    </xf>
    <xf numFmtId="2" fontId="0" fillId="0" borderId="2" xfId="0" applyNumberFormat="1" applyBorder="1" applyAlignment="1">
      <alignment horizontal="center" vertical="center"/>
    </xf>
  </cellXfs>
  <cellStyles count="33">
    <cellStyle name="ColLevel_1" xfId="23"/>
    <cellStyle name="RowLevel_1" xfId="24"/>
    <cellStyle name="百分比 2" xfId="11"/>
    <cellStyle name="差_复件 康正输机模板" xfId="25"/>
    <cellStyle name="差_康正输机模板" xfId="26"/>
    <cellStyle name="差_栗元庄输机表-11.20" xfId="27"/>
    <cellStyle name="差_王晓东修改后模板" xfId="28"/>
    <cellStyle name="常规" xfId="0" builtinId="0"/>
    <cellStyle name="常规 10" xfId="17"/>
    <cellStyle name="常规 11" xfId="19"/>
    <cellStyle name="常规 12" xfId="22"/>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21"/>
    <cellStyle name="常规_中航油评估明细表" xfId="20"/>
    <cellStyle name="超链接" xfId="16" builtinId="8"/>
    <cellStyle name="超链接 2" xfId="18"/>
    <cellStyle name="好_复件 康正输机模板" xfId="29"/>
    <cellStyle name="好_康正输机模板" xfId="30"/>
    <cellStyle name="好_栗元庄输机表-11.20" xfId="31"/>
    <cellStyle name="好_王晓东修改后模板" xfId="32"/>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589691</xdr:colOff>
      <xdr:row>41</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24250"/>
          <a:ext cx="6876191"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85725</xdr:colOff>
      <xdr:row>0</xdr:row>
      <xdr:rowOff>0</xdr:rowOff>
    </xdr:from>
    <xdr:to>
      <xdr:col>13</xdr:col>
      <xdr:colOff>354256</xdr:colOff>
      <xdr:row>9</xdr:row>
      <xdr:rowOff>114299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600700" y="0"/>
          <a:ext cx="6269281" cy="2943224"/>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95239" cy="5638096"/>
        </a:xfrm>
        <a:prstGeom prst="rect">
          <a:avLst/>
        </a:prstGeom>
      </xdr:spPr>
    </xdr:pic>
    <xdr:clientData/>
  </xdr:twoCellAnchor>
  <xdr:twoCellAnchor editAs="oneCell">
    <xdr:from>
      <xdr:col>0</xdr:col>
      <xdr:colOff>0</xdr:colOff>
      <xdr:row>33</xdr:row>
      <xdr:rowOff>0</xdr:rowOff>
    </xdr:from>
    <xdr:to>
      <xdr:col>13</xdr:col>
      <xdr:colOff>217934</xdr:colOff>
      <xdr:row>49</xdr:row>
      <xdr:rowOff>56800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133334" cy="2800000"/>
        </a:xfrm>
        <a:prstGeom prst="rect">
          <a:avLst/>
        </a:prstGeom>
      </xdr:spPr>
    </xdr:pic>
    <xdr:clientData/>
  </xdr:twoCellAnchor>
  <xdr:twoCellAnchor editAs="oneCell">
    <xdr:from>
      <xdr:col>0</xdr:col>
      <xdr:colOff>0</xdr:colOff>
      <xdr:row>49</xdr:row>
      <xdr:rowOff>0</xdr:rowOff>
    </xdr:from>
    <xdr:to>
      <xdr:col>12</xdr:col>
      <xdr:colOff>475163</xdr:colOff>
      <xdr:row>70</xdr:row>
      <xdr:rowOff>56693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8704763" cy="3657143"/>
        </a:xfrm>
        <a:prstGeom prst="rect">
          <a:avLst/>
        </a:prstGeom>
      </xdr:spPr>
    </xdr:pic>
    <xdr:clientData/>
  </xdr:twoCellAnchor>
  <xdr:twoCellAnchor editAs="oneCell">
    <xdr:from>
      <xdr:col>0</xdr:col>
      <xdr:colOff>0</xdr:colOff>
      <xdr:row>71</xdr:row>
      <xdr:rowOff>0</xdr:rowOff>
    </xdr:from>
    <xdr:to>
      <xdr:col>17</xdr:col>
      <xdr:colOff>293782</xdr:colOff>
      <xdr:row>103</xdr:row>
      <xdr:rowOff>56458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172950"/>
          <a:ext cx="11952382" cy="5542858"/>
        </a:xfrm>
        <a:prstGeom prst="rect">
          <a:avLst/>
        </a:prstGeom>
      </xdr:spPr>
    </xdr:pic>
    <xdr:clientData/>
  </xdr:twoCellAnchor>
  <xdr:twoCellAnchor editAs="oneCell">
    <xdr:from>
      <xdr:col>0</xdr:col>
      <xdr:colOff>0</xdr:colOff>
      <xdr:row>104</xdr:row>
      <xdr:rowOff>0</xdr:rowOff>
    </xdr:from>
    <xdr:to>
      <xdr:col>16</xdr:col>
      <xdr:colOff>684344</xdr:colOff>
      <xdr:row>136</xdr:row>
      <xdr:rowOff>123124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830800"/>
          <a:ext cx="11657144"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0648;&#20116;&#29256;/&#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6;&#26143;&#36755;&#26426;&#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165;&#27905;&#36710;&#36742;&#21378;%20&#32456;&#29256;&#27979;&#31639;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2823;&#39033;&#30446;&#32452;&#24037;&#20316;\&#22266;&#23450;&#36164;&#20135;\&#36164;&#20135;&#35780;&#20272;&#30003;&#25253;&#34920;(&#26032;&#20934;&#21017;)--&#23450;&#31295;(091028)&#26368;&#32456;&#31295;1(2018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row r="2">
          <cell r="G2">
            <v>2680.4</v>
          </cell>
        </row>
        <row r="30">
          <cell r="C30">
            <v>4241600.9768979996</v>
          </cell>
        </row>
        <row r="78">
          <cell r="G78">
            <v>0</v>
          </cell>
        </row>
        <row r="79">
          <cell r="C79">
            <v>1200000</v>
          </cell>
        </row>
        <row r="102">
          <cell r="A102" t="str">
            <v>建筑面积合计</v>
          </cell>
        </row>
        <row r="131">
          <cell r="B131">
            <v>9906321</v>
          </cell>
        </row>
        <row r="142">
          <cell r="C142">
            <v>4185200</v>
          </cell>
        </row>
        <row r="195">
          <cell r="B195">
            <v>23998256.119999997</v>
          </cell>
        </row>
      </sheetData>
      <sheetData sheetId="2">
        <row r="1">
          <cell r="B1" t="str">
            <v>2食堂</v>
          </cell>
        </row>
        <row r="2">
          <cell r="G2">
            <v>1268.0999999999999</v>
          </cell>
        </row>
        <row r="30">
          <cell r="C30">
            <v>1400286.7439999999</v>
          </cell>
        </row>
        <row r="78">
          <cell r="G78">
            <v>267</v>
          </cell>
        </row>
        <row r="79">
          <cell r="C79">
            <v>1602000</v>
          </cell>
        </row>
        <row r="128">
          <cell r="B128" t="str">
            <v/>
          </cell>
        </row>
        <row r="141">
          <cell r="C141">
            <v>1268.0999999999999</v>
          </cell>
        </row>
      </sheetData>
      <sheetData sheetId="3">
        <row r="1">
          <cell r="B1" t="str">
            <v>3浴室</v>
          </cell>
        </row>
        <row r="8">
          <cell r="C8">
            <v>399.6</v>
          </cell>
        </row>
        <row r="30">
          <cell r="C30">
            <v>441254.304</v>
          </cell>
        </row>
      </sheetData>
      <sheetData sheetId="4">
        <row r="1">
          <cell r="B1" t="str">
            <v>4宿舍楼</v>
          </cell>
        </row>
        <row r="8">
          <cell r="C8">
            <v>4101</v>
          </cell>
        </row>
        <row r="30">
          <cell r="C30">
            <v>5433241.0175999999</v>
          </cell>
        </row>
      </sheetData>
      <sheetData sheetId="5">
        <row r="1">
          <cell r="B1" t="str">
            <v>5仓库</v>
          </cell>
        </row>
        <row r="8">
          <cell r="C8">
            <v>13.2</v>
          </cell>
        </row>
        <row r="30">
          <cell r="C30">
            <v>11274</v>
          </cell>
        </row>
      </sheetData>
      <sheetData sheetId="6">
        <row r="1">
          <cell r="B1" t="str">
            <v>6销售办公室</v>
          </cell>
        </row>
        <row r="8">
          <cell r="C8">
            <v>65.099999999999994</v>
          </cell>
        </row>
        <row r="30">
          <cell r="C30">
            <v>44225</v>
          </cell>
        </row>
      </sheetData>
      <sheetData sheetId="7">
        <row r="1">
          <cell r="B1" t="str">
            <v>7销售办公室</v>
          </cell>
        </row>
        <row r="8">
          <cell r="C8">
            <v>57.5</v>
          </cell>
        </row>
        <row r="30">
          <cell r="C30">
            <v>39181</v>
          </cell>
        </row>
      </sheetData>
      <sheetData sheetId="8">
        <row r="1">
          <cell r="B1" t="str">
            <v>8销售办公室</v>
          </cell>
        </row>
        <row r="8">
          <cell r="C8">
            <v>40.5</v>
          </cell>
        </row>
        <row r="30">
          <cell r="C30">
            <v>27511</v>
          </cell>
        </row>
      </sheetData>
      <sheetData sheetId="9">
        <row r="1">
          <cell r="B1" t="str">
            <v>9销售办公室</v>
          </cell>
        </row>
        <row r="8">
          <cell r="C8">
            <v>68.400000000000006</v>
          </cell>
        </row>
        <row r="30">
          <cell r="C30">
            <v>46523</v>
          </cell>
        </row>
      </sheetData>
      <sheetData sheetId="10">
        <row r="1">
          <cell r="B1" t="str">
            <v>10（小车库）</v>
          </cell>
        </row>
        <row r="8">
          <cell r="C8">
            <v>222.5</v>
          </cell>
        </row>
        <row r="30">
          <cell r="C30">
            <v>151260</v>
          </cell>
        </row>
      </sheetData>
      <sheetData sheetId="11">
        <row r="1">
          <cell r="B1" t="str">
            <v>12休息室</v>
          </cell>
        </row>
        <row r="8">
          <cell r="C8">
            <v>58.4</v>
          </cell>
        </row>
        <row r="30">
          <cell r="C30">
            <v>49631</v>
          </cell>
        </row>
      </sheetData>
      <sheetData sheetId="12">
        <row r="1">
          <cell r="B1">
            <v>13</v>
          </cell>
        </row>
        <row r="8">
          <cell r="C8">
            <v>60.2</v>
          </cell>
        </row>
        <row r="30">
          <cell r="C30">
            <v>42615</v>
          </cell>
        </row>
      </sheetData>
      <sheetData sheetId="13">
        <row r="1">
          <cell r="B1" t="str">
            <v>14大车库</v>
          </cell>
        </row>
        <row r="8">
          <cell r="C8">
            <v>836.6</v>
          </cell>
        </row>
        <row r="30">
          <cell r="C30">
            <v>710552</v>
          </cell>
        </row>
      </sheetData>
      <sheetData sheetId="14">
        <row r="1">
          <cell r="B1" t="str">
            <v>15包材库</v>
          </cell>
        </row>
        <row r="8">
          <cell r="C8">
            <v>1792.5</v>
          </cell>
        </row>
        <row r="30">
          <cell r="C30">
            <v>1522322</v>
          </cell>
        </row>
      </sheetData>
      <sheetData sheetId="15">
        <row r="1">
          <cell r="B1" t="str">
            <v>16水泵房</v>
          </cell>
        </row>
        <row r="8">
          <cell r="C8">
            <v>179</v>
          </cell>
        </row>
        <row r="30">
          <cell r="C30">
            <v>152152</v>
          </cell>
        </row>
      </sheetData>
      <sheetData sheetId="16">
        <row r="1">
          <cell r="B1" t="str">
            <v>17包装+酒库</v>
          </cell>
        </row>
        <row r="8">
          <cell r="C8">
            <v>11252.1</v>
          </cell>
        </row>
        <row r="30">
          <cell r="C30">
            <v>10352214</v>
          </cell>
        </row>
      </sheetData>
      <sheetData sheetId="17">
        <row r="1">
          <cell r="B1" t="str">
            <v>18配电室</v>
          </cell>
        </row>
        <row r="8">
          <cell r="C8">
            <v>310.89999999999998</v>
          </cell>
        </row>
        <row r="30">
          <cell r="C30">
            <v>264018</v>
          </cell>
        </row>
      </sheetData>
      <sheetData sheetId="18">
        <row r="1">
          <cell r="B1" t="str">
            <v>19发芽</v>
          </cell>
        </row>
        <row r="8">
          <cell r="C8">
            <v>6069.2</v>
          </cell>
        </row>
        <row r="30">
          <cell r="C30">
            <v>5583833.5734479995</v>
          </cell>
        </row>
      </sheetData>
      <sheetData sheetId="19">
        <row r="1">
          <cell r="B1" t="str">
            <v>20空压冷冻</v>
          </cell>
        </row>
        <row r="8">
          <cell r="C8">
            <v>1510.6</v>
          </cell>
        </row>
        <row r="30">
          <cell r="C30">
            <v>1389825</v>
          </cell>
        </row>
      </sheetData>
      <sheetData sheetId="20">
        <row r="1">
          <cell r="B1" t="str">
            <v>21加工间</v>
          </cell>
        </row>
        <row r="8">
          <cell r="C8">
            <v>9213.2000000000007</v>
          </cell>
        </row>
        <row r="30">
          <cell r="C30">
            <v>8476338.5827840008</v>
          </cell>
        </row>
      </sheetData>
      <sheetData sheetId="21">
        <row r="1">
          <cell r="B1" t="str">
            <v>22工程部</v>
          </cell>
        </row>
        <row r="8">
          <cell r="C8">
            <v>1452.1</v>
          </cell>
        </row>
        <row r="30">
          <cell r="C30">
            <v>1336023.7727199998</v>
          </cell>
        </row>
      </sheetData>
      <sheetData sheetId="22">
        <row r="1">
          <cell r="B1">
            <v>23</v>
          </cell>
        </row>
        <row r="8">
          <cell r="C8">
            <v>3265</v>
          </cell>
        </row>
        <row r="30">
          <cell r="C30">
            <v>2772815.6159999999</v>
          </cell>
        </row>
      </sheetData>
      <sheetData sheetId="23">
        <row r="1">
          <cell r="B1" t="str">
            <v>24卸麦间（铁路）</v>
          </cell>
        </row>
        <row r="8">
          <cell r="C8">
            <v>2300.5</v>
          </cell>
        </row>
        <row r="30">
          <cell r="C30">
            <v>3516714</v>
          </cell>
        </row>
      </sheetData>
      <sheetData sheetId="24">
        <row r="1">
          <cell r="B1" t="str">
            <v>27化工库</v>
          </cell>
        </row>
        <row r="8">
          <cell r="C8">
            <v>256.60000000000002</v>
          </cell>
        </row>
        <row r="30">
          <cell r="C30">
            <v>217942</v>
          </cell>
        </row>
      </sheetData>
      <sheetData sheetId="25">
        <row r="1">
          <cell r="B1">
            <v>28</v>
          </cell>
        </row>
        <row r="8">
          <cell r="C8">
            <v>109.7</v>
          </cell>
        </row>
        <row r="30">
          <cell r="C30">
            <v>100915.16915</v>
          </cell>
        </row>
      </sheetData>
      <sheetData sheetId="26">
        <row r="1">
          <cell r="B1">
            <v>29</v>
          </cell>
        </row>
        <row r="8">
          <cell r="C8">
            <v>140.19999999999999</v>
          </cell>
        </row>
        <row r="30">
          <cell r="C30">
            <v>129348</v>
          </cell>
        </row>
      </sheetData>
      <sheetData sheetId="27">
        <row r="1">
          <cell r="B1">
            <v>30</v>
          </cell>
        </row>
        <row r="8">
          <cell r="C8">
            <v>90.2</v>
          </cell>
        </row>
        <row r="30">
          <cell r="C30">
            <v>76646</v>
          </cell>
        </row>
      </sheetData>
      <sheetData sheetId="28">
        <row r="1">
          <cell r="B1">
            <v>31</v>
          </cell>
        </row>
        <row r="8">
          <cell r="C8">
            <v>175.8</v>
          </cell>
        </row>
        <row r="30">
          <cell r="C30">
            <v>161849</v>
          </cell>
        </row>
      </sheetData>
      <sheetData sheetId="29">
        <row r="1">
          <cell r="B1">
            <v>32</v>
          </cell>
        </row>
        <row r="8">
          <cell r="C8">
            <v>174.2</v>
          </cell>
        </row>
        <row r="30">
          <cell r="C30">
            <v>160303</v>
          </cell>
        </row>
      </sheetData>
      <sheetData sheetId="30">
        <row r="1">
          <cell r="B1" t="str">
            <v>33机修车间</v>
          </cell>
        </row>
        <row r="8">
          <cell r="C8">
            <v>1001.7</v>
          </cell>
        </row>
        <row r="30">
          <cell r="C30">
            <v>850722</v>
          </cell>
        </row>
      </sheetData>
      <sheetData sheetId="31">
        <row r="1">
          <cell r="B1" t="str">
            <v>34备件库</v>
          </cell>
        </row>
        <row r="8">
          <cell r="C8">
            <v>822.6</v>
          </cell>
        </row>
        <row r="30">
          <cell r="C30">
            <v>698624</v>
          </cell>
        </row>
      </sheetData>
      <sheetData sheetId="32">
        <row r="1">
          <cell r="B1" t="str">
            <v>35锅炉房</v>
          </cell>
        </row>
        <row r="8">
          <cell r="C8">
            <v>1847.9</v>
          </cell>
        </row>
        <row r="30">
          <cell r="C30">
            <v>1700130.4590200002</v>
          </cell>
        </row>
      </sheetData>
      <sheetData sheetId="33">
        <row r="1">
          <cell r="B1" t="str">
            <v>36糖化</v>
          </cell>
        </row>
        <row r="8">
          <cell r="C8">
            <v>5042.6000000000004</v>
          </cell>
        </row>
        <row r="30">
          <cell r="C30">
            <v>4639321.0905600004</v>
          </cell>
        </row>
      </sheetData>
      <sheetData sheetId="34">
        <row r="1">
          <cell r="B1" t="str">
            <v>37办公楼</v>
          </cell>
        </row>
        <row r="8">
          <cell r="C8">
            <v>2200.3000000000002</v>
          </cell>
        </row>
        <row r="30">
          <cell r="C30">
            <v>2024332.3276800003</v>
          </cell>
        </row>
      </sheetData>
      <sheetData sheetId="35">
        <row r="1">
          <cell r="B1" t="str">
            <v>37办公楼（地下室）</v>
          </cell>
        </row>
        <row r="8">
          <cell r="C8">
            <v>1023.2</v>
          </cell>
        </row>
        <row r="30">
          <cell r="C30">
            <v>941399.96904000011</v>
          </cell>
        </row>
      </sheetData>
      <sheetData sheetId="36">
        <row r="1">
          <cell r="B1" t="str">
            <v>38叉车修理间</v>
          </cell>
        </row>
        <row r="8">
          <cell r="C8">
            <v>371.9</v>
          </cell>
        </row>
        <row r="30">
          <cell r="C30">
            <v>342232</v>
          </cell>
        </row>
      </sheetData>
      <sheetData sheetId="37">
        <row r="1">
          <cell r="B1" t="str">
            <v>13地磅房（中衡）</v>
          </cell>
        </row>
        <row r="8">
          <cell r="C8">
            <v>234.44</v>
          </cell>
        </row>
        <row r="30">
          <cell r="C30">
            <v>215746</v>
          </cell>
        </row>
      </sheetData>
      <sheetData sheetId="38">
        <row r="1">
          <cell r="B1" t="str">
            <v>26卸煤间</v>
          </cell>
        </row>
        <row r="8">
          <cell r="C8">
            <v>1073</v>
          </cell>
        </row>
        <row r="30">
          <cell r="C30">
            <v>1093516.1891999999</v>
          </cell>
        </row>
      </sheetData>
      <sheetData sheetId="39">
        <row r="1">
          <cell r="B1" t="str">
            <v>14瓶箱厕所</v>
          </cell>
        </row>
        <row r="8">
          <cell r="C8">
            <v>38.75</v>
          </cell>
        </row>
        <row r="30">
          <cell r="C30">
            <v>35710</v>
          </cell>
        </row>
      </sheetData>
      <sheetData sheetId="40">
        <row r="1">
          <cell r="B1" t="str">
            <v>12油库及附属设施</v>
          </cell>
        </row>
        <row r="8">
          <cell r="C8">
            <v>210.25</v>
          </cell>
        </row>
        <row r="30">
          <cell r="C30">
            <v>193408</v>
          </cell>
        </row>
      </sheetData>
      <sheetData sheetId="41">
        <row r="1">
          <cell r="B1" t="str">
            <v>37污水处理厂</v>
          </cell>
        </row>
        <row r="8">
          <cell r="C8">
            <v>607</v>
          </cell>
        </row>
        <row r="30">
          <cell r="C30">
            <v>670143</v>
          </cell>
        </row>
      </sheetData>
      <sheetData sheetId="42">
        <row r="1">
          <cell r="B1" t="str">
            <v>18营业室</v>
          </cell>
        </row>
        <row r="8">
          <cell r="C8">
            <v>78.430000000000007</v>
          </cell>
        </row>
        <row r="30">
          <cell r="C30">
            <v>79922</v>
          </cell>
        </row>
      </sheetData>
      <sheetData sheetId="43">
        <row r="1">
          <cell r="B1" t="str">
            <v>1易拉罐暂存库</v>
          </cell>
        </row>
        <row r="8">
          <cell r="C8">
            <v>2790</v>
          </cell>
        </row>
        <row r="30">
          <cell r="C30">
            <v>2155934</v>
          </cell>
        </row>
      </sheetData>
      <sheetData sheetId="44">
        <row r="1">
          <cell r="B1" t="str">
            <v>2成品麦芽暂存库</v>
          </cell>
        </row>
        <row r="8">
          <cell r="C8">
            <v>9890</v>
          </cell>
        </row>
        <row r="30">
          <cell r="C30">
            <v>7642139</v>
          </cell>
        </row>
      </sheetData>
      <sheetData sheetId="45">
        <row r="1">
          <cell r="B1" t="str">
            <v>3酒库大棚</v>
          </cell>
        </row>
        <row r="8">
          <cell r="C8">
            <v>2486</v>
          </cell>
        </row>
        <row r="30">
          <cell r="C30">
            <v>1921038</v>
          </cell>
        </row>
      </sheetData>
      <sheetData sheetId="46">
        <row r="1">
          <cell r="B1" t="str">
            <v>4冷冻简易房</v>
          </cell>
        </row>
        <row r="8">
          <cell r="C8">
            <v>154.56</v>
          </cell>
        </row>
        <row r="30">
          <cell r="C30">
            <v>119419</v>
          </cell>
        </row>
      </sheetData>
      <sheetData sheetId="47">
        <row r="1">
          <cell r="B1" t="str">
            <v>5易拉罐空罐库</v>
          </cell>
        </row>
        <row r="8">
          <cell r="C8">
            <v>356.25</v>
          </cell>
        </row>
        <row r="30">
          <cell r="C30">
            <v>275341</v>
          </cell>
        </row>
      </sheetData>
      <sheetData sheetId="48">
        <row r="1">
          <cell r="B1" t="str">
            <v>6易拉罐杀菌机房</v>
          </cell>
        </row>
        <row r="8">
          <cell r="C8">
            <v>184.1</v>
          </cell>
        </row>
        <row r="30">
          <cell r="C30">
            <v>142331</v>
          </cell>
        </row>
      </sheetData>
      <sheetData sheetId="49">
        <row r="1">
          <cell r="B1" t="str">
            <v>7洗瓶场（棚，未封）</v>
          </cell>
        </row>
        <row r="8">
          <cell r="C8">
            <v>1071.6500000000001</v>
          </cell>
        </row>
        <row r="30">
          <cell r="C30">
            <v>345039</v>
          </cell>
        </row>
      </sheetData>
      <sheetData sheetId="50">
        <row r="1">
          <cell r="B1" t="str">
            <v>8扎啤空桶库</v>
          </cell>
        </row>
        <row r="8">
          <cell r="C8">
            <v>205.86</v>
          </cell>
        </row>
        <row r="30">
          <cell r="C30">
            <v>159145</v>
          </cell>
        </row>
      </sheetData>
      <sheetData sheetId="51">
        <row r="1">
          <cell r="B1" t="str">
            <v>9扎啤车间</v>
          </cell>
        </row>
        <row r="8">
          <cell r="C8">
            <v>369.66</v>
          </cell>
        </row>
        <row r="30">
          <cell r="C30">
            <v>238022</v>
          </cell>
        </row>
      </sheetData>
      <sheetData sheetId="52">
        <row r="1">
          <cell r="B1" t="str">
            <v>10扎啤成品库</v>
          </cell>
        </row>
        <row r="8">
          <cell r="C8">
            <v>178.12</v>
          </cell>
        </row>
        <row r="30">
          <cell r="C30">
            <v>137608</v>
          </cell>
        </row>
      </sheetData>
      <sheetData sheetId="53">
        <row r="1">
          <cell r="B1" t="str">
            <v>11（5升桶生产车间）</v>
          </cell>
        </row>
        <row r="8">
          <cell r="C8">
            <v>1288.56</v>
          </cell>
        </row>
        <row r="30">
          <cell r="C30">
            <v>995730</v>
          </cell>
        </row>
      </sheetData>
      <sheetData sheetId="54">
        <row r="1">
          <cell r="B1" t="str">
            <v>12油库及附属设施</v>
          </cell>
        </row>
        <row r="8">
          <cell r="C8">
            <v>111</v>
          </cell>
        </row>
        <row r="30">
          <cell r="C30">
            <v>71520</v>
          </cell>
        </row>
      </sheetData>
      <sheetData sheetId="55">
        <row r="1">
          <cell r="B1" t="str">
            <v>15销售办公房</v>
          </cell>
        </row>
        <row r="8">
          <cell r="C8">
            <v>298.2</v>
          </cell>
        </row>
        <row r="30">
          <cell r="C30">
            <v>192094</v>
          </cell>
        </row>
      </sheetData>
      <sheetData sheetId="56">
        <row r="1">
          <cell r="B1" t="str">
            <v>16警队休息室</v>
          </cell>
        </row>
        <row r="8">
          <cell r="C8">
            <v>103.68</v>
          </cell>
        </row>
        <row r="30">
          <cell r="C30">
            <v>66809</v>
          </cell>
        </row>
      </sheetData>
      <sheetData sheetId="57">
        <row r="1">
          <cell r="B1" t="str">
            <v>17绿化队休息室</v>
          </cell>
        </row>
        <row r="8">
          <cell r="C8">
            <v>178.2</v>
          </cell>
        </row>
        <row r="30">
          <cell r="C30">
            <v>114715</v>
          </cell>
        </row>
      </sheetData>
      <sheetData sheetId="58">
        <row r="1">
          <cell r="B1" t="str">
            <v>19基建库房</v>
          </cell>
        </row>
        <row r="8">
          <cell r="C8">
            <v>316.62</v>
          </cell>
        </row>
        <row r="30">
          <cell r="C30">
            <v>203907</v>
          </cell>
        </row>
      </sheetData>
      <sheetData sheetId="59">
        <row r="1">
          <cell r="B1" t="str">
            <v>20西门岗</v>
          </cell>
        </row>
        <row r="8">
          <cell r="C8">
            <v>16.32</v>
          </cell>
        </row>
        <row r="30">
          <cell r="C30">
            <v>10535</v>
          </cell>
        </row>
      </sheetData>
      <sheetData sheetId="60">
        <row r="1">
          <cell r="B1" t="str">
            <v>21传达室</v>
          </cell>
        </row>
        <row r="8">
          <cell r="C8">
            <v>64.599999999999994</v>
          </cell>
        </row>
        <row r="30">
          <cell r="C30">
            <v>41635</v>
          </cell>
        </row>
      </sheetData>
      <sheetData sheetId="61">
        <row r="1">
          <cell r="B1" t="str">
            <v>22自行车棚（内）</v>
          </cell>
        </row>
        <row r="8">
          <cell r="C8">
            <v>191.7</v>
          </cell>
        </row>
        <row r="30">
          <cell r="C30">
            <v>148104</v>
          </cell>
        </row>
      </sheetData>
      <sheetData sheetId="62">
        <row r="1">
          <cell r="B1" t="str">
            <v>23扎啤临时库房</v>
          </cell>
        </row>
        <row r="8">
          <cell r="C8">
            <v>247.5</v>
          </cell>
        </row>
        <row r="30">
          <cell r="C30">
            <v>191238</v>
          </cell>
        </row>
      </sheetData>
      <sheetData sheetId="63">
        <row r="1">
          <cell r="B1" t="str">
            <v>24包材库办公室</v>
          </cell>
        </row>
        <row r="8">
          <cell r="C8">
            <v>39.69</v>
          </cell>
        </row>
        <row r="30">
          <cell r="C30">
            <v>25629</v>
          </cell>
        </row>
      </sheetData>
      <sheetData sheetId="64">
        <row r="1">
          <cell r="B1" t="str">
            <v>25酒糟干燥车间</v>
          </cell>
        </row>
        <row r="8">
          <cell r="C8">
            <v>624.24</v>
          </cell>
        </row>
        <row r="30">
          <cell r="C30">
            <v>482932</v>
          </cell>
        </row>
      </sheetData>
      <sheetData sheetId="65">
        <row r="1">
          <cell r="B1" t="str">
            <v>27铁道值班室</v>
          </cell>
        </row>
        <row r="8">
          <cell r="C8">
            <v>121</v>
          </cell>
        </row>
        <row r="30">
          <cell r="C30">
            <v>77939</v>
          </cell>
        </row>
      </sheetData>
      <sheetData sheetId="66">
        <row r="1">
          <cell r="B1" t="str">
            <v>28浴室旁地泵房东</v>
          </cell>
        </row>
        <row r="8">
          <cell r="C8">
            <v>29.61</v>
          </cell>
        </row>
        <row r="30">
          <cell r="C30">
            <v>19120</v>
          </cell>
        </row>
      </sheetData>
      <sheetData sheetId="67">
        <row r="1">
          <cell r="B1" t="str">
            <v>29浴室旁地泵房西</v>
          </cell>
        </row>
        <row r="8">
          <cell r="C8">
            <v>29.61</v>
          </cell>
        </row>
        <row r="30">
          <cell r="C30">
            <v>19120</v>
          </cell>
        </row>
      </sheetData>
      <sheetData sheetId="68">
        <row r="1">
          <cell r="B1" t="str">
            <v>30包装休息室</v>
          </cell>
        </row>
        <row r="8">
          <cell r="C8">
            <v>282</v>
          </cell>
        </row>
        <row r="30">
          <cell r="C30">
            <v>217940</v>
          </cell>
        </row>
      </sheetData>
      <sheetData sheetId="69">
        <row r="1">
          <cell r="B1" t="str">
            <v>31硅土压力间</v>
          </cell>
        </row>
        <row r="8">
          <cell r="C8">
            <v>34.5</v>
          </cell>
        </row>
        <row r="30">
          <cell r="C30">
            <v>26709</v>
          </cell>
        </row>
      </sheetData>
      <sheetData sheetId="70">
        <row r="1">
          <cell r="B1" t="str">
            <v>32销售办公室对面</v>
          </cell>
        </row>
        <row r="8">
          <cell r="C8">
            <v>90</v>
          </cell>
        </row>
        <row r="30">
          <cell r="C30">
            <v>58042</v>
          </cell>
        </row>
      </sheetData>
      <sheetData sheetId="71">
        <row r="1">
          <cell r="B1" t="str">
            <v>33临建</v>
          </cell>
        </row>
        <row r="8">
          <cell r="C8">
            <v>105.4</v>
          </cell>
        </row>
        <row r="30">
          <cell r="C30">
            <v>67924</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t="str">
            <v>高鹏</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地上住宅</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v>0</v>
          </cell>
        </row>
        <row r="61">
          <cell r="A61">
            <v>0</v>
          </cell>
        </row>
        <row r="62">
          <cell r="A62">
            <v>0</v>
          </cell>
        </row>
        <row r="63">
          <cell r="A63">
            <v>0</v>
          </cell>
        </row>
      </sheetData>
      <sheetData sheetId="14"/>
      <sheetData sheetId="15"/>
      <sheetData sheetId="16"/>
      <sheetData sheetId="17"/>
      <sheetData sheetId="18">
        <row r="75">
          <cell r="A75" t="str">
            <v>交易情况</v>
          </cell>
          <cell r="B75">
            <v>0</v>
          </cell>
          <cell r="C75" t="str">
            <v>正常</v>
          </cell>
          <cell r="D75" t="str">
            <v>其他情况</v>
          </cell>
          <cell r="E75">
            <v>0</v>
          </cell>
          <cell r="F75">
            <v>0</v>
          </cell>
          <cell r="G75">
            <v>0</v>
          </cell>
          <cell r="H75">
            <v>0</v>
          </cell>
          <cell r="I75">
            <v>0</v>
          </cell>
          <cell r="J75">
            <v>0</v>
          </cell>
          <cell r="K75">
            <v>0</v>
          </cell>
          <cell r="L75">
            <v>0</v>
          </cell>
          <cell r="M75">
            <v>0</v>
          </cell>
        </row>
        <row r="77">
          <cell r="B77" t="str">
            <v>用途</v>
          </cell>
          <cell r="C77" t="str">
            <v>城镇住宅</v>
          </cell>
          <cell r="D77" t="str">
            <v>二类居住</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t="str">
            <v>1级</v>
          </cell>
          <cell r="D110" t="str">
            <v>2级</v>
          </cell>
          <cell r="E110" t="str">
            <v>3级</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比例适宜</v>
          </cell>
          <cell r="D123" t="str">
            <v>比例较适宜</v>
          </cell>
          <cell r="E123" t="str">
            <v>比较较不适宜</v>
          </cell>
          <cell r="F123">
            <v>0</v>
          </cell>
          <cell r="G123">
            <v>0</v>
          </cell>
          <cell r="H123">
            <v>0</v>
          </cell>
          <cell r="I123">
            <v>0</v>
          </cell>
          <cell r="J123">
            <v>0</v>
          </cell>
          <cell r="K123">
            <v>0</v>
          </cell>
          <cell r="L123">
            <v>0</v>
          </cell>
          <cell r="M123">
            <v>0</v>
          </cell>
        </row>
        <row r="125">
          <cell r="B125" t="str">
            <v>宗地开发程度</v>
          </cell>
          <cell r="C125" t="str">
            <v>七通一平</v>
          </cell>
          <cell r="D125" t="str">
            <v>六通一平</v>
          </cell>
          <cell r="E125" t="str">
            <v>五通一平</v>
          </cell>
          <cell r="F125" t="str">
            <v>四通一平</v>
          </cell>
          <cell r="G125" t="str">
            <v>三通一平</v>
          </cell>
          <cell r="H125">
            <v>0</v>
          </cell>
          <cell r="I125">
            <v>0</v>
          </cell>
          <cell r="J125">
            <v>0</v>
          </cell>
          <cell r="K125">
            <v>0</v>
          </cell>
          <cell r="L125">
            <v>0</v>
          </cell>
          <cell r="M125">
            <v>0</v>
          </cell>
        </row>
        <row r="127">
          <cell r="B127" t="str">
            <v>工程地质条件</v>
          </cell>
          <cell r="C127" t="str">
            <v>好</v>
          </cell>
          <cell r="D127" t="str">
            <v>较好</v>
          </cell>
          <cell r="E127" t="str">
            <v>一般</v>
          </cell>
          <cell r="F127" t="str">
            <v>较差</v>
          </cell>
          <cell r="G127" t="str">
            <v>差</v>
          </cell>
          <cell r="H127">
            <v>0</v>
          </cell>
          <cell r="I127">
            <v>0</v>
          </cell>
          <cell r="J127">
            <v>0</v>
          </cell>
          <cell r="K127">
            <v>0</v>
          </cell>
          <cell r="L127">
            <v>0</v>
          </cell>
          <cell r="M127">
            <v>0</v>
          </cell>
        </row>
      </sheetData>
      <sheetData sheetId="19">
        <row r="72">
          <cell r="B72" t="str">
            <v>用途</v>
          </cell>
          <cell r="C72" t="str">
            <v>工业</v>
          </cell>
          <cell r="D72" t="str">
            <v>科教</v>
          </cell>
          <cell r="E72">
            <v>0</v>
          </cell>
          <cell r="F72">
            <v>0</v>
          </cell>
          <cell r="G72">
            <v>0</v>
          </cell>
          <cell r="H72">
            <v>0</v>
          </cell>
          <cell r="I72">
            <v>0</v>
          </cell>
          <cell r="J72">
            <v>0</v>
          </cell>
          <cell r="K72">
            <v>0</v>
          </cell>
          <cell r="L72">
            <v>0</v>
          </cell>
          <cell r="M72">
            <v>0</v>
          </cell>
        </row>
        <row r="101">
          <cell r="B101" t="str">
            <v>土地级别</v>
          </cell>
          <cell r="C101" t="str">
            <v>1级</v>
          </cell>
          <cell r="D101" t="str">
            <v>2级</v>
          </cell>
          <cell r="E101" t="str">
            <v>3级</v>
          </cell>
          <cell r="F101" t="str">
            <v>4级</v>
          </cell>
          <cell r="G101" t="str">
            <v>5级</v>
          </cell>
          <cell r="H101">
            <v>0</v>
          </cell>
          <cell r="I101">
            <v>0</v>
          </cell>
          <cell r="J101">
            <v>0</v>
          </cell>
          <cell r="K101">
            <v>0</v>
          </cell>
          <cell r="L101">
            <v>0</v>
          </cell>
          <cell r="M101">
            <v>0</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住宅</v>
          </cell>
          <cell r="D63" t="str">
            <v>商住</v>
          </cell>
          <cell r="E63">
            <v>0</v>
          </cell>
          <cell r="F63">
            <v>0</v>
          </cell>
          <cell r="G63">
            <v>0</v>
          </cell>
          <cell r="H63">
            <v>0</v>
          </cell>
          <cell r="I63">
            <v>0</v>
          </cell>
          <cell r="J63">
            <v>0</v>
          </cell>
          <cell r="K63">
            <v>0</v>
          </cell>
          <cell r="L63">
            <v>0</v>
          </cell>
          <cell r="M63">
            <v>0</v>
          </cell>
        </row>
        <row r="86">
          <cell r="B86" t="str">
            <v>楼层-1</v>
          </cell>
          <cell r="C86">
            <v>15</v>
          </cell>
          <cell r="D86">
            <v>10</v>
          </cell>
          <cell r="E86">
            <v>8</v>
          </cell>
          <cell r="F86">
            <v>7</v>
          </cell>
          <cell r="G86">
            <v>3</v>
          </cell>
          <cell r="H86">
            <v>0</v>
          </cell>
          <cell r="I86">
            <v>0</v>
          </cell>
          <cell r="J86">
            <v>0</v>
          </cell>
          <cell r="K86">
            <v>0</v>
          </cell>
          <cell r="L86">
            <v>0</v>
          </cell>
          <cell r="M86">
            <v>0</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v>0</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LOFT</v>
          </cell>
          <cell r="D118" t="str">
            <v>平层</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商业</v>
          </cell>
          <cell r="D63" t="str">
            <v>商住</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4层及以上</v>
          </cell>
          <cell r="G92" t="str">
            <v>地下1层</v>
          </cell>
          <cell r="H92">
            <v>0</v>
          </cell>
          <cell r="I92">
            <v>0</v>
          </cell>
          <cell r="J92">
            <v>0</v>
          </cell>
          <cell r="K92">
            <v>0</v>
          </cell>
          <cell r="L92">
            <v>0</v>
          </cell>
          <cell r="M92">
            <v>0</v>
          </cell>
        </row>
        <row r="100">
          <cell r="B100" t="str">
            <v>商业类型</v>
          </cell>
          <cell r="C100" t="str">
            <v>独栋商业</v>
          </cell>
          <cell r="D100" t="str">
            <v>商业街</v>
          </cell>
          <cell r="E100" t="str">
            <v>底商</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t="str">
            <v>适宜</v>
          </cell>
          <cell r="D120" t="str">
            <v>较适宜</v>
          </cell>
          <cell r="E120" t="str">
            <v>较不适宜</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t="str">
            <v>其他情况</v>
          </cell>
          <cell r="E62">
            <v>0</v>
          </cell>
          <cell r="F62">
            <v>0</v>
          </cell>
          <cell r="G62">
            <v>0</v>
          </cell>
          <cell r="H62">
            <v>0</v>
          </cell>
          <cell r="I62">
            <v>0</v>
          </cell>
          <cell r="J62">
            <v>0</v>
          </cell>
          <cell r="K62">
            <v>0</v>
          </cell>
          <cell r="L62">
            <v>0</v>
          </cell>
          <cell r="M62">
            <v>0</v>
          </cell>
        </row>
        <row r="64">
          <cell r="B64" t="str">
            <v>用途</v>
          </cell>
          <cell r="C64" t="str">
            <v>办公</v>
          </cell>
          <cell r="D64" t="str">
            <v>商住</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t="str">
            <v>东</v>
          </cell>
          <cell r="D91" t="str">
            <v>南</v>
          </cell>
          <cell r="E91" t="str">
            <v>西</v>
          </cell>
          <cell r="F91" t="str">
            <v>北</v>
          </cell>
          <cell r="G91">
            <v>0</v>
          </cell>
          <cell r="H91">
            <v>0</v>
          </cell>
          <cell r="I91">
            <v>0</v>
          </cell>
          <cell r="J91">
            <v>0</v>
          </cell>
          <cell r="K91">
            <v>0</v>
          </cell>
          <cell r="L91">
            <v>0</v>
          </cell>
          <cell r="M91">
            <v>0</v>
          </cell>
        </row>
        <row r="101">
          <cell r="B101" t="str">
            <v>建筑类型</v>
          </cell>
          <cell r="C101" t="str">
            <v>超高层</v>
          </cell>
          <cell r="D101" t="str">
            <v>高层</v>
          </cell>
          <cell r="E101" t="str">
            <v>中高层</v>
          </cell>
          <cell r="F101" t="str">
            <v>低层</v>
          </cell>
          <cell r="G101" t="str">
            <v>标准写字楼</v>
          </cell>
          <cell r="H101" t="str">
            <v>异形建筑</v>
          </cell>
          <cell r="I101">
            <v>0</v>
          </cell>
          <cell r="J101">
            <v>0</v>
          </cell>
          <cell r="K101">
            <v>0</v>
          </cell>
          <cell r="L101">
            <v>0</v>
          </cell>
          <cell r="M101">
            <v>0</v>
          </cell>
        </row>
        <row r="106">
          <cell r="B106" t="str">
            <v>建筑结构</v>
          </cell>
          <cell r="C106" t="str">
            <v>钢结构</v>
          </cell>
          <cell r="D106" t="str">
            <v>钢混</v>
          </cell>
          <cell r="E106" t="str">
            <v>砖混</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t="str">
            <v>丙级</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简装</v>
          </cell>
          <cell r="F123" t="str">
            <v>毛坯</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t="str">
            <v>其他情况</v>
          </cell>
          <cell r="E55">
            <v>0</v>
          </cell>
          <cell r="F55">
            <v>0</v>
          </cell>
          <cell r="G55">
            <v>0</v>
          </cell>
          <cell r="H55">
            <v>0</v>
          </cell>
          <cell r="I55">
            <v>0</v>
          </cell>
          <cell r="J55">
            <v>0</v>
          </cell>
          <cell r="K55">
            <v>0</v>
          </cell>
          <cell r="L55">
            <v>0</v>
          </cell>
          <cell r="M55">
            <v>0</v>
          </cell>
        </row>
        <row r="57">
          <cell r="B57" t="str">
            <v>用途</v>
          </cell>
          <cell r="C57" t="str">
            <v>工业</v>
          </cell>
          <cell r="D57" t="str">
            <v>科教</v>
          </cell>
          <cell r="E57">
            <v>0</v>
          </cell>
          <cell r="F57">
            <v>0</v>
          </cell>
          <cell r="G57">
            <v>0</v>
          </cell>
          <cell r="H57">
            <v>0</v>
          </cell>
          <cell r="I57">
            <v>0</v>
          </cell>
          <cell r="J57">
            <v>0</v>
          </cell>
          <cell r="K57">
            <v>0</v>
          </cell>
          <cell r="L57">
            <v>0</v>
          </cell>
          <cell r="M57">
            <v>0</v>
          </cell>
        </row>
        <row r="88">
          <cell r="B88" t="str">
            <v>建筑类型</v>
          </cell>
          <cell r="C88" t="str">
            <v>标准厂房</v>
          </cell>
          <cell r="D88" t="str">
            <v>特殊厂房</v>
          </cell>
          <cell r="E88">
            <v>0</v>
          </cell>
          <cell r="F88">
            <v>0</v>
          </cell>
          <cell r="G88">
            <v>0</v>
          </cell>
          <cell r="H88">
            <v>0</v>
          </cell>
          <cell r="I88">
            <v>0</v>
          </cell>
          <cell r="J88">
            <v>0</v>
          </cell>
          <cell r="K88">
            <v>0</v>
          </cell>
          <cell r="L88">
            <v>0</v>
          </cell>
          <cell r="M88">
            <v>0</v>
          </cell>
        </row>
        <row r="93">
          <cell r="B93" t="str">
            <v>建筑结构</v>
          </cell>
          <cell r="C93" t="str">
            <v>钢结构</v>
          </cell>
          <cell r="D93" t="str">
            <v>钢混</v>
          </cell>
          <cell r="E93" t="str">
            <v>砖混</v>
          </cell>
          <cell r="F93">
            <v>0</v>
          </cell>
          <cell r="G93">
            <v>0</v>
          </cell>
          <cell r="H93">
            <v>0</v>
          </cell>
          <cell r="I93">
            <v>0</v>
          </cell>
          <cell r="J93">
            <v>0</v>
          </cell>
          <cell r="K93">
            <v>0</v>
          </cell>
          <cell r="L93">
            <v>0</v>
          </cell>
          <cell r="M93">
            <v>0</v>
          </cell>
        </row>
        <row r="95">
          <cell r="B95" t="str">
            <v>公共部分装修</v>
          </cell>
          <cell r="C95" t="str">
            <v>精装修</v>
          </cell>
          <cell r="D95" t="str">
            <v>普通装修</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t="str">
            <v>普通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普通装修</v>
          </cell>
          <cell r="E104" t="str">
            <v>简装修</v>
          </cell>
          <cell r="F104" t="str">
            <v>毛坯</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t="str">
            <v>其他情况</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地下1层</v>
          </cell>
          <cell r="D71" t="str">
            <v>地下2层</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商业</v>
          </cell>
          <cell r="E79" t="str">
            <v>办公</v>
          </cell>
          <cell r="F79">
            <v>0</v>
          </cell>
          <cell r="G79">
            <v>0</v>
          </cell>
          <cell r="H79">
            <v>0</v>
          </cell>
          <cell r="I79">
            <v>0</v>
          </cell>
          <cell r="J79">
            <v>0</v>
          </cell>
          <cell r="K79">
            <v>0</v>
          </cell>
          <cell r="L79">
            <v>0</v>
          </cell>
          <cell r="M79">
            <v>0</v>
          </cell>
        </row>
        <row r="83">
          <cell r="B83" t="str">
            <v>公共部分装修</v>
          </cell>
          <cell r="C83" t="str">
            <v>普通装修</v>
          </cell>
          <cell r="D83" t="str">
            <v>简装修</v>
          </cell>
          <cell r="E83">
            <v>0</v>
          </cell>
          <cell r="F83">
            <v>0</v>
          </cell>
          <cell r="G83">
            <v>0</v>
          </cell>
          <cell r="H83">
            <v>0</v>
          </cell>
          <cell r="I83">
            <v>0</v>
          </cell>
          <cell r="J83">
            <v>0</v>
          </cell>
          <cell r="K83">
            <v>0</v>
          </cell>
          <cell r="L83">
            <v>0</v>
          </cell>
          <cell r="M83">
            <v>0</v>
          </cell>
        </row>
        <row r="88">
          <cell r="B88" t="str">
            <v>物业等级</v>
          </cell>
          <cell r="C88" t="str">
            <v>甲级</v>
          </cell>
          <cell r="D88" t="str">
            <v>乙级</v>
          </cell>
          <cell r="E88" t="str">
            <v>丙级</v>
          </cell>
          <cell r="F88">
            <v>0</v>
          </cell>
          <cell r="G88">
            <v>0</v>
          </cell>
          <cell r="H88">
            <v>0</v>
          </cell>
          <cell r="I88">
            <v>0</v>
          </cell>
          <cell r="J88">
            <v>0</v>
          </cell>
          <cell r="K88">
            <v>0</v>
          </cell>
          <cell r="L88">
            <v>0</v>
          </cell>
          <cell r="M88">
            <v>0</v>
          </cell>
        </row>
        <row r="93">
          <cell r="B93" t="str">
            <v>车位类型</v>
          </cell>
          <cell r="C93" t="str">
            <v>平面车位</v>
          </cell>
          <cell r="D93" t="str">
            <v>立体车位</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t="str">
            <v>地下1层</v>
          </cell>
          <cell r="D69" t="str">
            <v>地下2层</v>
          </cell>
          <cell r="E69">
            <v>0</v>
          </cell>
          <cell r="F69">
            <v>0</v>
          </cell>
          <cell r="G69">
            <v>0</v>
          </cell>
          <cell r="H69">
            <v>0</v>
          </cell>
          <cell r="I69">
            <v>0</v>
          </cell>
          <cell r="J69">
            <v>0</v>
          </cell>
          <cell r="K69">
            <v>0</v>
          </cell>
          <cell r="L69">
            <v>0</v>
          </cell>
          <cell r="M69">
            <v>0</v>
          </cell>
        </row>
        <row r="77">
          <cell r="B77" t="str">
            <v>公共部分装修</v>
          </cell>
          <cell r="C77" t="str">
            <v>普通装修</v>
          </cell>
          <cell r="D77" t="str">
            <v>简装修</v>
          </cell>
          <cell r="E77">
            <v>0</v>
          </cell>
          <cell r="F77">
            <v>0</v>
          </cell>
          <cell r="G77">
            <v>0</v>
          </cell>
          <cell r="H77">
            <v>0</v>
          </cell>
          <cell r="I77">
            <v>0</v>
          </cell>
          <cell r="J77">
            <v>0</v>
          </cell>
          <cell r="K77">
            <v>0</v>
          </cell>
          <cell r="L77">
            <v>0</v>
          </cell>
          <cell r="M77">
            <v>0</v>
          </cell>
        </row>
        <row r="82">
          <cell r="B82" t="str">
            <v>物业等级</v>
          </cell>
          <cell r="C82" t="str">
            <v>甲级</v>
          </cell>
          <cell r="D82" t="str">
            <v>乙级</v>
          </cell>
          <cell r="E82" t="str">
            <v>丙级</v>
          </cell>
          <cell r="F82">
            <v>0</v>
          </cell>
          <cell r="G82">
            <v>0</v>
          </cell>
          <cell r="H82">
            <v>0</v>
          </cell>
          <cell r="I82">
            <v>0</v>
          </cell>
          <cell r="J82">
            <v>0</v>
          </cell>
          <cell r="K82">
            <v>0</v>
          </cell>
          <cell r="L82">
            <v>0</v>
          </cell>
          <cell r="M82">
            <v>0</v>
          </cell>
        </row>
        <row r="84">
          <cell r="B84" t="str">
            <v>有无电梯</v>
          </cell>
          <cell r="C84" t="str">
            <v>无</v>
          </cell>
          <cell r="D84" t="str">
            <v>有</v>
          </cell>
          <cell r="E84">
            <v>0</v>
          </cell>
          <cell r="F84">
            <v>0</v>
          </cell>
          <cell r="G84">
            <v>0</v>
          </cell>
          <cell r="H84">
            <v>0</v>
          </cell>
          <cell r="I84">
            <v>0</v>
          </cell>
          <cell r="J84">
            <v>0</v>
          </cell>
          <cell r="K84">
            <v>0</v>
          </cell>
          <cell r="L84">
            <v>0</v>
          </cell>
          <cell r="M84">
            <v>0</v>
          </cell>
        </row>
        <row r="89">
          <cell r="B89" t="str">
            <v>是否封闭</v>
          </cell>
          <cell r="C89" t="str">
            <v>否</v>
          </cell>
          <cell r="D89" t="str">
            <v>是</v>
          </cell>
          <cell r="E89">
            <v>0</v>
          </cell>
          <cell r="F89">
            <v>0</v>
          </cell>
          <cell r="G89">
            <v>0</v>
          </cell>
          <cell r="H89">
            <v>0</v>
          </cell>
          <cell r="I89">
            <v>0</v>
          </cell>
          <cell r="J89">
            <v>0</v>
          </cell>
          <cell r="K89">
            <v>0</v>
          </cell>
          <cell r="L89">
            <v>0</v>
          </cell>
          <cell r="M89">
            <v>0</v>
          </cell>
        </row>
      </sheetData>
      <sheetData sheetId="36">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会计科目表"/>
      <sheetName val="索引目录"/>
      <sheetName val="封面"/>
      <sheetName val="填表说明"/>
      <sheetName val="基本情况"/>
      <sheetName val="资产负债表"/>
      <sheetName val="审定数"/>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
      <sheetName val="4-5-1投资性房地产-房屋成本模式"/>
      <sheetName val="4-5-2投资性房地产-房屋公允模式"/>
      <sheetName val="4-5-3投资性房地产-土地成本模式"/>
      <sheetName val="4-5-4投资性房地产-土地公允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sheetData sheetId="2"/>
      <sheetData sheetId="3">
        <row r="7">
          <cell r="D7" t="str">
            <v>被评估单位（或者产权持有单位）：</v>
          </cell>
        </row>
        <row r="9">
          <cell r="D9" t="str">
            <v>评估基准日：</v>
          </cell>
          <cell r="G9" t="str">
            <v>年</v>
          </cell>
          <cell r="I9" t="str">
            <v>月</v>
          </cell>
          <cell r="K9" t="str">
            <v>日</v>
          </cell>
        </row>
        <row r="11">
          <cell r="D11" t="str">
            <v>被评估单位（或者产权持有单位）填表人：</v>
          </cell>
        </row>
        <row r="13">
          <cell r="D13" t="str">
            <v>填表日期：</v>
          </cell>
          <cell r="G13" t="str">
            <v>年</v>
          </cell>
          <cell r="I13" t="str">
            <v>月</v>
          </cell>
          <cell r="K13" t="str">
            <v>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北京市海淀区西三旗建材城中路2号出让国有建设用地使用权市场价格预评估</v>
      </c>
      <c r="AX2" s="2921"/>
      <c r="AZ2" s="2921"/>
      <c r="BA2" s="2922"/>
      <c r="BC2" s="2922"/>
    </row>
    <row r="3" spans="1:55" s="2923" customFormat="1">
      <c r="A3" s="2902" t="s">
        <v>2664</v>
      </c>
      <c r="B3" s="2905">
        <f>'预评函-封皮'!B40</f>
        <v>0</v>
      </c>
    </row>
    <row r="4" spans="1:55" s="2904" customFormat="1">
      <c r="A4" s="2902" t="s">
        <v>2665</v>
      </c>
      <c r="B4" s="2903" t="str">
        <f>'预评函-封皮'!B46</f>
        <v>陈颖、杨红英</v>
      </c>
      <c r="N4" s="2904" t="str">
        <f>'预评函-1'!A28</f>
        <v>——</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受贵公司委托，我公司对北京市海淀区西三旗建材城中路2号出让国有建设用地使用权市场价格进行了预评估。</v>
      </c>
      <c r="AM6" s="2927"/>
    </row>
    <row r="7" spans="1:55" s="2901" customFormat="1">
      <c r="A7" s="2902" t="s">
        <v>2660</v>
      </c>
      <c r="B7" s="2903" t="str">
        <f>'预评函-1'!A6</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本次评估为委托估价方了解标的物之市场价格提供参考依据而评估出让国有建设用地使用权市场价格。</v>
      </c>
    </row>
    <row r="10" spans="1:55" s="2901" customFormat="1">
      <c r="A10" s="2902" t="s">
        <v>2662</v>
      </c>
      <c r="B10" s="2903" t="str">
        <f>'预评函-1'!A11</f>
        <v>2018年5月31日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根据《国有土地使用证》[]，估价对象（分摊）出让国有建设用地使用权面积为182153.37平方米。根据《建设工程规划许可证》[]、《出让合同》[]，估价对象规划建筑面积为60473.5平方米。</v>
      </c>
    </row>
    <row r="16" spans="1:55" s="2901" customFormat="1">
      <c r="A16" s="2902" t="s">
        <v>2672</v>
      </c>
      <c r="B16" s="2903" t="str">
        <f>'预评函-1'!A22</f>
        <v>本次估价对象为出让国有建设用地使用权，《国有土地使用证》[]证载土地终止日期为工业2045年6月28日。截至估价期日，出让国有建设用地使用权剩余土地使用年限为。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19" spans="1:48" s="2901" customFormat="1">
      <c r="A19" s="2902" t="s">
        <v>2675</v>
      </c>
      <c r="B19" s="2903" t="str">
        <f>'预评函-1'!A26</f>
        <v>——</v>
      </c>
    </row>
    <row r="20" spans="1:48" s="2901" customFormat="1">
      <c r="A20" s="2902" t="s">
        <v>2676</v>
      </c>
      <c r="B20" s="2903" t="str">
        <f>'预评函-1'!A27</f>
        <v>——</v>
      </c>
    </row>
    <row r="21" spans="1:48" s="2917" customFormat="1" ht="15" thickBot="1">
      <c r="A21" s="2924" t="s">
        <v>2677</v>
      </c>
      <c r="B21" s="2925" t="str">
        <f>'预评函-1'!A28</f>
        <v>——</v>
      </c>
    </row>
    <row r="22" spans="1:48" ht="15" thickTop="1">
      <c r="A22" s="2913" t="s">
        <v>2678</v>
      </c>
      <c r="B22" s="29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估价期日：2018年5月31日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182153.37</v>
      </c>
    </row>
    <row r="44" spans="1:2">
      <c r="A44" s="2902" t="s">
        <v>2743</v>
      </c>
      <c r="B44" s="2903" t="str">
        <f>'预评函-2'!O3</f>
        <v>规划建筑面积/㎡</v>
      </c>
    </row>
    <row r="45" spans="1:2">
      <c r="A45" s="2902" t="s">
        <v>2725</v>
      </c>
      <c r="B45" s="2903">
        <f>'预评函-2'!O5</f>
        <v>60473.499999999985</v>
      </c>
    </row>
    <row r="46" spans="1:2">
      <c r="A46" s="2902" t="s">
        <v>2726</v>
      </c>
      <c r="B46" s="2903">
        <f ca="1">'预评函-2'!P5</f>
        <v>8097</v>
      </c>
    </row>
    <row r="47" spans="1:2">
      <c r="A47" s="2902" t="s">
        <v>2727</v>
      </c>
      <c r="B47" s="2903">
        <f ca="1">'预评函-2'!Q5</f>
        <v>24391</v>
      </c>
    </row>
    <row r="48" spans="1:2">
      <c r="A48" s="2902" t="s">
        <v>2728</v>
      </c>
      <c r="B48" s="2903">
        <f ca="1">'预评函-2'!R5</f>
        <v>147498</v>
      </c>
    </row>
    <row r="49" spans="1:2">
      <c r="A49" s="2902" t="s">
        <v>2744</v>
      </c>
      <c r="B49" s="2903" t="str">
        <f>'预评函-2'!A6</f>
        <v>——</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5" thickBot="1">
      <c r="A58" s="2924" t="s">
        <v>2732</v>
      </c>
      <c r="B58" s="2925" t="str">
        <f>'预评函-3'!A5</f>
        <v>4.影响价格的其他限定条件：无。</v>
      </c>
    </row>
    <row r="59" spans="1:2" ht="15" thickTop="1">
      <c r="A59" s="2913" t="s">
        <v>2684</v>
      </c>
      <c r="B59" s="2914" t="str">
        <f>'预评函-3'!A8</f>
        <v>2.本次评估设定估价对象宗地权属无争议，未被查封或者以其他形式限制其房地产权利，未设定抵押权等他项权利，不涉及第三方权利义务。</v>
      </c>
    </row>
    <row r="60" spans="1:2">
      <c r="A60" s="2902" t="s">
        <v>2685</v>
      </c>
      <c r="B60" s="2903" t="str">
        <f>'预评函-3'!A9</f>
        <v>——</v>
      </c>
    </row>
    <row r="61" spans="1:2">
      <c r="A61" s="2902" t="s">
        <v>2687</v>
      </c>
      <c r="B61" s="2903" t="str">
        <f>'预评函-3'!A10</f>
        <v>——</v>
      </c>
    </row>
    <row r="62" spans="1:2">
      <c r="A62" s="2902" t="s">
        <v>2686</v>
      </c>
      <c r="B62" s="2903" t="str">
        <f>'预评函-3'!A11</f>
        <v>——</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v>
      </c>
    </row>
    <row r="66" spans="1:2">
      <c r="A66" s="2902" t="s">
        <v>2691</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陈颖</v>
      </c>
    </row>
    <row r="70" spans="1:2">
      <c r="A70" s="2902" t="s">
        <v>2693</v>
      </c>
      <c r="B70" s="2909">
        <f ca="1">'预评函-3'!B20</f>
        <v>2004110096</v>
      </c>
    </row>
    <row r="71" spans="1:2">
      <c r="A71" s="2902" t="s">
        <v>2694</v>
      </c>
      <c r="B71" s="2903" t="str">
        <f>'预评函-3'!A21</f>
        <v>杨红英</v>
      </c>
    </row>
    <row r="72" spans="1:2" s="2917" customFormat="1" ht="15" thickBot="1">
      <c r="A72" s="2924" t="s">
        <v>2694</v>
      </c>
      <c r="B72" s="2930">
        <f>'预评函-3'!B21</f>
        <v>2004110128</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2789</v>
      </c>
      <c r="B76" s="2912" t="str">
        <f>'预评函-3'!A25</f>
        <v>XX</v>
      </c>
    </row>
  </sheetData>
  <sheetProtection sheet="1" objects="1" scenarios="1"/>
  <phoneticPr fontId="24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E6" sqref="E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576" t="str">
        <f>IF(B10="北京市","北京市",C10)&amp;F10&amp;B16&amp;"国有建设用地使用权"&amp;B9&amp;"预评估"</f>
        <v>北京市海淀区西三旗建材城中路2号出让国有建设用地使用权市场价格预评估</v>
      </c>
      <c r="C1" s="3577"/>
      <c r="D1" s="3577"/>
      <c r="E1" s="3577"/>
      <c r="F1" s="3577"/>
      <c r="G1" s="3577"/>
      <c r="H1" s="3577"/>
      <c r="I1" s="3578"/>
      <c r="J1" s="1693"/>
      <c r="K1" s="2479" t="str">
        <f>IF(B10="北京市","北京市",C10)&amp;F10&amp;B16&amp;"国有建设用地使用权"&amp;B9</f>
        <v>北京市海淀区西三旗建材城中路2号出让国有建设用地使用权市场价格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北京市海淀区西三旗建材城中路2号出让国有建设用地使用权</v>
      </c>
      <c r="L2" s="1722"/>
      <c r="M2" s="1722"/>
      <c r="N2" s="1693"/>
      <c r="O2" s="1694"/>
      <c r="P2" s="1693"/>
      <c r="Q2" s="1693"/>
      <c r="R2" s="1693"/>
      <c r="S2" s="1693"/>
      <c r="T2" s="1693"/>
      <c r="U2" s="1693"/>
    </row>
    <row r="3" spans="1:21">
      <c r="A3" s="1660" t="s">
        <v>1941</v>
      </c>
      <c r="B3" s="1661">
        <v>43234</v>
      </c>
      <c r="C3" s="1662" t="s">
        <v>1997</v>
      </c>
      <c r="D3" s="1661">
        <v>43251</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3589</v>
      </c>
      <c r="C4" s="1845">
        <f ca="1">SUMIF(土地估价师,B4,估价师及机构信息!E3:E24)</f>
        <v>2004110096</v>
      </c>
      <c r="D4" s="1842" t="s">
        <v>3616</v>
      </c>
      <c r="E4" s="1845">
        <f>SUMIF(土地估价师,D4,估价师及机构信息!E3:E24)</f>
        <v>2004110128</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陈颖、杨红英</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2979</v>
      </c>
      <c r="C8" s="1670"/>
      <c r="D8" s="3582"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t="s">
        <v>2980</v>
      </c>
      <c r="C9" s="1674"/>
      <c r="D9" s="3583"/>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1947</v>
      </c>
      <c r="C10" s="1675"/>
      <c r="D10" s="1666"/>
      <c r="E10" s="1676" t="s">
        <v>1948</v>
      </c>
      <c r="F10" s="1677" t="s">
        <v>3519</v>
      </c>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579"/>
      <c r="C12" s="3580"/>
      <c r="D12" s="3581"/>
      <c r="E12" s="1698" t="s">
        <v>2063</v>
      </c>
      <c r="F12" s="3597" t="s">
        <v>2890</v>
      </c>
      <c r="G12" s="3598"/>
      <c r="H12" s="3598"/>
      <c r="I12" s="3599"/>
      <c r="J12" s="1693"/>
      <c r="K12" s="1773"/>
      <c r="L12" s="1722"/>
      <c r="M12" s="1722"/>
      <c r="N12" s="1693"/>
      <c r="O12" s="1694"/>
      <c r="P12" s="1693"/>
      <c r="Q12" s="1693"/>
      <c r="R12" s="1693"/>
      <c r="S12" s="1693"/>
      <c r="T12" s="1693"/>
      <c r="U12" s="1693"/>
    </row>
    <row r="13" spans="1:21">
      <c r="A13" s="1686" t="s">
        <v>2061</v>
      </c>
      <c r="B13" s="3579"/>
      <c r="C13" s="3580"/>
      <c r="D13" s="3581"/>
      <c r="E13" s="1698" t="s">
        <v>2063</v>
      </c>
      <c r="F13" s="3597" t="s">
        <v>2891</v>
      </c>
      <c r="G13" s="3598"/>
      <c r="H13" s="3598"/>
      <c r="I13" s="3599"/>
      <c r="J13" s="1693"/>
      <c r="K13" s="1773"/>
      <c r="L13" s="1722"/>
      <c r="M13" s="1722"/>
      <c r="N13" s="1693"/>
      <c r="O13" s="1694"/>
      <c r="P13" s="1693"/>
      <c r="Q13" s="1693"/>
      <c r="R13" s="1693"/>
      <c r="S13" s="1693"/>
      <c r="T13" s="1693"/>
      <c r="U13" s="1693"/>
    </row>
    <row r="14" spans="1:21">
      <c r="A14" s="1660" t="s">
        <v>2064</v>
      </c>
      <c r="B14" s="1698"/>
      <c r="C14" s="1844" t="s">
        <v>3005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3008</v>
      </c>
      <c r="C16" s="1698" t="s">
        <v>1950</v>
      </c>
      <c r="D16" s="2670" t="s">
        <v>1951</v>
      </c>
      <c r="E16" s="1721"/>
      <c r="F16" s="1721"/>
      <c r="G16" s="1721"/>
      <c r="H16" s="1721"/>
      <c r="I16" s="1685" t="s">
        <v>1956</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工业2045年6月28日</v>
      </c>
    </row>
    <row r="17" spans="1:21">
      <c r="A17" s="1762"/>
      <c r="B17" s="1681"/>
      <c r="C17" s="1682" t="s">
        <v>1957</v>
      </c>
      <c r="D17" s="1699"/>
      <c r="E17" s="1699"/>
      <c r="F17" s="1699"/>
      <c r="G17" s="1699"/>
      <c r="H17" s="1699"/>
      <c r="I17" s="1699">
        <v>53141</v>
      </c>
      <c r="J17" s="1693"/>
      <c r="K17" s="2479" t="str">
        <f>CONCATENATE(K16,L16,M16,N16,O16,P16,Q16,R16,S16,T16,,U16)</f>
        <v>工业2045年6月28日</v>
      </c>
      <c r="L17" s="1722"/>
      <c r="M17" s="1722"/>
      <c r="N17" s="1693"/>
      <c r="O17" s="1694"/>
      <c r="P17" s="1693"/>
      <c r="Q17" s="1693"/>
      <c r="R17" s="1693"/>
      <c r="S17" s="1693"/>
      <c r="T17" s="1693"/>
      <c r="U17" s="1693"/>
    </row>
    <row r="18" spans="1:21">
      <c r="A18" s="1762"/>
      <c r="B18" s="1681"/>
      <c r="C18" s="1682" t="s">
        <v>1958</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27.09</v>
      </c>
      <c r="J19" s="1693"/>
      <c r="K19" s="1773"/>
      <c r="L19" s="1722"/>
      <c r="M19" s="1722"/>
      <c r="N19" s="1693"/>
      <c r="O19" s="1694"/>
      <c r="P19" s="1693"/>
      <c r="Q19" s="1693"/>
      <c r="R19" s="1693"/>
      <c r="S19" s="1693"/>
      <c r="T19" s="1693"/>
      <c r="U19" s="1693"/>
    </row>
    <row r="20" spans="1:21">
      <c r="A20" s="1785"/>
      <c r="B20" s="1786"/>
      <c r="C20" s="1787" t="s">
        <v>2062</v>
      </c>
      <c r="D20" s="3594"/>
      <c r="E20" s="3595"/>
      <c r="F20" s="3595"/>
      <c r="G20" s="3595"/>
      <c r="H20" s="3595"/>
      <c r="I20" s="3596"/>
      <c r="J20" s="1693"/>
      <c r="K20" s="1773"/>
      <c r="L20" s="1722"/>
      <c r="M20" s="1722"/>
      <c r="N20" s="1693"/>
      <c r="O20" s="1694"/>
      <c r="P20" s="1693"/>
      <c r="Q20" s="1693"/>
      <c r="R20" s="1693"/>
      <c r="S20" s="1693"/>
      <c r="T20" s="1693"/>
      <c r="U20" s="1693"/>
    </row>
    <row r="21" spans="1:21">
      <c r="A21" s="1762" t="s">
        <v>1960</v>
      </c>
      <c r="B21" s="1763" t="s">
        <v>1961</v>
      </c>
      <c r="C21" s="1758">
        <f>'数据-汇总表'!E3</f>
        <v>60473.499999999985</v>
      </c>
      <c r="D21" s="1759" t="s">
        <v>1962</v>
      </c>
      <c r="E21" s="3584" t="s">
        <v>2000</v>
      </c>
      <c r="F21" s="3585"/>
      <c r="G21" s="3585"/>
      <c r="H21" s="3585"/>
      <c r="I21" s="3586"/>
      <c r="J21" s="1693"/>
      <c r="K21" s="1773"/>
      <c r="L21" s="1722"/>
      <c r="M21" s="1722"/>
      <c r="N21" s="1693"/>
      <c r="O21" s="1694"/>
      <c r="P21" s="1693"/>
      <c r="Q21" s="1693"/>
      <c r="R21" s="1693"/>
      <c r="S21" s="1693"/>
      <c r="T21" s="1693"/>
      <c r="U21" s="1693"/>
    </row>
    <row r="22" spans="1:21">
      <c r="A22" s="3175" t="s">
        <v>951</v>
      </c>
      <c r="B22" s="1660" t="s">
        <v>1963</v>
      </c>
      <c r="C22" s="1685">
        <f>'数据-汇总表'!D3</f>
        <v>182153.37</v>
      </c>
      <c r="D22" s="1686" t="s">
        <v>1962</v>
      </c>
      <c r="E22" s="3584" t="s">
        <v>2892</v>
      </c>
      <c r="F22" s="3585"/>
      <c r="G22" s="3585"/>
      <c r="H22" s="3585"/>
      <c r="I22" s="3586"/>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587" t="s">
        <v>1968</v>
      </c>
      <c r="C24" s="3588"/>
      <c r="D24" s="3589" t="s">
        <v>1969</v>
      </c>
      <c r="E24" s="3590"/>
      <c r="F24" s="1707" t="s">
        <v>1970</v>
      </c>
      <c r="G24" s="1693"/>
      <c r="H24" s="1693"/>
      <c r="I24" s="1706"/>
      <c r="J24" s="1693"/>
      <c r="K24" s="3575"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575"/>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575"/>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602" t="s">
        <v>2003</v>
      </c>
      <c r="B31" s="1763" t="s">
        <v>2004</v>
      </c>
      <c r="C31" s="3600"/>
      <c r="D31" s="3601"/>
      <c r="E31" s="1693"/>
      <c r="F31" s="1693"/>
      <c r="G31" s="1693"/>
      <c r="H31" s="1693"/>
      <c r="I31" s="1706"/>
      <c r="J31" s="1693"/>
      <c r="K31" s="2482"/>
      <c r="L31" s="1693"/>
      <c r="M31" s="1693"/>
      <c r="N31" s="1693"/>
      <c r="O31" s="1693"/>
      <c r="P31" s="1693"/>
      <c r="Q31" s="1693"/>
      <c r="R31" s="1693"/>
      <c r="S31" s="1693"/>
      <c r="T31" s="1693"/>
      <c r="U31" s="1693"/>
    </row>
    <row r="32" spans="1:21">
      <c r="A32" s="3602"/>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602"/>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603"/>
      <c r="B34" s="1660" t="s">
        <v>2007</v>
      </c>
      <c r="C34" s="3604"/>
      <c r="D34" s="3605"/>
      <c r="E34" s="1693"/>
      <c r="F34" s="1693"/>
      <c r="G34" s="1693"/>
      <c r="H34" s="1693"/>
      <c r="I34" s="1706"/>
      <c r="J34" s="1693"/>
      <c r="K34" s="2482"/>
      <c r="L34" s="1693"/>
      <c r="M34" s="1693"/>
      <c r="N34" s="1693"/>
      <c r="O34" s="1693"/>
      <c r="P34" s="1693"/>
      <c r="Q34" s="1693"/>
      <c r="R34" s="1693"/>
      <c r="S34" s="1693"/>
      <c r="T34" s="1693"/>
      <c r="U34" s="1693"/>
    </row>
    <row r="35" spans="1:21">
      <c r="A35" s="3606" t="s">
        <v>846</v>
      </c>
      <c r="B35" s="1721"/>
      <c r="C35" s="1775" t="str">
        <f>IF(B35="场地平整","——","具体情况：")</f>
        <v>具体情况：</v>
      </c>
      <c r="D35" s="3608"/>
      <c r="E35" s="3609"/>
      <c r="F35" s="3609"/>
      <c r="G35" s="3609"/>
      <c r="H35" s="3609"/>
      <c r="I35" s="3610"/>
      <c r="J35" s="1693"/>
      <c r="K35" s="1774"/>
      <c r="L35" s="1722"/>
      <c r="M35" s="1722"/>
      <c r="N35" s="1693"/>
      <c r="O35" s="1694"/>
      <c r="P35" s="1693"/>
      <c r="Q35" s="1693"/>
      <c r="R35" s="1693"/>
      <c r="S35" s="1693"/>
      <c r="T35" s="1693"/>
      <c r="U35" s="1693"/>
    </row>
    <row r="36" spans="1:21">
      <c r="A36" s="3602"/>
      <c r="B36" s="3611" t="s">
        <v>2056</v>
      </c>
      <c r="C36" s="3612"/>
      <c r="D36" s="1791"/>
      <c r="E36" s="3613"/>
      <c r="F36" s="3613"/>
      <c r="G36" s="1686" t="str">
        <f>IF(B35="场地未平整","估价结果处理","")</f>
        <v/>
      </c>
      <c r="H36" s="3614"/>
      <c r="I36" s="3614"/>
      <c r="J36" s="1693"/>
      <c r="K36" s="1774"/>
      <c r="L36" s="1722"/>
      <c r="M36" s="1722"/>
      <c r="N36" s="1693"/>
      <c r="O36" s="1694"/>
      <c r="P36" s="1693"/>
      <c r="Q36" s="1693"/>
      <c r="R36" s="1693"/>
      <c r="S36" s="1693"/>
      <c r="T36" s="1693"/>
      <c r="U36" s="1693"/>
    </row>
    <row r="37" spans="1:21" ht="28.5">
      <c r="A37" s="3602"/>
      <c r="B37" s="3591"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602"/>
      <c r="B38" s="3592"/>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603"/>
      <c r="B39" s="359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574" t="s">
        <v>1987</v>
      </c>
      <c r="T40" s="1730" t="str">
        <f>NUMBERSTRING(7-K40,1)&amp;"通"</f>
        <v>七通</v>
      </c>
      <c r="U40" s="1693"/>
    </row>
    <row r="41" spans="1:21">
      <c r="A41" s="1662"/>
      <c r="B41" s="3607" t="s">
        <v>1721</v>
      </c>
      <c r="C41" s="3607"/>
      <c r="D41" s="3607"/>
      <c r="E41" s="3607"/>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74"/>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t="s">
        <v>1409</v>
      </c>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t="s">
        <v>1211</v>
      </c>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10"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182153.37</v>
      </c>
      <c r="B3" s="22">
        <f>IF(C3="否",G5-AT5,G5)</f>
        <v>60473.499999999985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60473.499999999985</v>
      </c>
      <c r="H5" s="27">
        <f t="shared" ref="H5:AT5" si="0">SUM(H13:H641)</f>
        <v>60473.499999999985</v>
      </c>
      <c r="I5" s="27">
        <f t="shared" si="0"/>
        <v>21713.300000000003</v>
      </c>
      <c r="J5" s="27">
        <f t="shared" si="0"/>
        <v>0</v>
      </c>
      <c r="K5" s="27">
        <f t="shared" si="0"/>
        <v>20081.400000000001</v>
      </c>
      <c r="L5" s="27">
        <f t="shared" si="0"/>
        <v>0</v>
      </c>
      <c r="M5" s="27">
        <f t="shared" si="0"/>
        <v>1452.1</v>
      </c>
      <c r="N5" s="27">
        <f t="shared" si="0"/>
        <v>0</v>
      </c>
      <c r="O5" s="27">
        <f t="shared" si="0"/>
        <v>8749.6</v>
      </c>
      <c r="P5" s="27">
        <f t="shared" si="0"/>
        <v>0</v>
      </c>
      <c r="Q5" s="27">
        <f t="shared" si="0"/>
        <v>4101</v>
      </c>
      <c r="R5" s="27">
        <f t="shared" si="0"/>
        <v>0</v>
      </c>
      <c r="S5" s="27">
        <f t="shared" si="0"/>
        <v>3265</v>
      </c>
      <c r="T5" s="27">
        <f t="shared" si="0"/>
        <v>0</v>
      </c>
      <c r="U5" s="27">
        <f t="shared" si="0"/>
        <v>1111.1000000000001</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60473.499999999985</v>
      </c>
      <c r="BA5" s="29">
        <f t="shared" si="1"/>
        <v>60473.499999999985</v>
      </c>
      <c r="BB5" s="29">
        <f t="shared" si="1"/>
        <v>21713.300000000003</v>
      </c>
      <c r="BC5" s="29">
        <f t="shared" si="1"/>
        <v>20081.400000000001</v>
      </c>
      <c r="BD5" s="29">
        <f t="shared" si="1"/>
        <v>1452.1</v>
      </c>
      <c r="BE5" s="29">
        <f t="shared" si="1"/>
        <v>8749.6</v>
      </c>
      <c r="BF5" s="29">
        <f t="shared" si="1"/>
        <v>4101</v>
      </c>
      <c r="BG5" s="29">
        <f t="shared" si="1"/>
        <v>3265</v>
      </c>
      <c r="BH5" s="29">
        <f t="shared" si="1"/>
        <v>1111.1000000000001</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182153.38</v>
      </c>
      <c r="F6" s="27" t="s">
        <v>1</v>
      </c>
      <c r="G6" s="27" t="s">
        <v>2</v>
      </c>
      <c r="H6" s="33">
        <f>SUMIF(I$12:AB$12,"总值",I6:AB6)</f>
        <v>182153.38</v>
      </c>
      <c r="I6" s="27">
        <f t="shared" ref="I6:AB6" si="2">ROUND($A$3*I5/$B$3,2)</f>
        <v>65403.040000000001</v>
      </c>
      <c r="J6" s="27">
        <f t="shared" si="2"/>
        <v>0</v>
      </c>
      <c r="K6" s="27">
        <f t="shared" si="2"/>
        <v>60487.56</v>
      </c>
      <c r="L6" s="27">
        <f t="shared" si="2"/>
        <v>0</v>
      </c>
      <c r="M6" s="27">
        <f t="shared" si="2"/>
        <v>4373.8999999999996</v>
      </c>
      <c r="N6" s="27">
        <f t="shared" si="2"/>
        <v>0</v>
      </c>
      <c r="O6" s="27">
        <f t="shared" si="2"/>
        <v>26354.84</v>
      </c>
      <c r="P6" s="27">
        <f t="shared" si="2"/>
        <v>0</v>
      </c>
      <c r="Q6" s="27">
        <f t="shared" si="2"/>
        <v>12352.7</v>
      </c>
      <c r="R6" s="27">
        <f t="shared" si="2"/>
        <v>0</v>
      </c>
      <c r="S6" s="27">
        <f t="shared" si="2"/>
        <v>9834.57</v>
      </c>
      <c r="T6" s="27">
        <f t="shared" si="2"/>
        <v>0</v>
      </c>
      <c r="U6" s="27">
        <f t="shared" si="2"/>
        <v>3346.77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182153.37</v>
      </c>
      <c r="AZ6" s="27" t="s">
        <v>3</v>
      </c>
      <c r="BA6" s="27">
        <f>ROUND($AY$6*BA5/$AZ$5,2)</f>
        <v>182153.37</v>
      </c>
      <c r="BB6" s="27">
        <f>ROUND($AY$6*BB5/$AZ$5,2)</f>
        <v>65403.040000000001</v>
      </c>
      <c r="BC6" s="27">
        <f t="shared" ref="BC6:BH6" si="4">ROUND($AY$6*BC5/$AZ$5,2)</f>
        <v>60487.56</v>
      </c>
      <c r="BD6" s="27">
        <f t="shared" si="4"/>
        <v>4373.8999999999996</v>
      </c>
      <c r="BE6" s="27">
        <f t="shared" si="4"/>
        <v>26354.84</v>
      </c>
      <c r="BF6" s="27">
        <f t="shared" si="4"/>
        <v>12352.7</v>
      </c>
      <c r="BG6" s="27">
        <f t="shared" si="4"/>
        <v>9834.57</v>
      </c>
      <c r="BH6" s="27">
        <f t="shared" si="4"/>
        <v>3346.77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2" t="s">
        <v>2988</v>
      </c>
      <c r="J9" s="51"/>
      <c r="K9" s="3042" t="s">
        <v>2988</v>
      </c>
      <c r="L9" s="51"/>
      <c r="M9" s="3042" t="s">
        <v>2988</v>
      </c>
      <c r="N9" s="51"/>
      <c r="O9" s="59" t="s">
        <v>2988</v>
      </c>
      <c r="P9" s="51"/>
      <c r="Q9" s="59" t="s">
        <v>2988</v>
      </c>
      <c r="R9" s="51"/>
      <c r="S9" s="59" t="s">
        <v>2988</v>
      </c>
      <c r="T9" s="51"/>
      <c r="U9" s="59" t="s">
        <v>2994</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2" t="s">
        <v>981</v>
      </c>
      <c r="J10" s="51"/>
      <c r="K10" s="3044" t="s">
        <v>981</v>
      </c>
      <c r="L10" s="51"/>
      <c r="M10" s="3044" t="s">
        <v>981</v>
      </c>
      <c r="N10" s="51"/>
      <c r="O10" s="66" t="s">
        <v>981</v>
      </c>
      <c r="P10" s="51"/>
      <c r="Q10" s="66" t="s">
        <v>922</v>
      </c>
      <c r="R10" s="51"/>
      <c r="S10" s="66" t="s">
        <v>981</v>
      </c>
      <c r="T10" s="51"/>
      <c r="U10" s="66" t="s">
        <v>981</v>
      </c>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2981</v>
      </c>
      <c r="J11" s="71"/>
      <c r="K11" s="3043" t="s">
        <v>2989</v>
      </c>
      <c r="L11" s="71"/>
      <c r="M11" s="70" t="s">
        <v>2990</v>
      </c>
      <c r="N11" s="71"/>
      <c r="O11" s="70" t="s">
        <v>2991</v>
      </c>
      <c r="P11" s="71"/>
      <c r="Q11" s="70" t="s">
        <v>2992</v>
      </c>
      <c r="R11" s="71"/>
      <c r="S11" s="70" t="s">
        <v>2993</v>
      </c>
      <c r="T11" s="71"/>
      <c r="U11" s="70" t="s">
        <v>2995</v>
      </c>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住宅</v>
      </c>
      <c r="BG11" s="50" t="str">
        <f>S10</f>
        <v>工业</v>
      </c>
      <c r="BH11" s="50" t="str">
        <f>U10</f>
        <v>工业</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平房</v>
      </c>
      <c r="BC12" s="79" t="str">
        <f>K11</f>
        <v>2层</v>
      </c>
      <c r="BD12" s="79" t="str">
        <f>M11</f>
        <v>3层</v>
      </c>
      <c r="BE12" s="50" t="str">
        <f>O11</f>
        <v>4层</v>
      </c>
      <c r="BF12" s="50" t="str">
        <f>Q11</f>
        <v>5层</v>
      </c>
      <c r="BG12" s="50" t="str">
        <f>S11</f>
        <v>6层</v>
      </c>
      <c r="BH12" s="50" t="str">
        <f>U11</f>
        <v>戊类库房</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v>1</v>
      </c>
      <c r="D13" s="3039" t="s">
        <v>1678</v>
      </c>
      <c r="E13" s="27">
        <f t="shared" ref="E13:E20" si="6">IF($C$3="是",ROUND($A$3*G13/$B$3,2),ROUND($A$3*(G13-AT13)/$B$3,2))</f>
        <v>8073.68</v>
      </c>
      <c r="F13" s="81"/>
      <c r="G13" s="82">
        <f t="shared" ref="G13:G20" si="7">H13+AC13+AT13</f>
        <v>2680.4</v>
      </c>
      <c r="H13" s="33">
        <f t="shared" ref="H13:H20" si="8">SUMIF(I$12:AB$12,"总值",I13:AB13)</f>
        <v>2680.4</v>
      </c>
      <c r="I13" s="3041"/>
      <c r="J13" s="3041"/>
      <c r="K13" s="3041"/>
      <c r="L13" s="3041"/>
      <c r="M13" s="3041"/>
      <c r="N13" s="83"/>
      <c r="O13" s="83">
        <v>2680.4</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1</v>
      </c>
      <c r="AY13" s="996">
        <f t="shared" ref="AY13:AY20" si="11">ROUND($AY$6*AZ13/$AZ$5,2)</f>
        <v>8073.68</v>
      </c>
      <c r="AZ13" s="27">
        <f t="shared" ref="AZ13:AZ20" si="12">BA13+BL13</f>
        <v>2680.4</v>
      </c>
      <c r="BA13" s="27">
        <f t="shared" ref="BA13:BA20" si="13">SUM(BB13:BK13)</f>
        <v>2680.4</v>
      </c>
      <c r="BB13" s="27">
        <f t="shared" ref="BB13:BB20" si="14">IF($D13="是",I13-J13,0)</f>
        <v>0</v>
      </c>
      <c r="BC13" s="27">
        <f t="shared" ref="BC13:BC20" si="15">IF($D13="是",K13-L13,0)</f>
        <v>0</v>
      </c>
      <c r="BD13" s="27">
        <f t="shared" ref="BD13:BD20" si="16">IF($D13="是",M13-N13,0)</f>
        <v>0</v>
      </c>
      <c r="BE13" s="27">
        <f t="shared" ref="BE13:BE20" si="17">IF($D13="是",O13-P13,0)</f>
        <v>2680.4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v>2</v>
      </c>
      <c r="D14" s="3039" t="s">
        <v>1678</v>
      </c>
      <c r="E14" s="27">
        <f t="shared" si="6"/>
        <v>3819.67</v>
      </c>
      <c r="F14" s="81"/>
      <c r="G14" s="82">
        <f t="shared" si="7"/>
        <v>1268.0999999999999</v>
      </c>
      <c r="H14" s="33">
        <f t="shared" si="8"/>
        <v>1268.0999999999999</v>
      </c>
      <c r="I14" s="3041"/>
      <c r="J14" s="3041"/>
      <c r="K14" s="3041">
        <v>1268.0999999999999</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2</v>
      </c>
      <c r="AY14" s="996">
        <f t="shared" si="11"/>
        <v>3819.67</v>
      </c>
      <c r="AZ14" s="27">
        <f t="shared" si="12"/>
        <v>1268.0999999999999</v>
      </c>
      <c r="BA14" s="27">
        <f t="shared" si="13"/>
        <v>1268.0999999999999</v>
      </c>
      <c r="BB14" s="27">
        <f t="shared" si="14"/>
        <v>0</v>
      </c>
      <c r="BC14" s="27">
        <f t="shared" si="15"/>
        <v>1268.0999999999999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v>3</v>
      </c>
      <c r="D15" s="3039" t="s">
        <v>1678</v>
      </c>
      <c r="E15" s="27">
        <f t="shared" si="6"/>
        <v>1203.6400000000001</v>
      </c>
      <c r="F15" s="81"/>
      <c r="G15" s="82">
        <f t="shared" si="7"/>
        <v>399.6</v>
      </c>
      <c r="H15" s="33">
        <f t="shared" si="8"/>
        <v>399.6</v>
      </c>
      <c r="I15" s="3041"/>
      <c r="J15" s="3041"/>
      <c r="K15" s="3041">
        <v>399.6</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3</v>
      </c>
      <c r="AY15" s="996">
        <f t="shared" si="11"/>
        <v>1203.6400000000001</v>
      </c>
      <c r="AZ15" s="27">
        <f t="shared" si="12"/>
        <v>399.6</v>
      </c>
      <c r="BA15" s="27">
        <f t="shared" si="13"/>
        <v>399.6</v>
      </c>
      <c r="BB15" s="27">
        <f t="shared" si="14"/>
        <v>0</v>
      </c>
      <c r="BC15" s="27">
        <f t="shared" si="15"/>
        <v>399.6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v>4</v>
      </c>
      <c r="D16" s="3039" t="s">
        <v>1678</v>
      </c>
      <c r="E16" s="27">
        <f t="shared" si="6"/>
        <v>12352.7</v>
      </c>
      <c r="F16" s="81"/>
      <c r="G16" s="82">
        <f t="shared" si="7"/>
        <v>4101</v>
      </c>
      <c r="H16" s="33">
        <f t="shared" si="8"/>
        <v>4101</v>
      </c>
      <c r="I16" s="3041"/>
      <c r="J16" s="3041"/>
      <c r="K16" s="3041"/>
      <c r="L16" s="3041"/>
      <c r="M16" s="3041"/>
      <c r="N16" s="83"/>
      <c r="O16" s="83"/>
      <c r="P16" s="83"/>
      <c r="Q16" s="83">
        <v>4101</v>
      </c>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4</v>
      </c>
      <c r="AY16" s="996">
        <f t="shared" si="11"/>
        <v>12352.7</v>
      </c>
      <c r="AZ16" s="27">
        <f t="shared" si="12"/>
        <v>4101</v>
      </c>
      <c r="BA16" s="27">
        <f t="shared" si="13"/>
        <v>4101</v>
      </c>
      <c r="BB16" s="27">
        <f t="shared" si="14"/>
        <v>0</v>
      </c>
      <c r="BC16" s="27">
        <f t="shared" si="15"/>
        <v>0</v>
      </c>
      <c r="BD16" s="27">
        <f t="shared" si="16"/>
        <v>0</v>
      </c>
      <c r="BE16" s="27">
        <f t="shared" si="17"/>
        <v>0</v>
      </c>
      <c r="BF16" s="27">
        <f t="shared" si="18"/>
        <v>4101</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38">
        <v>5</v>
      </c>
      <c r="D17" s="3039" t="s">
        <v>1678</v>
      </c>
      <c r="E17" s="27">
        <f t="shared" si="6"/>
        <v>39.76</v>
      </c>
      <c r="F17" s="81"/>
      <c r="G17" s="82">
        <f t="shared" si="7"/>
        <v>13.2</v>
      </c>
      <c r="H17" s="33">
        <f t="shared" si="8"/>
        <v>13.2</v>
      </c>
      <c r="I17" s="3041">
        <v>13.2</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5</v>
      </c>
      <c r="AY17" s="996">
        <f t="shared" si="11"/>
        <v>39.76</v>
      </c>
      <c r="AZ17" s="27">
        <f t="shared" si="12"/>
        <v>13.2</v>
      </c>
      <c r="BA17" s="27">
        <f t="shared" si="13"/>
        <v>13.2</v>
      </c>
      <c r="BB17" s="27">
        <f t="shared" si="14"/>
        <v>13.2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8">
        <v>6</v>
      </c>
      <c r="D18" s="3040" t="s">
        <v>1678</v>
      </c>
      <c r="E18" s="87">
        <f t="shared" si="6"/>
        <v>196.09</v>
      </c>
      <c r="F18" s="88"/>
      <c r="G18" s="89">
        <f t="shared" si="7"/>
        <v>65.099999999999994</v>
      </c>
      <c r="H18" s="90">
        <f t="shared" si="8"/>
        <v>65.099999999999994</v>
      </c>
      <c r="I18" s="3041">
        <v>65.099999999999994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6</v>
      </c>
      <c r="AY18" s="95">
        <f t="shared" si="11"/>
        <v>196.09</v>
      </c>
      <c r="AZ18" s="87">
        <f t="shared" si="12"/>
        <v>65.099999999999994</v>
      </c>
      <c r="BA18" s="87">
        <f t="shared" si="13"/>
        <v>65.099999999999994</v>
      </c>
      <c r="BB18" s="87">
        <f t="shared" si="14"/>
        <v>65.099999999999994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038">
        <v>7</v>
      </c>
      <c r="D19" s="80" t="s">
        <v>1678</v>
      </c>
      <c r="E19" s="87">
        <f t="shared" si="6"/>
        <v>173.2</v>
      </c>
      <c r="F19" s="88"/>
      <c r="G19" s="89">
        <f t="shared" si="7"/>
        <v>57.5</v>
      </c>
      <c r="H19" s="90">
        <f t="shared" si="8"/>
        <v>57.5</v>
      </c>
      <c r="I19" s="1394">
        <v>57.5</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7</v>
      </c>
      <c r="AY19" s="95">
        <f t="shared" si="11"/>
        <v>173.2</v>
      </c>
      <c r="AZ19" s="87">
        <f t="shared" si="12"/>
        <v>57.5</v>
      </c>
      <c r="BA19" s="87">
        <f t="shared" si="13"/>
        <v>57.5</v>
      </c>
      <c r="BB19" s="87">
        <f t="shared" si="14"/>
        <v>57.5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3038">
        <v>8</v>
      </c>
      <c r="D20" s="80" t="s">
        <v>1678</v>
      </c>
      <c r="E20" s="87">
        <f t="shared" si="6"/>
        <v>121.99</v>
      </c>
      <c r="F20" s="88"/>
      <c r="G20" s="89">
        <f t="shared" si="7"/>
        <v>40.5</v>
      </c>
      <c r="H20" s="90">
        <f t="shared" si="8"/>
        <v>40.5</v>
      </c>
      <c r="I20" s="1394">
        <v>40.5</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8</v>
      </c>
      <c r="AY20" s="95">
        <f t="shared" si="11"/>
        <v>121.99</v>
      </c>
      <c r="AZ20" s="87">
        <f t="shared" si="12"/>
        <v>40.5</v>
      </c>
      <c r="BA20" s="87">
        <f t="shared" si="13"/>
        <v>40.5</v>
      </c>
      <c r="BB20" s="87">
        <f t="shared" si="14"/>
        <v>40.5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3038">
        <v>9</v>
      </c>
      <c r="D21" s="80" t="s">
        <v>1678</v>
      </c>
      <c r="E21" s="87">
        <f t="shared" ref="E21:E112" si="33">IF($C$3="是",ROUND($A$3*G21/$B$3,2),ROUND($A$3*(G21-AT21)/$B$3,2))</f>
        <v>206.03</v>
      </c>
      <c r="F21" s="88"/>
      <c r="G21" s="89">
        <f t="shared" ref="G21:G109" si="34">H21+AC21+AT21</f>
        <v>68.400000000000006</v>
      </c>
      <c r="H21" s="90">
        <f t="shared" ref="H21:H109" si="35">SUMIF(I$12:AB$12,"总值",I21:AB21)</f>
        <v>68.400000000000006</v>
      </c>
      <c r="I21" s="1396">
        <v>68.400000000000006</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9</v>
      </c>
      <c r="AY21" s="95">
        <f t="shared" ref="AY21:AY109" si="40">ROUND($AY$6*AZ21/$AZ$5,2)</f>
        <v>206.03</v>
      </c>
      <c r="AZ21" s="87">
        <f t="shared" ref="AZ21:AZ109" si="41">BA21+BL21</f>
        <v>68.400000000000006</v>
      </c>
      <c r="BA21" s="87">
        <f t="shared" ref="BA21:BA109" si="42">SUM(BB21:BK21)</f>
        <v>68.400000000000006</v>
      </c>
      <c r="BB21" s="87">
        <f t="shared" ref="BB21:BB109" si="43">IF($D21="是",I21-J21,0)</f>
        <v>68.400000000000006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3038">
        <v>10</v>
      </c>
      <c r="D22" s="80" t="s">
        <v>1678</v>
      </c>
      <c r="E22" s="87">
        <f t="shared" si="33"/>
        <v>670.2</v>
      </c>
      <c r="F22" s="88"/>
      <c r="G22" s="89">
        <f t="shared" si="34"/>
        <v>222.5</v>
      </c>
      <c r="H22" s="90">
        <f t="shared" si="35"/>
        <v>222.5</v>
      </c>
      <c r="I22" s="1396">
        <v>222.5</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10</v>
      </c>
      <c r="AY22" s="95">
        <f t="shared" si="40"/>
        <v>670.2</v>
      </c>
      <c r="AZ22" s="87">
        <f t="shared" si="41"/>
        <v>222.5</v>
      </c>
      <c r="BA22" s="87">
        <f t="shared" si="42"/>
        <v>222.5</v>
      </c>
      <c r="BB22" s="87">
        <f t="shared" si="43"/>
        <v>222.5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3038">
        <v>12</v>
      </c>
      <c r="D23" s="80" t="s">
        <v>1678</v>
      </c>
      <c r="E23" s="87">
        <f t="shared" si="33"/>
        <v>175.91</v>
      </c>
      <c r="F23" s="88"/>
      <c r="G23" s="89">
        <f t="shared" si="34"/>
        <v>58.4</v>
      </c>
      <c r="H23" s="90">
        <f t="shared" si="35"/>
        <v>58.4</v>
      </c>
      <c r="I23" s="1396">
        <v>58.4</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12</v>
      </c>
      <c r="AY23" s="95">
        <f t="shared" si="40"/>
        <v>175.91</v>
      </c>
      <c r="AZ23" s="87">
        <f t="shared" si="41"/>
        <v>58.4</v>
      </c>
      <c r="BA23" s="87">
        <f t="shared" si="42"/>
        <v>58.4</v>
      </c>
      <c r="BB23" s="87">
        <f t="shared" si="43"/>
        <v>58.4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3038">
        <v>13</v>
      </c>
      <c r="D24" s="80" t="s">
        <v>1678</v>
      </c>
      <c r="E24" s="87">
        <f t="shared" si="33"/>
        <v>181.33</v>
      </c>
      <c r="F24" s="88"/>
      <c r="G24" s="89">
        <f t="shared" si="34"/>
        <v>60.2</v>
      </c>
      <c r="H24" s="90">
        <f t="shared" si="35"/>
        <v>60.2</v>
      </c>
      <c r="I24" s="1396">
        <v>60.2</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13</v>
      </c>
      <c r="AY24" s="95">
        <f t="shared" si="40"/>
        <v>181.33</v>
      </c>
      <c r="AZ24" s="87">
        <f t="shared" si="41"/>
        <v>60.2</v>
      </c>
      <c r="BA24" s="87">
        <f t="shared" si="42"/>
        <v>60.2</v>
      </c>
      <c r="BB24" s="87">
        <f t="shared" si="43"/>
        <v>60.2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3038">
        <v>14</v>
      </c>
      <c r="D25" s="80" t="s">
        <v>1678</v>
      </c>
      <c r="E25" s="87">
        <f t="shared" si="33"/>
        <v>2519.94</v>
      </c>
      <c r="F25" s="88"/>
      <c r="G25" s="89">
        <f t="shared" si="34"/>
        <v>836.6</v>
      </c>
      <c r="H25" s="90">
        <f t="shared" si="35"/>
        <v>836.6</v>
      </c>
      <c r="I25" s="1396">
        <v>836.6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14</v>
      </c>
      <c r="AY25" s="95">
        <f t="shared" si="40"/>
        <v>2519.94</v>
      </c>
      <c r="AZ25" s="87">
        <f t="shared" si="41"/>
        <v>836.6</v>
      </c>
      <c r="BA25" s="87">
        <f t="shared" si="42"/>
        <v>836.6</v>
      </c>
      <c r="BB25" s="87">
        <f t="shared" si="43"/>
        <v>836.6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3038">
        <v>15</v>
      </c>
      <c r="D26" s="80" t="s">
        <v>1678</v>
      </c>
      <c r="E26" s="87">
        <f t="shared" si="33"/>
        <v>5399.22</v>
      </c>
      <c r="F26" s="88"/>
      <c r="G26" s="89">
        <f t="shared" si="34"/>
        <v>1792.5</v>
      </c>
      <c r="H26" s="90">
        <f t="shared" si="35"/>
        <v>1792.5</v>
      </c>
      <c r="I26" s="1396">
        <v>1792.5</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15</v>
      </c>
      <c r="AY26" s="95">
        <f t="shared" si="40"/>
        <v>5399.22</v>
      </c>
      <c r="AZ26" s="87">
        <f t="shared" si="41"/>
        <v>1792.5</v>
      </c>
      <c r="BA26" s="87">
        <f t="shared" si="42"/>
        <v>1792.5</v>
      </c>
      <c r="BB26" s="87">
        <f t="shared" si="43"/>
        <v>1792.5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3038">
        <v>16</v>
      </c>
      <c r="D27" s="80" t="s">
        <v>1678</v>
      </c>
      <c r="E27" s="87">
        <f t="shared" si="33"/>
        <v>539.16999999999996</v>
      </c>
      <c r="F27" s="88"/>
      <c r="G27" s="89">
        <f t="shared" si="34"/>
        <v>179</v>
      </c>
      <c r="H27" s="90">
        <f t="shared" si="35"/>
        <v>179</v>
      </c>
      <c r="I27" s="1396">
        <v>179</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16</v>
      </c>
      <c r="AY27" s="95">
        <f t="shared" si="40"/>
        <v>539.16999999999996</v>
      </c>
      <c r="AZ27" s="87">
        <f t="shared" si="41"/>
        <v>179</v>
      </c>
      <c r="BA27" s="87">
        <f t="shared" si="42"/>
        <v>179</v>
      </c>
      <c r="BB27" s="87">
        <f t="shared" si="43"/>
        <v>179</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3038">
        <v>17</v>
      </c>
      <c r="D28" s="80" t="s">
        <v>1678</v>
      </c>
      <c r="E28" s="87">
        <f t="shared" si="33"/>
        <v>33892.660000000003</v>
      </c>
      <c r="F28" s="88"/>
      <c r="G28" s="89">
        <f t="shared" si="34"/>
        <v>11252.1</v>
      </c>
      <c r="H28" s="90">
        <f t="shared" si="35"/>
        <v>11252.1</v>
      </c>
      <c r="I28" s="1396">
        <v>11252.1</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17</v>
      </c>
      <c r="AY28" s="95">
        <f t="shared" si="40"/>
        <v>33892.660000000003</v>
      </c>
      <c r="AZ28" s="87">
        <f t="shared" si="41"/>
        <v>11252.1</v>
      </c>
      <c r="BA28" s="87">
        <f t="shared" si="42"/>
        <v>11252.1</v>
      </c>
      <c r="BB28" s="87">
        <f t="shared" si="43"/>
        <v>11252.1</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3038">
        <v>18</v>
      </c>
      <c r="D29" s="80" t="s">
        <v>1678</v>
      </c>
      <c r="E29" s="87">
        <f t="shared" si="33"/>
        <v>936.47</v>
      </c>
      <c r="F29" s="88"/>
      <c r="G29" s="89">
        <f t="shared" si="34"/>
        <v>310.89999999999998</v>
      </c>
      <c r="H29" s="90">
        <f t="shared" si="35"/>
        <v>310.89999999999998</v>
      </c>
      <c r="I29" s="1396">
        <v>310.89999999999998</v>
      </c>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18</v>
      </c>
      <c r="AY29" s="95">
        <f t="shared" si="40"/>
        <v>936.47</v>
      </c>
      <c r="AZ29" s="87">
        <f t="shared" si="41"/>
        <v>310.89999999999998</v>
      </c>
      <c r="BA29" s="87">
        <f t="shared" si="42"/>
        <v>310.89999999999998</v>
      </c>
      <c r="BB29" s="87">
        <f t="shared" si="43"/>
        <v>310.89999999999998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3038">
        <v>19</v>
      </c>
      <c r="D30" s="80" t="s">
        <v>1678</v>
      </c>
      <c r="E30" s="87">
        <f t="shared" si="33"/>
        <v>18281.150000000001</v>
      </c>
      <c r="F30" s="88"/>
      <c r="G30" s="89">
        <f t="shared" si="34"/>
        <v>6069.2</v>
      </c>
      <c r="H30" s="90">
        <f t="shared" si="35"/>
        <v>6069.2</v>
      </c>
      <c r="I30" s="1396"/>
      <c r="J30" s="91"/>
      <c r="K30" s="1396"/>
      <c r="L30" s="91"/>
      <c r="M30" s="91"/>
      <c r="N30" s="91"/>
      <c r="O30" s="91">
        <v>6069.2</v>
      </c>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19</v>
      </c>
      <c r="AY30" s="95">
        <f t="shared" si="40"/>
        <v>18281.150000000001</v>
      </c>
      <c r="AZ30" s="87">
        <f t="shared" si="41"/>
        <v>6069.2</v>
      </c>
      <c r="BA30" s="87">
        <f t="shared" si="42"/>
        <v>6069.2</v>
      </c>
      <c r="BB30" s="87">
        <f t="shared" si="43"/>
        <v>0</v>
      </c>
      <c r="BC30" s="87">
        <f t="shared" si="44"/>
        <v>0</v>
      </c>
      <c r="BD30" s="87">
        <f t="shared" si="45"/>
        <v>0</v>
      </c>
      <c r="BE30" s="87">
        <f t="shared" si="46"/>
        <v>6069.2</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3038">
        <v>20</v>
      </c>
      <c r="D31" s="80" t="s">
        <v>1678</v>
      </c>
      <c r="E31" s="87">
        <f t="shared" si="33"/>
        <v>4550.1099999999997</v>
      </c>
      <c r="F31" s="88"/>
      <c r="G31" s="89">
        <f t="shared" si="34"/>
        <v>1510.6</v>
      </c>
      <c r="H31" s="90">
        <f t="shared" si="35"/>
        <v>1510.6</v>
      </c>
      <c r="I31" s="1396">
        <v>1510.6</v>
      </c>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20</v>
      </c>
      <c r="AY31" s="95">
        <f t="shared" si="40"/>
        <v>4550.1099999999997</v>
      </c>
      <c r="AZ31" s="87">
        <f t="shared" si="41"/>
        <v>1510.6</v>
      </c>
      <c r="BA31" s="87">
        <f t="shared" si="42"/>
        <v>1510.6</v>
      </c>
      <c r="BB31" s="87">
        <f t="shared" si="43"/>
        <v>1510.6</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3038">
        <v>21</v>
      </c>
      <c r="D32" s="80" t="s">
        <v>1678</v>
      </c>
      <c r="E32" s="87">
        <f t="shared" si="33"/>
        <v>27751.25</v>
      </c>
      <c r="F32" s="88"/>
      <c r="G32" s="89">
        <f t="shared" si="34"/>
        <v>9213.2000000000007</v>
      </c>
      <c r="H32" s="90">
        <f t="shared" si="35"/>
        <v>9213.2000000000007</v>
      </c>
      <c r="I32" s="1396"/>
      <c r="J32" s="91"/>
      <c r="K32" s="1396">
        <v>9213.2000000000007</v>
      </c>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21</v>
      </c>
      <c r="AY32" s="95">
        <f t="shared" si="40"/>
        <v>27751.25</v>
      </c>
      <c r="AZ32" s="87">
        <f t="shared" si="41"/>
        <v>9213.2000000000007</v>
      </c>
      <c r="BA32" s="87">
        <f t="shared" si="42"/>
        <v>9213.2000000000007</v>
      </c>
      <c r="BB32" s="87">
        <f t="shared" si="43"/>
        <v>0</v>
      </c>
      <c r="BC32" s="87">
        <f t="shared" si="44"/>
        <v>9213.2000000000007</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3038">
        <v>22</v>
      </c>
      <c r="D33" s="80" t="s">
        <v>1678</v>
      </c>
      <c r="E33" s="87">
        <f t="shared" si="33"/>
        <v>4373.8999999999996</v>
      </c>
      <c r="F33" s="88"/>
      <c r="G33" s="89">
        <f t="shared" si="34"/>
        <v>1452.1</v>
      </c>
      <c r="H33" s="90">
        <f t="shared" si="35"/>
        <v>1452.1</v>
      </c>
      <c r="I33" s="1396"/>
      <c r="J33" s="91"/>
      <c r="K33" s="1396"/>
      <c r="L33" s="91"/>
      <c r="M33" s="91">
        <v>1452.1</v>
      </c>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22</v>
      </c>
      <c r="AY33" s="95">
        <f t="shared" si="40"/>
        <v>4373.8999999999996</v>
      </c>
      <c r="AZ33" s="87">
        <f t="shared" si="41"/>
        <v>1452.1</v>
      </c>
      <c r="BA33" s="87">
        <f t="shared" si="42"/>
        <v>1452.1</v>
      </c>
      <c r="BB33" s="87">
        <f t="shared" si="43"/>
        <v>0</v>
      </c>
      <c r="BC33" s="87">
        <f t="shared" si="44"/>
        <v>0</v>
      </c>
      <c r="BD33" s="87">
        <f t="shared" si="45"/>
        <v>1452.1</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3038">
        <v>23</v>
      </c>
      <c r="D34" s="80" t="s">
        <v>1678</v>
      </c>
      <c r="E34" s="87">
        <f t="shared" si="33"/>
        <v>9834.57</v>
      </c>
      <c r="F34" s="88"/>
      <c r="G34" s="89">
        <f t="shared" si="34"/>
        <v>3265</v>
      </c>
      <c r="H34" s="90">
        <f t="shared" si="35"/>
        <v>3265</v>
      </c>
      <c r="I34" s="1396"/>
      <c r="J34" s="91"/>
      <c r="K34" s="1396"/>
      <c r="L34" s="91"/>
      <c r="M34" s="91"/>
      <c r="N34" s="91"/>
      <c r="O34" s="91"/>
      <c r="P34" s="91"/>
      <c r="Q34" s="91"/>
      <c r="R34" s="91"/>
      <c r="S34" s="91">
        <v>3265</v>
      </c>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23</v>
      </c>
      <c r="AY34" s="95">
        <f t="shared" si="40"/>
        <v>9834.57</v>
      </c>
      <c r="AZ34" s="87">
        <f t="shared" si="41"/>
        <v>3265</v>
      </c>
      <c r="BA34" s="87">
        <f t="shared" si="42"/>
        <v>3265</v>
      </c>
      <c r="BB34" s="87">
        <f t="shared" si="43"/>
        <v>0</v>
      </c>
      <c r="BC34" s="87">
        <f t="shared" si="44"/>
        <v>0</v>
      </c>
      <c r="BD34" s="87">
        <f t="shared" si="45"/>
        <v>0</v>
      </c>
      <c r="BE34" s="87">
        <f t="shared" si="46"/>
        <v>0</v>
      </c>
      <c r="BF34" s="87">
        <f t="shared" si="47"/>
        <v>0</v>
      </c>
      <c r="BG34" s="87">
        <f t="shared" si="48"/>
        <v>3265</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3038">
        <v>24</v>
      </c>
      <c r="D35" s="80" t="s">
        <v>1678</v>
      </c>
      <c r="E35" s="87">
        <f t="shared" si="33"/>
        <v>6929.38</v>
      </c>
      <c r="F35" s="88"/>
      <c r="G35" s="89">
        <f t="shared" si="34"/>
        <v>2300.5</v>
      </c>
      <c r="H35" s="90">
        <f t="shared" si="35"/>
        <v>2300.5</v>
      </c>
      <c r="I35" s="1396">
        <v>2300.5</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24</v>
      </c>
      <c r="AY35" s="95">
        <f t="shared" si="40"/>
        <v>6929.38</v>
      </c>
      <c r="AZ35" s="87">
        <f t="shared" si="41"/>
        <v>2300.5</v>
      </c>
      <c r="BA35" s="87">
        <f t="shared" si="42"/>
        <v>2300.5</v>
      </c>
      <c r="BB35" s="87">
        <f t="shared" si="43"/>
        <v>2300.5</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3038">
        <v>27</v>
      </c>
      <c r="D36" s="80" t="s">
        <v>1678</v>
      </c>
      <c r="E36" s="87">
        <f t="shared" si="33"/>
        <v>772.91</v>
      </c>
      <c r="F36" s="88"/>
      <c r="G36" s="89">
        <f t="shared" si="34"/>
        <v>256.60000000000002</v>
      </c>
      <c r="H36" s="90">
        <f t="shared" si="35"/>
        <v>256.60000000000002</v>
      </c>
      <c r="I36" s="1396">
        <v>256.60000000000002</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27</v>
      </c>
      <c r="AY36" s="95">
        <f t="shared" si="40"/>
        <v>772.91</v>
      </c>
      <c r="AZ36" s="87">
        <f t="shared" si="41"/>
        <v>256.60000000000002</v>
      </c>
      <c r="BA36" s="87">
        <f t="shared" si="42"/>
        <v>256.60000000000002</v>
      </c>
      <c r="BB36" s="87">
        <f t="shared" si="43"/>
        <v>256.60000000000002</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3038">
        <v>28</v>
      </c>
      <c r="D37" s="80" t="s">
        <v>1678</v>
      </c>
      <c r="E37" s="87">
        <f t="shared" si="33"/>
        <v>330.43</v>
      </c>
      <c r="F37" s="88"/>
      <c r="G37" s="89">
        <f t="shared" si="34"/>
        <v>109.7</v>
      </c>
      <c r="H37" s="90">
        <f t="shared" si="35"/>
        <v>109.7</v>
      </c>
      <c r="I37" s="1396"/>
      <c r="J37" s="91"/>
      <c r="K37" s="1396">
        <v>109.7</v>
      </c>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28</v>
      </c>
      <c r="AY37" s="95">
        <f t="shared" si="40"/>
        <v>330.43</v>
      </c>
      <c r="AZ37" s="87">
        <f t="shared" si="41"/>
        <v>109.7</v>
      </c>
      <c r="BA37" s="87">
        <f t="shared" si="42"/>
        <v>109.7</v>
      </c>
      <c r="BB37" s="87">
        <f t="shared" si="43"/>
        <v>0</v>
      </c>
      <c r="BC37" s="87">
        <f t="shared" si="44"/>
        <v>109.7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3038">
        <v>29</v>
      </c>
      <c r="D38" s="80" t="s">
        <v>1678</v>
      </c>
      <c r="E38" s="87">
        <f t="shared" si="33"/>
        <v>422.3</v>
      </c>
      <c r="F38" s="88"/>
      <c r="G38" s="89">
        <f t="shared" si="34"/>
        <v>140.19999999999999</v>
      </c>
      <c r="H38" s="90">
        <f t="shared" si="35"/>
        <v>140.19999999999999</v>
      </c>
      <c r="I38" s="1396">
        <v>140.19999999999999</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29</v>
      </c>
      <c r="AY38" s="95">
        <f t="shared" si="40"/>
        <v>422.3</v>
      </c>
      <c r="AZ38" s="87">
        <f t="shared" si="41"/>
        <v>140.19999999999999</v>
      </c>
      <c r="BA38" s="87">
        <f t="shared" si="42"/>
        <v>140.19999999999999</v>
      </c>
      <c r="BB38" s="87">
        <f t="shared" si="43"/>
        <v>140.19999999999999</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3038">
        <v>30</v>
      </c>
      <c r="D39" s="80" t="s">
        <v>1678</v>
      </c>
      <c r="E39" s="87">
        <f t="shared" si="33"/>
        <v>271.69</v>
      </c>
      <c r="F39" s="88"/>
      <c r="G39" s="89">
        <f t="shared" si="34"/>
        <v>90.2</v>
      </c>
      <c r="H39" s="90">
        <f t="shared" si="35"/>
        <v>90.2</v>
      </c>
      <c r="I39" s="1396">
        <v>90.2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30</v>
      </c>
      <c r="AY39" s="95">
        <f t="shared" si="40"/>
        <v>271.69</v>
      </c>
      <c r="AZ39" s="87">
        <f t="shared" si="41"/>
        <v>90.2</v>
      </c>
      <c r="BA39" s="87">
        <f t="shared" si="42"/>
        <v>90.2</v>
      </c>
      <c r="BB39" s="87">
        <f t="shared" si="43"/>
        <v>90.2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3038">
        <v>31</v>
      </c>
      <c r="D40" s="80" t="s">
        <v>1678</v>
      </c>
      <c r="E40" s="87">
        <f t="shared" si="33"/>
        <v>529.53</v>
      </c>
      <c r="F40" s="88"/>
      <c r="G40" s="89">
        <f t="shared" si="34"/>
        <v>175.8</v>
      </c>
      <c r="H40" s="90">
        <f t="shared" si="35"/>
        <v>175.8</v>
      </c>
      <c r="I40" s="1396">
        <v>87.9</v>
      </c>
      <c r="J40" s="91"/>
      <c r="K40" s="1396"/>
      <c r="L40" s="91"/>
      <c r="M40" s="91"/>
      <c r="N40" s="91"/>
      <c r="O40" s="91"/>
      <c r="P40" s="91"/>
      <c r="Q40" s="91"/>
      <c r="R40" s="91"/>
      <c r="S40" s="91"/>
      <c r="T40" s="91"/>
      <c r="U40" s="91">
        <v>87.9</v>
      </c>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31</v>
      </c>
      <c r="AY40" s="95">
        <f t="shared" si="40"/>
        <v>529.53</v>
      </c>
      <c r="AZ40" s="87">
        <f t="shared" si="41"/>
        <v>175.8</v>
      </c>
      <c r="BA40" s="87">
        <f t="shared" si="42"/>
        <v>175.8</v>
      </c>
      <c r="BB40" s="87">
        <f t="shared" si="43"/>
        <v>87.9</v>
      </c>
      <c r="BC40" s="87">
        <f t="shared" si="44"/>
        <v>0</v>
      </c>
      <c r="BD40" s="87">
        <f t="shared" si="45"/>
        <v>0</v>
      </c>
      <c r="BE40" s="87">
        <f t="shared" si="46"/>
        <v>0</v>
      </c>
      <c r="BF40" s="87">
        <f t="shared" si="47"/>
        <v>0</v>
      </c>
      <c r="BG40" s="87">
        <f t="shared" si="48"/>
        <v>0</v>
      </c>
      <c r="BH40" s="87">
        <f t="shared" si="49"/>
        <v>87.9</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3038">
        <v>32</v>
      </c>
      <c r="D41" s="80" t="s">
        <v>1678</v>
      </c>
      <c r="E41" s="87">
        <f t="shared" si="33"/>
        <v>524.71</v>
      </c>
      <c r="F41" s="88"/>
      <c r="G41" s="89">
        <f t="shared" si="34"/>
        <v>174.2</v>
      </c>
      <c r="H41" s="90">
        <f t="shared" si="35"/>
        <v>174.2</v>
      </c>
      <c r="I41" s="1396">
        <v>174.2</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32</v>
      </c>
      <c r="AY41" s="95">
        <f t="shared" si="40"/>
        <v>524.71</v>
      </c>
      <c r="AZ41" s="87">
        <f t="shared" si="41"/>
        <v>174.2</v>
      </c>
      <c r="BA41" s="87">
        <f t="shared" si="42"/>
        <v>174.2</v>
      </c>
      <c r="BB41" s="87">
        <f t="shared" si="43"/>
        <v>174.2</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3038">
        <v>33</v>
      </c>
      <c r="D42" s="80" t="s">
        <v>1678</v>
      </c>
      <c r="E42" s="87">
        <f t="shared" si="33"/>
        <v>3017.24</v>
      </c>
      <c r="F42" s="88"/>
      <c r="G42" s="89">
        <f t="shared" si="34"/>
        <v>1001.7</v>
      </c>
      <c r="H42" s="90">
        <f t="shared" si="35"/>
        <v>1001.7</v>
      </c>
      <c r="I42" s="1396">
        <v>1001.7</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33</v>
      </c>
      <c r="AY42" s="95">
        <f t="shared" si="40"/>
        <v>3017.24</v>
      </c>
      <c r="AZ42" s="87">
        <f t="shared" si="41"/>
        <v>1001.7</v>
      </c>
      <c r="BA42" s="87">
        <f t="shared" si="42"/>
        <v>1001.7</v>
      </c>
      <c r="BB42" s="87">
        <f t="shared" si="43"/>
        <v>1001.7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3038">
        <v>34</v>
      </c>
      <c r="D43" s="80" t="s">
        <v>1678</v>
      </c>
      <c r="E43" s="87">
        <f t="shared" si="33"/>
        <v>2477.77</v>
      </c>
      <c r="F43" s="88"/>
      <c r="G43" s="89">
        <f t="shared" si="34"/>
        <v>822.6</v>
      </c>
      <c r="H43" s="90">
        <f t="shared" si="35"/>
        <v>822.6</v>
      </c>
      <c r="I43" s="1396">
        <v>822.6</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34</v>
      </c>
      <c r="AY43" s="95">
        <f t="shared" si="40"/>
        <v>2477.77</v>
      </c>
      <c r="AZ43" s="87">
        <f t="shared" si="41"/>
        <v>822.6</v>
      </c>
      <c r="BA43" s="87">
        <f t="shared" si="42"/>
        <v>822.6</v>
      </c>
      <c r="BB43" s="87">
        <f t="shared" si="43"/>
        <v>822.6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3038">
        <v>35</v>
      </c>
      <c r="D44" s="80" t="s">
        <v>1678</v>
      </c>
      <c r="E44" s="87">
        <f t="shared" si="33"/>
        <v>5566.09</v>
      </c>
      <c r="F44" s="88"/>
      <c r="G44" s="89">
        <f t="shared" si="34"/>
        <v>1847.9</v>
      </c>
      <c r="H44" s="90">
        <f t="shared" si="35"/>
        <v>1847.9</v>
      </c>
      <c r="I44" s="1396"/>
      <c r="J44" s="91"/>
      <c r="K44" s="1396">
        <v>1847.9</v>
      </c>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35</v>
      </c>
      <c r="AY44" s="95">
        <f t="shared" si="40"/>
        <v>5566.09</v>
      </c>
      <c r="AZ44" s="87">
        <f t="shared" si="41"/>
        <v>1847.9</v>
      </c>
      <c r="BA44" s="87">
        <f t="shared" si="42"/>
        <v>1847.9</v>
      </c>
      <c r="BB44" s="87">
        <f t="shared" si="43"/>
        <v>0</v>
      </c>
      <c r="BC44" s="87">
        <f t="shared" si="44"/>
        <v>1847.9</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3038">
        <v>36</v>
      </c>
      <c r="D45" s="80" t="s">
        <v>1678</v>
      </c>
      <c r="E45" s="87">
        <f t="shared" si="33"/>
        <v>15188.91</v>
      </c>
      <c r="F45" s="88"/>
      <c r="G45" s="89">
        <f t="shared" si="34"/>
        <v>5042.6000000000004</v>
      </c>
      <c r="H45" s="90">
        <f t="shared" si="35"/>
        <v>5042.6000000000004</v>
      </c>
      <c r="I45" s="1396"/>
      <c r="J45" s="91"/>
      <c r="K45" s="1396">
        <v>5042.6000000000004</v>
      </c>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36</v>
      </c>
      <c r="AY45" s="95">
        <f t="shared" si="40"/>
        <v>15188.91</v>
      </c>
      <c r="AZ45" s="87">
        <f t="shared" si="41"/>
        <v>5042.6000000000004</v>
      </c>
      <c r="BA45" s="87">
        <f t="shared" si="42"/>
        <v>5042.6000000000004</v>
      </c>
      <c r="BB45" s="87">
        <f t="shared" si="43"/>
        <v>0</v>
      </c>
      <c r="BC45" s="87">
        <f t="shared" si="44"/>
        <v>5042.6000000000004</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3038">
        <v>37</v>
      </c>
      <c r="D46" s="80" t="s">
        <v>1678</v>
      </c>
      <c r="E46" s="87">
        <f t="shared" si="33"/>
        <v>9709.57</v>
      </c>
      <c r="F46" s="88"/>
      <c r="G46" s="89">
        <f t="shared" si="34"/>
        <v>3223.5</v>
      </c>
      <c r="H46" s="90">
        <f t="shared" si="35"/>
        <v>3223.5</v>
      </c>
      <c r="I46" s="1396"/>
      <c r="J46" s="91"/>
      <c r="K46" s="1396">
        <v>2200.3000000000002</v>
      </c>
      <c r="L46" s="91"/>
      <c r="M46" s="91"/>
      <c r="N46" s="91"/>
      <c r="O46" s="91"/>
      <c r="P46" s="91"/>
      <c r="Q46" s="91"/>
      <c r="R46" s="91"/>
      <c r="S46" s="91"/>
      <c r="T46" s="91"/>
      <c r="U46" s="91">
        <v>1023.2</v>
      </c>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37</v>
      </c>
      <c r="AY46" s="95">
        <f t="shared" si="40"/>
        <v>9709.57</v>
      </c>
      <c r="AZ46" s="87">
        <f t="shared" si="41"/>
        <v>3223.5</v>
      </c>
      <c r="BA46" s="87">
        <f t="shared" si="42"/>
        <v>3223.5</v>
      </c>
      <c r="BB46" s="87">
        <f t="shared" si="43"/>
        <v>0</v>
      </c>
      <c r="BC46" s="87">
        <f t="shared" si="44"/>
        <v>2200.3000000000002</v>
      </c>
      <c r="BD46" s="87">
        <f t="shared" si="45"/>
        <v>0</v>
      </c>
      <c r="BE46" s="87">
        <f t="shared" si="46"/>
        <v>0</v>
      </c>
      <c r="BF46" s="87">
        <f t="shared" si="47"/>
        <v>0</v>
      </c>
      <c r="BG46" s="87">
        <f t="shared" si="48"/>
        <v>0</v>
      </c>
      <c r="BH46" s="87">
        <f t="shared" si="49"/>
        <v>1023.2</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3038">
        <v>38</v>
      </c>
      <c r="D47" s="80" t="s">
        <v>1678</v>
      </c>
      <c r="E47" s="87">
        <f t="shared" si="33"/>
        <v>1120.21</v>
      </c>
      <c r="F47" s="88"/>
      <c r="G47" s="89">
        <f t="shared" si="34"/>
        <v>371.9</v>
      </c>
      <c r="H47" s="90">
        <f t="shared" si="35"/>
        <v>371.9</v>
      </c>
      <c r="I47" s="1396">
        <v>371.9</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38</v>
      </c>
      <c r="AY47" s="95">
        <f t="shared" si="40"/>
        <v>1120.21</v>
      </c>
      <c r="AZ47" s="87">
        <f t="shared" si="41"/>
        <v>371.9</v>
      </c>
      <c r="BA47" s="87">
        <f t="shared" si="42"/>
        <v>371.9</v>
      </c>
      <c r="BB47" s="87">
        <f t="shared" si="43"/>
        <v>371.9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3038"/>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3038"/>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3038"/>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5" t="s">
        <v>0</v>
      </c>
      <c r="B1" s="3615" t="s">
        <v>4</v>
      </c>
      <c r="C1" s="3615" t="s">
        <v>5</v>
      </c>
      <c r="D1" s="3616" t="s">
        <v>40</v>
      </c>
      <c r="E1" s="3616" t="s">
        <v>41</v>
      </c>
      <c r="F1" s="3616"/>
      <c r="G1" s="3616"/>
      <c r="H1" s="3616"/>
      <c r="I1" s="3616"/>
      <c r="J1" s="3616"/>
      <c r="K1" s="3616"/>
      <c r="L1" s="3616"/>
      <c r="M1" s="3616"/>
    </row>
    <row r="2" spans="1:13" ht="27" customHeight="1">
      <c r="A2" s="3615"/>
      <c r="B2" s="3615"/>
      <c r="C2" s="3615"/>
      <c r="D2" s="3616"/>
      <c r="E2" s="3616" t="s">
        <v>24</v>
      </c>
      <c r="F2" s="3616" t="s">
        <v>25</v>
      </c>
      <c r="G2" s="3616"/>
      <c r="H2" s="3616"/>
      <c r="I2" s="3616"/>
      <c r="J2" s="3616" t="s">
        <v>26</v>
      </c>
      <c r="K2" s="3616"/>
      <c r="L2" s="3616"/>
      <c r="M2" s="3616"/>
    </row>
    <row r="3" spans="1:13" ht="28.5">
      <c r="A3" s="3615"/>
      <c r="B3" s="3615"/>
      <c r="C3" s="3615"/>
      <c r="D3" s="3616"/>
      <c r="E3" s="36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6" t="s">
        <v>42</v>
      </c>
      <c r="B9" s="3616"/>
      <c r="C9" s="36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2" sqref="D3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626" t="s">
        <v>202</v>
      </c>
      <c r="B2" s="3626"/>
      <c r="C2" s="3626"/>
      <c r="D2" s="1975" t="s">
        <v>203</v>
      </c>
      <c r="E2" s="106" t="s">
        <v>204</v>
      </c>
      <c r="F2" s="1984"/>
      <c r="G2" s="1198"/>
      <c r="H2" s="1199"/>
      <c r="I2" s="1200" t="s">
        <v>856</v>
      </c>
      <c r="J2" s="1984"/>
      <c r="K2" s="1984"/>
      <c r="L2" s="1984"/>
    </row>
    <row r="3" spans="1:16" ht="15.75" thickBot="1">
      <c r="A3" s="3627" t="s">
        <v>205</v>
      </c>
      <c r="B3" s="3627"/>
      <c r="C3" s="3627"/>
      <c r="D3" s="107">
        <f>'数据-基础表'!AY6</f>
        <v>182153.37</v>
      </c>
      <c r="E3" s="107">
        <f>'数据-基础表'!AZ5</f>
        <v>60473.499999999985</v>
      </c>
      <c r="F3" s="1984"/>
      <c r="G3" s="280" t="s">
        <v>857</v>
      </c>
      <c r="H3" s="275" t="s">
        <v>858</v>
      </c>
      <c r="I3" s="1976">
        <f>ROUND('数据-基础表'!B3/'数据-基础表'!A3,2)</f>
        <v>0.33</v>
      </c>
      <c r="J3" s="1984"/>
      <c r="K3" s="1984"/>
      <c r="L3" s="1984"/>
    </row>
    <row r="4" spans="1:16" ht="15">
      <c r="A4" s="3628"/>
      <c r="B4" s="3629"/>
      <c r="C4" s="3630"/>
      <c r="D4" s="108" t="s">
        <v>203</v>
      </c>
      <c r="E4" s="109" t="s">
        <v>204</v>
      </c>
      <c r="F4" s="1984"/>
      <c r="G4" s="1201"/>
      <c r="H4" s="275" t="s">
        <v>859</v>
      </c>
      <c r="I4" s="1976">
        <f>ROUND(SUMIF('数据-基础表'!I9:AS9,"地上",'数据-基础表'!I5:AS5)/'数据-基础表'!A3,2)</f>
        <v>0.33</v>
      </c>
      <c r="J4" s="1984"/>
      <c r="K4" s="1984"/>
      <c r="L4" s="1984"/>
    </row>
    <row r="5" spans="1:16">
      <c r="A5" s="110" t="s">
        <v>206</v>
      </c>
      <c r="B5" s="3631" t="s">
        <v>229</v>
      </c>
      <c r="C5" s="3631"/>
      <c r="D5" s="111">
        <f>ROUND($D$3*E5/$E$3,2)</f>
        <v>12352.7</v>
      </c>
      <c r="E5" s="112">
        <f>SUMIF('数据-基础表'!$11:$11,"住宅",'数据-基础表'!$5:$5)</f>
        <v>4101</v>
      </c>
      <c r="F5" s="1984"/>
      <c r="G5" s="280" t="s">
        <v>860</v>
      </c>
      <c r="H5" s="275" t="s">
        <v>858</v>
      </c>
      <c r="I5" s="1976">
        <f>ROUND(E31/D31,2)</f>
        <v>0.33</v>
      </c>
      <c r="J5" s="1984"/>
      <c r="K5" s="1984"/>
      <c r="L5" s="1984"/>
    </row>
    <row r="6" spans="1:16" ht="15" thickBot="1">
      <c r="A6" s="113"/>
      <c r="B6" s="3631" t="s">
        <v>207</v>
      </c>
      <c r="C6" s="3631"/>
      <c r="D6" s="111">
        <f>ROUND($D$3*E6/$E$3,2)</f>
        <v>169800.67</v>
      </c>
      <c r="E6" s="112">
        <f>E3-E5</f>
        <v>56372.499999999985</v>
      </c>
      <c r="F6" s="1984"/>
      <c r="G6" s="1201"/>
      <c r="H6" s="275" t="s">
        <v>859</v>
      </c>
      <c r="I6" s="1976">
        <f>ROUND(F31/D31,2)</f>
        <v>0.33</v>
      </c>
      <c r="J6" s="1984"/>
      <c r="K6" s="1984"/>
      <c r="L6" s="1984"/>
    </row>
    <row r="7" spans="1:16" ht="15">
      <c r="A7" s="3623"/>
      <c r="B7" s="3624"/>
      <c r="C7" s="3625"/>
      <c r="D7" s="108" t="s">
        <v>203</v>
      </c>
      <c r="E7" s="114" t="s">
        <v>230</v>
      </c>
      <c r="F7" s="1984"/>
      <c r="G7" s="1156" t="s">
        <v>1645</v>
      </c>
      <c r="H7" s="1157"/>
      <c r="I7" s="1846">
        <v>1</v>
      </c>
      <c r="J7" s="1984"/>
      <c r="K7" s="1984"/>
      <c r="L7" s="1984"/>
    </row>
    <row r="8" spans="1:16">
      <c r="A8" s="110" t="s">
        <v>208</v>
      </c>
      <c r="B8" s="115" t="s">
        <v>209</v>
      </c>
      <c r="C8" s="111" t="s">
        <v>210</v>
      </c>
      <c r="D8" s="111">
        <f t="shared" ref="D8:D15" si="0">ROUND($D$3*E8/$E$3,2)</f>
        <v>178806.6</v>
      </c>
      <c r="E8" s="116">
        <f>SUMIF('数据-基础表'!BB10:BK10,"地上",'数据-基础表'!BB5:BK5)</f>
        <v>59362.400000000001</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178806.6</v>
      </c>
      <c r="E16" s="120">
        <f>SUM(E8:E15)</f>
        <v>59362.400000000001</v>
      </c>
      <c r="F16" s="1984"/>
      <c r="G16" s="1986"/>
      <c r="H16" s="968" t="s">
        <v>218</v>
      </c>
      <c r="I16" s="969"/>
      <c r="J16" s="1984"/>
      <c r="K16" s="3617" t="s">
        <v>2569</v>
      </c>
      <c r="L16" s="3618"/>
      <c r="M16" s="3618"/>
      <c r="N16" s="3618"/>
      <c r="O16" s="3618"/>
      <c r="P16" s="3619"/>
    </row>
    <row r="17" spans="1:19" ht="15">
      <c r="A17" s="121" t="s">
        <v>215</v>
      </c>
      <c r="B17" s="122" t="s">
        <v>216</v>
      </c>
      <c r="C17" s="2298" t="s">
        <v>2315</v>
      </c>
      <c r="D17" s="108" t="s">
        <v>203</v>
      </c>
      <c r="E17" s="124" t="s">
        <v>204</v>
      </c>
      <c r="F17" s="125"/>
      <c r="G17" s="1365"/>
      <c r="H17" s="970" t="s">
        <v>217</v>
      </c>
      <c r="I17" s="971" t="s">
        <v>2314</v>
      </c>
      <c r="J17" s="1984"/>
      <c r="K17" s="3620" t="s">
        <v>2570</v>
      </c>
      <c r="L17" s="3621"/>
      <c r="M17" s="3622"/>
      <c r="N17" s="3620" t="s">
        <v>2571</v>
      </c>
      <c r="O17" s="3621"/>
      <c r="P17" s="3622"/>
      <c r="R17" s="2299" t="s">
        <v>2313</v>
      </c>
      <c r="S17" s="144"/>
    </row>
    <row r="18" spans="1:19" ht="15">
      <c r="A18" s="117"/>
      <c r="B18" s="128"/>
      <c r="C18" s="129"/>
      <c r="D18" s="2666"/>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2311</v>
      </c>
      <c r="S18" s="2300" t="s">
        <v>2312</v>
      </c>
    </row>
    <row r="19" spans="1:19">
      <c r="A19" s="133"/>
      <c r="B19" s="115" t="s">
        <v>224</v>
      </c>
      <c r="C19" s="3048" t="s">
        <v>2996</v>
      </c>
      <c r="D19" s="111">
        <f t="shared" ref="D19:D26" si="1">ROUND($D$3*E19/$E$3,2)</f>
        <v>65403.040000000001</v>
      </c>
      <c r="E19" s="134">
        <f t="shared" ref="E19:E26" si="2">SUM(F19:G19)</f>
        <v>21713.300000000003</v>
      </c>
      <c r="F19" s="135">
        <f>'数据-基础表'!I5</f>
        <v>21713.300000000003</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65403.040000000001</v>
      </c>
      <c r="S19" s="2301">
        <f t="shared" si="5"/>
        <v>21713.300000000003</v>
      </c>
    </row>
    <row r="20" spans="1:19">
      <c r="A20" s="138"/>
      <c r="B20" s="115" t="s">
        <v>225</v>
      </c>
      <c r="C20" s="3048" t="s">
        <v>2997</v>
      </c>
      <c r="D20" s="111">
        <f t="shared" si="1"/>
        <v>60487.56</v>
      </c>
      <c r="E20" s="134">
        <f t="shared" si="2"/>
        <v>20081.400000000001</v>
      </c>
      <c r="F20" s="135">
        <f>'数据-基础表'!K5</f>
        <v>20081.400000000001</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60487.56</v>
      </c>
      <c r="S20" s="2301">
        <f t="shared" si="5"/>
        <v>20081.400000000001</v>
      </c>
    </row>
    <row r="21" spans="1:19">
      <c r="A21" s="138"/>
      <c r="B21" s="115" t="s">
        <v>225</v>
      </c>
      <c r="C21" s="3048" t="s">
        <v>2998</v>
      </c>
      <c r="D21" s="111">
        <f t="shared" si="1"/>
        <v>4373.8999999999996</v>
      </c>
      <c r="E21" s="134">
        <f t="shared" si="2"/>
        <v>1452.1</v>
      </c>
      <c r="F21" s="135">
        <f>'数据-基础表'!M5</f>
        <v>1452.1</v>
      </c>
      <c r="G21" s="1367"/>
      <c r="H21" s="974">
        <f t="shared" si="6"/>
        <v>0</v>
      </c>
      <c r="I21" s="116">
        <f t="shared" si="7"/>
        <v>0</v>
      </c>
      <c r="J21" s="1984"/>
      <c r="K21" s="2632">
        <f t="shared" si="3"/>
        <v>0</v>
      </c>
      <c r="L21" s="275">
        <f t="shared" si="4"/>
        <v>0</v>
      </c>
      <c r="M21" s="2633">
        <f t="shared" si="8"/>
        <v>0</v>
      </c>
      <c r="N21" s="2634"/>
      <c r="O21" s="2635"/>
      <c r="P21" s="2636">
        <f t="shared" si="9"/>
        <v>0</v>
      </c>
      <c r="R21" s="275">
        <f t="shared" si="5"/>
        <v>4373.8999999999996</v>
      </c>
      <c r="S21" s="2301">
        <f t="shared" si="5"/>
        <v>1452.1</v>
      </c>
    </row>
    <row r="22" spans="1:19">
      <c r="A22" s="138"/>
      <c r="B22" s="115" t="s">
        <v>225</v>
      </c>
      <c r="C22" s="3184" t="s">
        <v>2999</v>
      </c>
      <c r="D22" s="111">
        <f t="shared" si="1"/>
        <v>26354.84</v>
      </c>
      <c r="E22" s="134">
        <f t="shared" si="2"/>
        <v>8749.6</v>
      </c>
      <c r="F22" s="140">
        <f>'数据-基础表'!O5</f>
        <v>8749.6</v>
      </c>
      <c r="G22" s="1368"/>
      <c r="H22" s="974">
        <f t="shared" si="6"/>
        <v>0</v>
      </c>
      <c r="I22" s="116">
        <f t="shared" si="7"/>
        <v>0</v>
      </c>
      <c r="J22" s="1984"/>
      <c r="K22" s="2632">
        <f t="shared" si="3"/>
        <v>0</v>
      </c>
      <c r="L22" s="275">
        <f t="shared" si="4"/>
        <v>0</v>
      </c>
      <c r="M22" s="2633">
        <f t="shared" si="8"/>
        <v>0</v>
      </c>
      <c r="N22" s="2634"/>
      <c r="O22" s="2635"/>
      <c r="P22" s="2636">
        <f t="shared" si="9"/>
        <v>0</v>
      </c>
      <c r="R22" s="275">
        <f t="shared" si="5"/>
        <v>26354.84</v>
      </c>
      <c r="S22" s="2301">
        <f t="shared" si="5"/>
        <v>8749.6</v>
      </c>
    </row>
    <row r="23" spans="1:19">
      <c r="A23" s="138"/>
      <c r="B23" s="115" t="s">
        <v>225</v>
      </c>
      <c r="C23" s="139" t="s">
        <v>3000</v>
      </c>
      <c r="D23" s="111">
        <f>ROUND($D$3*E23/$E$3,2)</f>
        <v>12352.7</v>
      </c>
      <c r="E23" s="134">
        <f>SUM(F23:G23)</f>
        <v>4101</v>
      </c>
      <c r="F23" s="140">
        <f>'数据-基础表'!Q5</f>
        <v>4101</v>
      </c>
      <c r="G23" s="1368"/>
      <c r="H23" s="974">
        <f>ROUND($D$3*I23/$E$3,2)</f>
        <v>0</v>
      </c>
      <c r="I23" s="116">
        <f t="shared" si="7"/>
        <v>0</v>
      </c>
      <c r="J23" s="1984"/>
      <c r="K23" s="2632">
        <f t="shared" si="3"/>
        <v>0</v>
      </c>
      <c r="L23" s="275">
        <f t="shared" si="4"/>
        <v>0</v>
      </c>
      <c r="M23" s="2633">
        <f t="shared" si="8"/>
        <v>0</v>
      </c>
      <c r="N23" s="2634"/>
      <c r="O23" s="2635"/>
      <c r="P23" s="2636">
        <f t="shared" si="9"/>
        <v>0</v>
      </c>
      <c r="R23" s="275">
        <f t="shared" si="5"/>
        <v>12352.7</v>
      </c>
      <c r="S23" s="2301">
        <f t="shared" si="5"/>
        <v>4101</v>
      </c>
    </row>
    <row r="24" spans="1:19">
      <c r="A24" s="138"/>
      <c r="B24" s="115" t="s">
        <v>225</v>
      </c>
      <c r="C24" s="139" t="s">
        <v>3001</v>
      </c>
      <c r="D24" s="111">
        <f>ROUND($D$3*E24/$E$3,2)</f>
        <v>9834.57</v>
      </c>
      <c r="E24" s="134">
        <f>SUM(F24:G24)</f>
        <v>3265</v>
      </c>
      <c r="F24" s="140">
        <f>'数据-基础表'!S5</f>
        <v>3265</v>
      </c>
      <c r="G24" s="1368"/>
      <c r="H24" s="974">
        <f>ROUND($D$3*I24/$E$3,2)</f>
        <v>0</v>
      </c>
      <c r="I24" s="116">
        <f t="shared" si="7"/>
        <v>0</v>
      </c>
      <c r="J24" s="1984"/>
      <c r="K24" s="2632">
        <f t="shared" si="3"/>
        <v>0</v>
      </c>
      <c r="L24" s="275">
        <f t="shared" si="4"/>
        <v>0</v>
      </c>
      <c r="M24" s="2633">
        <f t="shared" si="8"/>
        <v>0</v>
      </c>
      <c r="N24" s="2634"/>
      <c r="O24" s="2635"/>
      <c r="P24" s="2636">
        <f t="shared" si="9"/>
        <v>0</v>
      </c>
      <c r="R24" s="275">
        <f t="shared" si="5"/>
        <v>9834.57</v>
      </c>
      <c r="S24" s="2301">
        <f t="shared" si="5"/>
        <v>3265</v>
      </c>
    </row>
    <row r="25" spans="1:19">
      <c r="A25" s="138"/>
      <c r="B25" s="115" t="s">
        <v>225</v>
      </c>
      <c r="C25" s="3184" t="s">
        <v>3002</v>
      </c>
      <c r="D25" s="111">
        <f t="shared" si="1"/>
        <v>3346.77</v>
      </c>
      <c r="E25" s="134">
        <f t="shared" si="2"/>
        <v>1111.1000000000001</v>
      </c>
      <c r="F25" s="140"/>
      <c r="G25" s="1368">
        <f>'数据-基础表'!U5</f>
        <v>1111.1000000000001</v>
      </c>
      <c r="H25" s="110">
        <f t="shared" si="6"/>
        <v>0</v>
      </c>
      <c r="I25" s="116">
        <f t="shared" si="7"/>
        <v>0</v>
      </c>
      <c r="J25" s="1984"/>
      <c r="K25" s="2632">
        <f t="shared" si="3"/>
        <v>0</v>
      </c>
      <c r="L25" s="275">
        <f t="shared" si="4"/>
        <v>0</v>
      </c>
      <c r="M25" s="2633">
        <f t="shared" si="8"/>
        <v>0</v>
      </c>
      <c r="N25" s="2634"/>
      <c r="O25" s="2635"/>
      <c r="P25" s="2636">
        <f t="shared" si="9"/>
        <v>0</v>
      </c>
      <c r="R25" s="275">
        <f t="shared" si="5"/>
        <v>3346.77</v>
      </c>
      <c r="S25" s="2301">
        <f t="shared" si="5"/>
        <v>1111.1000000000001</v>
      </c>
    </row>
    <row r="26" spans="1:19">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214</v>
      </c>
      <c r="D27" s="134">
        <f>SUM(D19:D26)</f>
        <v>182153.38</v>
      </c>
      <c r="E27" s="143">
        <f>IF(SUM(E19:E26)='数据-基础表'!BA5,SUM(E19:E26),IF(F27="地上面积有误","面积有误","地下面积有误"))</f>
        <v>60473.5</v>
      </c>
      <c r="F27" s="134">
        <f>IF(SUM(F19:F26)=E8,SUM(F19:F26),"地上面积有误")</f>
        <v>59362.400000000001</v>
      </c>
      <c r="G27" s="112">
        <f>SUM(G19:G26)</f>
        <v>1111.1000000000001</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182153.38误差0.01</v>
      </c>
      <c r="S27" s="275">
        <f>IF(SUM(S19:S26)=$E$3,SUM(S19:S26),SUM(S19:S26)&amp;"误差"&amp;ROUND(SUM(S19:S26)-E3,2))</f>
        <v>60473.5</v>
      </c>
    </row>
    <row r="28" spans="1:19">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226</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2324</v>
      </c>
      <c r="D31" s="1371">
        <f>D27+D30</f>
        <v>182153.38</v>
      </c>
      <c r="E31" s="1371">
        <f>E27+E30</f>
        <v>60473.5</v>
      </c>
      <c r="F31" s="1372">
        <f>F27+F30</f>
        <v>59362.400000000001</v>
      </c>
      <c r="G31" s="1373">
        <f>G27+G30</f>
        <v>1111.1000000000001</v>
      </c>
      <c r="H31" s="1984"/>
      <c r="I31" s="1984"/>
      <c r="J31" s="1984"/>
      <c r="K31" s="1984"/>
      <c r="L31" s="1984"/>
    </row>
    <row r="32" spans="1:19">
      <c r="A32" s="1984"/>
      <c r="B32" s="2363" t="s">
        <v>2323</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1"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8"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13.75" style="1998"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43251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3007</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2325</v>
      </c>
      <c r="AI5" s="171" t="s">
        <v>2294</v>
      </c>
      <c r="AJ5" s="171" t="s">
        <v>257</v>
      </c>
      <c r="AK5" s="159" t="s">
        <v>258</v>
      </c>
      <c r="AL5" s="159" t="s">
        <v>259</v>
      </c>
      <c r="AM5" s="172" t="s">
        <v>260</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平房</v>
      </c>
      <c r="B6" s="2337" t="str">
        <f>IF(A6=0,"","经营性")</f>
        <v>经营性</v>
      </c>
      <c r="C6" s="173" t="s">
        <v>981</v>
      </c>
      <c r="D6" s="2308">
        <f>SUMIF(项目基本情况!D$15:I$15,C6,项目基本情况!D$18:I$18)</f>
        <v>50</v>
      </c>
      <c r="E6" s="2309">
        <f>IF(B6="","",SUMIF(项目基本情况!D$15:I$15,C6,项目基本情况!D$17:I$17))</f>
        <v>53141</v>
      </c>
      <c r="F6" s="174">
        <f>SUMIF(项目基本情况!D$15:I$15,C6,项目基本情况!D$19:I$19)</f>
        <v>27.09</v>
      </c>
      <c r="G6" s="175">
        <f>IF(ISERROR(ROUND(POWER(1+H6,D6-F6)*(POWER(1+H6,F6)-1)/(POWER(1+H6,D6)-1),3)),0,ROUND(POWER(1+H6,D6-F6)*(POWER(1+H6,F6)-1)/(POWER(1+H6,D6)-1),3))</f>
        <v>0.73799999999999999</v>
      </c>
      <c r="H6" s="3049">
        <v>3.5000000000000003E-2</v>
      </c>
      <c r="I6" s="3049">
        <v>0.04</v>
      </c>
      <c r="J6" s="176">
        <v>7.0000000000000007E-2</v>
      </c>
      <c r="K6" s="179">
        <f>SUMIF('数据-汇总表'!C$19:C$33,'数据-取费表'!A6,'数据-汇总表'!E$19:E$33)</f>
        <v>21713.300000000003</v>
      </c>
      <c r="L6" s="3050">
        <v>1200</v>
      </c>
      <c r="M6" s="177">
        <f t="shared" ref="M6:M14" si="0">ROUND(K6*L6/10000,0)</f>
        <v>2606</v>
      </c>
      <c r="N6" s="3051">
        <v>0.6</v>
      </c>
      <c r="O6" s="177" t="str">
        <f>IF($N$5="成新度","——",ROUND(M6*N6,0))</f>
        <v>——</v>
      </c>
      <c r="P6" s="178" t="str">
        <f>IF($N$5="成新度","——",M6-O6)</f>
        <v>——</v>
      </c>
      <c r="Q6" s="3052">
        <v>0.14000000000000001</v>
      </c>
      <c r="R6" s="179">
        <f>SUMIF('数据-汇总表'!C$19:C$33,A6,'数据-汇总表'!R$19:R$33)</f>
        <v>65403.040000000001</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1.4999999999999999E-2</v>
      </c>
      <c r="W6" s="181">
        <v>0.05</v>
      </c>
      <c r="X6" s="2321"/>
      <c r="Y6" s="182">
        <f>N6</f>
        <v>0.6</v>
      </c>
      <c r="Z6" s="183"/>
      <c r="AA6" s="176"/>
      <c r="AB6" s="176"/>
      <c r="AC6" s="2324"/>
      <c r="AD6" s="184"/>
      <c r="AE6" s="972">
        <f ca="1">IF(AN6="",0,SUMIF(INDIRECT("'"&amp;AN6&amp;"'"&amp;"!E:E"),$AE$5,INDIRECT("'"&amp;AN6&amp;"'"&amp;"!F:F")))</f>
        <v>27.09</v>
      </c>
      <c r="AF6" s="141"/>
      <c r="AG6" s="1213">
        <f>IF(AF6="",0,AE6-AF6)</f>
        <v>0</v>
      </c>
      <c r="AH6" s="141"/>
      <c r="AI6" s="187">
        <v>365</v>
      </c>
      <c r="AJ6" s="188"/>
      <c r="AK6" s="189"/>
      <c r="AL6" s="190"/>
      <c r="AM6" s="3063"/>
      <c r="AN6" s="2416" t="s">
        <v>3010</v>
      </c>
      <c r="AO6" s="2000"/>
      <c r="AP6" s="1204">
        <f>ROUND(1-1/(1+H6)^F6,3)</f>
        <v>0.60599999999999998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2层</v>
      </c>
      <c r="B7" s="2337" t="str">
        <f t="shared" ref="B7:B13" si="1">IF(A7=0,"","经营性")</f>
        <v>经营性</v>
      </c>
      <c r="C7" s="173" t="s">
        <v>981</v>
      </c>
      <c r="D7" s="2308">
        <f>SUMIF(项目基本情况!D$15:I$15,C7,项目基本情况!D$18:I$18)</f>
        <v>50</v>
      </c>
      <c r="E7" s="2309">
        <f>IF(B7="","",SUMIF(项目基本情况!D$15:I$15,C7,项目基本情况!D$17:I$17))</f>
        <v>53141</v>
      </c>
      <c r="F7" s="174">
        <f>SUMIF(项目基本情况!D$15:I$15,C7,项目基本情况!D$19:I$19)</f>
        <v>27.09</v>
      </c>
      <c r="G7" s="175">
        <f t="shared" ref="G7:G11" si="2">IF(ISERROR(ROUND(POWER(1+H7,D7-F7)*(POWER(1+H7,F7)-1)/(POWER(1+H7,D7)-1),3)),0,ROUND(POWER(1+H7,D7-F7)*(POWER(1+H7,F7)-1)/(POWER(1+H7,D7)-1),3))</f>
        <v>0.73799999999999999</v>
      </c>
      <c r="H7" s="3049">
        <v>3.5000000000000003E-2</v>
      </c>
      <c r="I7" s="3049">
        <v>0.04</v>
      </c>
      <c r="J7" s="176">
        <v>7.0000000000000007E-2</v>
      </c>
      <c r="K7" s="179">
        <f>SUMIF('数据-汇总表'!C$19:C$33,'数据-取费表'!A7,'数据-汇总表'!E$19:E$33)</f>
        <v>20081.400000000001</v>
      </c>
      <c r="L7" s="3050">
        <v>1400</v>
      </c>
      <c r="M7" s="177">
        <f t="shared" si="0"/>
        <v>2811</v>
      </c>
      <c r="N7" s="3051">
        <v>0.6</v>
      </c>
      <c r="O7" s="177" t="str">
        <f t="shared" ref="O7:O14" si="3">IF($N$5="成新度","——",ROUND(M7*N7,0))</f>
        <v>——</v>
      </c>
      <c r="P7" s="178" t="str">
        <f t="shared" ref="P7:P14" si="4">IF($N$5="成新度","——",M7-O7)</f>
        <v>——</v>
      </c>
      <c r="Q7" s="3052">
        <f>Q6</f>
        <v>0.14000000000000001</v>
      </c>
      <c r="R7" s="179">
        <f>SUMIF('数据-汇总表'!C$19:C$33,A7,'数据-汇总表'!R$19:R$33)</f>
        <v>60487.56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1.4999999999999999E-2</v>
      </c>
      <c r="W7" s="181">
        <v>0.05</v>
      </c>
      <c r="X7" s="2321"/>
      <c r="Y7" s="182">
        <f t="shared" ref="Y7:Y12" si="6">N7</f>
        <v>0.6</v>
      </c>
      <c r="Z7" s="183"/>
      <c r="AA7" s="176"/>
      <c r="AB7" s="176"/>
      <c r="AC7" s="2324"/>
      <c r="AD7" s="184"/>
      <c r="AE7" s="972">
        <f t="shared" ref="AE7:AE13" ca="1" si="7">IF(AN7="",0,SUMIF(INDIRECT("'"&amp;AN7&amp;"'"&amp;"!E:E"),$AE$5,INDIRECT("'"&amp;AN7&amp;"'"&amp;"!F:F")))</f>
        <v>27.09</v>
      </c>
      <c r="AF7" s="141"/>
      <c r="AG7" s="1213">
        <f t="shared" ref="AG7:AG13" si="8">IF(AF7="",0,AE7-AF7)</f>
        <v>0</v>
      </c>
      <c r="AH7" s="141"/>
      <c r="AI7" s="187">
        <v>365</v>
      </c>
      <c r="AJ7" s="188"/>
      <c r="AK7" s="189"/>
      <c r="AL7" s="190"/>
      <c r="AM7" s="2414"/>
      <c r="AN7" s="2416" t="s">
        <v>3018</v>
      </c>
      <c r="AO7" s="2000"/>
      <c r="AP7" s="1204">
        <f t="shared" ref="AP7:AP13" si="9">ROUND(1-1/(1+H7)^F7,3)</f>
        <v>0.60599999999999998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3层</v>
      </c>
      <c r="B8" s="2337" t="str">
        <f t="shared" si="1"/>
        <v>经营性</v>
      </c>
      <c r="C8" s="173" t="s">
        <v>981</v>
      </c>
      <c r="D8" s="2308">
        <f>SUMIF(项目基本情况!D$15:I$15,C8,项目基本情况!D$18:I$18)</f>
        <v>50</v>
      </c>
      <c r="E8" s="2309">
        <f>IF(B8="","",SUMIF(项目基本情况!D$15:I$15,C8,项目基本情况!D$17:I$17))</f>
        <v>53141</v>
      </c>
      <c r="F8" s="174">
        <f>SUMIF(项目基本情况!D$15:I$15,C8,项目基本情况!D$19:I$19)</f>
        <v>27.09</v>
      </c>
      <c r="G8" s="175">
        <f t="shared" si="2"/>
        <v>0.73799999999999999</v>
      </c>
      <c r="H8" s="3049">
        <v>3.5000000000000003E-2</v>
      </c>
      <c r="I8" s="3049">
        <v>0.04</v>
      </c>
      <c r="J8" s="176">
        <v>7.0000000000000007E-2</v>
      </c>
      <c r="K8" s="179">
        <f>SUMIF('数据-汇总表'!C$19:C$33,'数据-取费表'!A8,'数据-汇总表'!E$19:E$33)</f>
        <v>1452.1</v>
      </c>
      <c r="L8" s="3050">
        <v>1400</v>
      </c>
      <c r="M8" s="177">
        <f>ROUND(K8*L8/10000,0)</f>
        <v>203</v>
      </c>
      <c r="N8" s="3051">
        <v>0.6</v>
      </c>
      <c r="O8" s="177" t="str">
        <f t="shared" si="3"/>
        <v>——</v>
      </c>
      <c r="P8" s="178" t="str">
        <f t="shared" si="4"/>
        <v>——</v>
      </c>
      <c r="Q8" s="3052">
        <f>Q6</f>
        <v>0.14000000000000001</v>
      </c>
      <c r="R8" s="179">
        <f>SUMIF('数据-汇总表'!C$19:C$33,A8,'数据-汇总表'!R$19:R$33)</f>
        <v>4373.8999999999996</v>
      </c>
      <c r="S8" s="132">
        <f>IF('数据-汇总表'!$I$17="按面积比例",SUMIF('数据-汇总表'!C$19:C$33,A8,'数据-汇总表'!K$19:K$33),SUMIF('数据-汇总表'!C$19:C$33,A8,'数据-汇总表'!N$19:N$33))</f>
        <v>0</v>
      </c>
      <c r="T8" s="2234" t="str">
        <f t="shared" si="5"/>
        <v>0</v>
      </c>
      <c r="U8" s="180">
        <v>2</v>
      </c>
      <c r="V8" s="181">
        <v>1.4999999999999999E-2</v>
      </c>
      <c r="W8" s="181">
        <v>0.05</v>
      </c>
      <c r="X8" s="2321"/>
      <c r="Y8" s="182">
        <f t="shared" si="6"/>
        <v>0.6</v>
      </c>
      <c r="Z8" s="183"/>
      <c r="AA8" s="176"/>
      <c r="AB8" s="176"/>
      <c r="AC8" s="2324"/>
      <c r="AD8" s="184"/>
      <c r="AE8" s="972">
        <f t="shared" ca="1" si="7"/>
        <v>27.09</v>
      </c>
      <c r="AF8" s="141"/>
      <c r="AG8" s="1213">
        <f t="shared" si="8"/>
        <v>0</v>
      </c>
      <c r="AH8" s="141"/>
      <c r="AI8" s="187">
        <v>365</v>
      </c>
      <c r="AJ8" s="188"/>
      <c r="AK8" s="189"/>
      <c r="AL8" s="190"/>
      <c r="AM8" s="2414"/>
      <c r="AN8" s="2416" t="s">
        <v>3019</v>
      </c>
      <c r="AO8" s="2000"/>
      <c r="AP8" s="1204">
        <f t="shared" si="9"/>
        <v>0.60599999999999998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4层</v>
      </c>
      <c r="B9" s="2337" t="str">
        <f t="shared" si="1"/>
        <v>经营性</v>
      </c>
      <c r="C9" s="173" t="s">
        <v>981</v>
      </c>
      <c r="D9" s="2308">
        <f>SUMIF(项目基本情况!D$15:I$15,C9,项目基本情况!D$18:I$18)</f>
        <v>50</v>
      </c>
      <c r="E9" s="2309">
        <f>IF(B9="","",SUMIF(项目基本情况!D$15:I$15,C9,项目基本情况!D$17:I$17))</f>
        <v>53141</v>
      </c>
      <c r="F9" s="174">
        <f>SUMIF(项目基本情况!D$15:I$15,C9,项目基本情况!D$19:I$19)</f>
        <v>27.09</v>
      </c>
      <c r="G9" s="175">
        <f t="shared" si="2"/>
        <v>0.73799999999999999</v>
      </c>
      <c r="H9" s="3049">
        <v>3.5000000000000003E-2</v>
      </c>
      <c r="I9" s="3049">
        <v>0.04</v>
      </c>
      <c r="J9" s="176">
        <v>7.0000000000000007E-2</v>
      </c>
      <c r="K9" s="179">
        <f>SUMIF('数据-汇总表'!C$19:C$33,'数据-取费表'!A9,'数据-汇总表'!E$19:E$33)</f>
        <v>8749.6</v>
      </c>
      <c r="L9" s="193">
        <v>1850</v>
      </c>
      <c r="M9" s="177">
        <f t="shared" si="0"/>
        <v>1619</v>
      </c>
      <c r="N9" s="194">
        <v>0.6</v>
      </c>
      <c r="O9" s="177" t="str">
        <f t="shared" si="3"/>
        <v>——</v>
      </c>
      <c r="P9" s="178" t="str">
        <f t="shared" si="4"/>
        <v>——</v>
      </c>
      <c r="Q9" s="3052">
        <f>Q6</f>
        <v>0.14000000000000001</v>
      </c>
      <c r="R9" s="179">
        <f>SUMIF('数据-汇总表'!C$19:C$33,A9,'数据-汇总表'!R$19:R$33)</f>
        <v>26354.84</v>
      </c>
      <c r="S9" s="132">
        <f>IF('数据-汇总表'!$I$17="按面积比例",SUMIF('数据-汇总表'!C$19:C$33,A9,'数据-汇总表'!K$19:K$33),SUMIF('数据-汇总表'!C$19:C$33,A9,'数据-汇总表'!N$19:N$33))</f>
        <v>0</v>
      </c>
      <c r="T9" s="2234" t="str">
        <f t="shared" si="5"/>
        <v>0</v>
      </c>
      <c r="U9" s="180">
        <v>2</v>
      </c>
      <c r="V9" s="181">
        <v>1.4999999999999999E-2</v>
      </c>
      <c r="W9" s="181">
        <v>0.05</v>
      </c>
      <c r="X9" s="2321"/>
      <c r="Y9" s="182">
        <f t="shared" si="6"/>
        <v>0.6</v>
      </c>
      <c r="Z9" s="183"/>
      <c r="AA9" s="176"/>
      <c r="AB9" s="176"/>
      <c r="AC9" s="2324"/>
      <c r="AD9" s="184"/>
      <c r="AE9" s="972">
        <f t="shared" ca="1" si="7"/>
        <v>27.09</v>
      </c>
      <c r="AF9" s="141"/>
      <c r="AG9" s="1213">
        <f t="shared" si="8"/>
        <v>0</v>
      </c>
      <c r="AH9" s="141"/>
      <c r="AI9" s="187">
        <v>365</v>
      </c>
      <c r="AJ9" s="188"/>
      <c r="AK9" s="189"/>
      <c r="AL9" s="190"/>
      <c r="AM9" s="2414"/>
      <c r="AN9" s="2416" t="s">
        <v>3020</v>
      </c>
      <c r="AO9" s="2000"/>
      <c r="AP9" s="1204">
        <f t="shared" si="9"/>
        <v>0.60599999999999998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5层</v>
      </c>
      <c r="B10" s="2337" t="str">
        <f t="shared" si="1"/>
        <v>经营性</v>
      </c>
      <c r="C10" s="173" t="s">
        <v>981</v>
      </c>
      <c r="D10" s="2308">
        <f>SUMIF(项目基本情况!D$15:I$15,C10,项目基本情况!D$18:I$18)</f>
        <v>50</v>
      </c>
      <c r="E10" s="2309">
        <f>IF(B10="","",SUMIF(项目基本情况!D$15:I$15,C10,项目基本情况!D$17:I$17))</f>
        <v>53141</v>
      </c>
      <c r="F10" s="174">
        <f>SUMIF(项目基本情况!D$15:I$15,C10,项目基本情况!D$19:I$19)</f>
        <v>27.09</v>
      </c>
      <c r="G10" s="175">
        <f t="shared" si="2"/>
        <v>0.73799999999999999</v>
      </c>
      <c r="H10" s="3049">
        <v>3.5000000000000003E-2</v>
      </c>
      <c r="I10" s="3049">
        <v>0.04</v>
      </c>
      <c r="J10" s="176">
        <v>7.0000000000000007E-2</v>
      </c>
      <c r="K10" s="179">
        <f>SUMIF('数据-汇总表'!C$19:C$33,'数据-取费表'!A10,'数据-汇总表'!E$19:E$33)</f>
        <v>4101</v>
      </c>
      <c r="L10" s="193">
        <v>1850</v>
      </c>
      <c r="M10" s="177">
        <f t="shared" si="0"/>
        <v>759</v>
      </c>
      <c r="N10" s="194">
        <v>0.6</v>
      </c>
      <c r="O10" s="177" t="str">
        <f t="shared" si="3"/>
        <v>——</v>
      </c>
      <c r="P10" s="178" t="str">
        <f t="shared" si="4"/>
        <v>——</v>
      </c>
      <c r="Q10" s="3052">
        <f>Q6</f>
        <v>0.14000000000000001</v>
      </c>
      <c r="R10" s="179">
        <f>SUMIF('数据-汇总表'!C$19:C$33,A10,'数据-汇总表'!R$19:R$33)</f>
        <v>12352.7</v>
      </c>
      <c r="S10" s="132">
        <f>IF('数据-汇总表'!$I$17="按面积比例",SUMIF('数据-汇总表'!C$19:C$33,A10,'数据-汇总表'!K$19:K$33),SUMIF('数据-汇总表'!C$19:C$33,A10,'数据-汇总表'!N$19:N$33))</f>
        <v>0</v>
      </c>
      <c r="T10" s="2234" t="str">
        <f t="shared" si="5"/>
        <v>0</v>
      </c>
      <c r="U10" s="180">
        <v>2</v>
      </c>
      <c r="V10" s="181">
        <v>1.4999999999999999E-2</v>
      </c>
      <c r="W10" s="181">
        <v>0.05</v>
      </c>
      <c r="X10" s="2321"/>
      <c r="Y10" s="182">
        <f t="shared" si="6"/>
        <v>0.6</v>
      </c>
      <c r="Z10" s="183"/>
      <c r="AA10" s="176"/>
      <c r="AB10" s="176"/>
      <c r="AC10" s="2324"/>
      <c r="AD10" s="184"/>
      <c r="AE10" s="972">
        <f t="shared" ca="1" si="7"/>
        <v>27.09</v>
      </c>
      <c r="AF10" s="141"/>
      <c r="AG10" s="1213">
        <f t="shared" si="8"/>
        <v>0</v>
      </c>
      <c r="AH10" s="141"/>
      <c r="AI10" s="187">
        <v>365</v>
      </c>
      <c r="AJ10" s="188"/>
      <c r="AK10" s="189"/>
      <c r="AL10" s="190"/>
      <c r="AM10" s="2414"/>
      <c r="AN10" s="2416" t="s">
        <v>3021</v>
      </c>
      <c r="AO10" s="2000"/>
      <c r="AP10" s="1204">
        <f t="shared" si="9"/>
        <v>0.60599999999999998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t="str">
        <f>'数据-汇总表'!C24</f>
        <v>6层</v>
      </c>
      <c r="B11" s="2337" t="str">
        <f t="shared" si="1"/>
        <v>经营性</v>
      </c>
      <c r="C11" s="173" t="s">
        <v>981</v>
      </c>
      <c r="D11" s="2308">
        <f>SUMIF(项目基本情况!D$15:I$15,C11,项目基本情况!D$18:I$18)</f>
        <v>50</v>
      </c>
      <c r="E11" s="2309">
        <f>IF(B11="","",SUMIF(项目基本情况!D$15:I$15,C11,项目基本情况!D$17:I$17))</f>
        <v>53141</v>
      </c>
      <c r="F11" s="174">
        <f>SUMIF(项目基本情况!D$15:I$15,C11,项目基本情况!D$19:I$19)</f>
        <v>27.09</v>
      </c>
      <c r="G11" s="175">
        <f t="shared" si="2"/>
        <v>0.73799999999999999</v>
      </c>
      <c r="H11" s="3049">
        <v>3.5000000000000003E-2</v>
      </c>
      <c r="I11" s="3049">
        <v>0.04</v>
      </c>
      <c r="J11" s="176">
        <v>7.0000000000000007E-2</v>
      </c>
      <c r="K11" s="179">
        <f>SUMIF('数据-汇总表'!C$19:C$33,'数据-取费表'!A11,'数据-汇总表'!E$19:E$33)</f>
        <v>3265</v>
      </c>
      <c r="L11" s="193">
        <v>2000</v>
      </c>
      <c r="M11" s="177">
        <f t="shared" si="0"/>
        <v>653</v>
      </c>
      <c r="N11" s="194">
        <v>0.6</v>
      </c>
      <c r="O11" s="177" t="str">
        <f t="shared" si="3"/>
        <v>——</v>
      </c>
      <c r="P11" s="178" t="str">
        <f t="shared" si="4"/>
        <v>——</v>
      </c>
      <c r="Q11" s="3052">
        <f>Q6</f>
        <v>0.14000000000000001</v>
      </c>
      <c r="R11" s="179">
        <f>SUMIF('数据-汇总表'!C$19:C$33,A11,'数据-汇总表'!R$19:R$33)</f>
        <v>9834.57</v>
      </c>
      <c r="S11" s="132">
        <f>IF('数据-汇总表'!$I$17="按面积比例",SUMIF('数据-汇总表'!C$19:C$33,A11,'数据-汇总表'!K$19:K$33),SUMIF('数据-汇总表'!C$19:C$33,A11,'数据-汇总表'!N$19:N$33))</f>
        <v>0</v>
      </c>
      <c r="T11" s="2234" t="str">
        <f t="shared" si="5"/>
        <v>0</v>
      </c>
      <c r="U11" s="185">
        <v>2</v>
      </c>
      <c r="V11" s="181">
        <v>1.4999999999999999E-2</v>
      </c>
      <c r="W11" s="181">
        <v>0.05</v>
      </c>
      <c r="X11" s="2324"/>
      <c r="Y11" s="182">
        <f t="shared" si="6"/>
        <v>0.6</v>
      </c>
      <c r="Z11" s="195"/>
      <c r="AA11" s="176"/>
      <c r="AB11" s="176"/>
      <c r="AC11" s="2324"/>
      <c r="AD11" s="184"/>
      <c r="AE11" s="972">
        <f t="shared" ca="1" si="7"/>
        <v>27.09</v>
      </c>
      <c r="AF11" s="141"/>
      <c r="AG11" s="1213">
        <f t="shared" si="8"/>
        <v>0</v>
      </c>
      <c r="AH11" s="141"/>
      <c r="AI11" s="187">
        <v>365</v>
      </c>
      <c r="AJ11" s="188"/>
      <c r="AK11" s="196"/>
      <c r="AL11" s="197"/>
      <c r="AM11" s="1817"/>
      <c r="AN11" s="2416" t="s">
        <v>3022</v>
      </c>
      <c r="AO11" s="2000"/>
      <c r="AP11" s="1204">
        <f t="shared" si="9"/>
        <v>0.60599999999999998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t="str">
        <f>'数据-汇总表'!C25</f>
        <v>地下</v>
      </c>
      <c r="B12" s="2337" t="str">
        <f t="shared" si="1"/>
        <v>经营性</v>
      </c>
      <c r="C12" s="173" t="s">
        <v>981</v>
      </c>
      <c r="D12" s="2308">
        <f>SUMIF(项目基本情况!D$15:I$15,C12,项目基本情况!D$18:I$18)</f>
        <v>50</v>
      </c>
      <c r="E12" s="2309">
        <f>IF(B12="","",SUMIF(项目基本情况!D$15:I$15,C12,项目基本情况!D$17:I$17))</f>
        <v>53141</v>
      </c>
      <c r="F12" s="174">
        <f>SUMIF(项目基本情况!D$15:I$15,C12,项目基本情况!D$19:I$19)</f>
        <v>27.09</v>
      </c>
      <c r="G12" s="175">
        <f>IF(ISERROR(ROUND(POWER(1+H12,D12-F12)*(POWER(1+H12,F12)-1)/(POWER(1+H12,D12)-1),3)),0,ROUND(POWER(1+H12,D12-F12)*(POWER(1+H12,F12)-1)/(POWER(1+H12,D12)-1),3))</f>
        <v>0.73799999999999999</v>
      </c>
      <c r="H12" s="3049">
        <v>3.5000000000000003E-2</v>
      </c>
      <c r="I12" s="3049">
        <v>0.04</v>
      </c>
      <c r="J12" s="176">
        <v>7.0000000000000007E-2</v>
      </c>
      <c r="K12" s="179">
        <f>SUMIF('数据-汇总表'!C$19:C$33,'数据-取费表'!A12,'数据-汇总表'!E$19:E$33)</f>
        <v>1111.1000000000001</v>
      </c>
      <c r="L12" s="193">
        <v>2000</v>
      </c>
      <c r="M12" s="177">
        <f>ROUND(K12*L12/10000,0)</f>
        <v>222</v>
      </c>
      <c r="N12" s="194">
        <v>0.6</v>
      </c>
      <c r="O12" s="177" t="str">
        <f t="shared" si="3"/>
        <v>——</v>
      </c>
      <c r="P12" s="178" t="str">
        <f t="shared" si="4"/>
        <v>——</v>
      </c>
      <c r="Q12" s="3052">
        <f>Q6</f>
        <v>0.14000000000000001</v>
      </c>
      <c r="R12" s="179">
        <f>SUMIF('数据-汇总表'!C$19:C$33,A12,'数据-汇总表'!R$19:R$33)</f>
        <v>3346.77</v>
      </c>
      <c r="S12" s="132">
        <f>IF('数据-汇总表'!$I$17="按面积比例",SUMIF('数据-汇总表'!C$19:C$33,A12,'数据-汇总表'!K$19:K$33),SUMIF('数据-汇总表'!C$19:C$33,A12,'数据-汇总表'!N$19:N$33))</f>
        <v>0</v>
      </c>
      <c r="T12" s="2234" t="str">
        <f t="shared" si="5"/>
        <v>0</v>
      </c>
      <c r="U12" s="185">
        <v>1.5</v>
      </c>
      <c r="V12" s="181">
        <v>1.4999999999999999E-2</v>
      </c>
      <c r="W12" s="181">
        <v>0.05</v>
      </c>
      <c r="X12" s="2324"/>
      <c r="Y12" s="182">
        <f t="shared" si="6"/>
        <v>0.6</v>
      </c>
      <c r="Z12" s="195"/>
      <c r="AA12" s="176"/>
      <c r="AB12" s="176"/>
      <c r="AC12" s="2324"/>
      <c r="AD12" s="184"/>
      <c r="AE12" s="972">
        <f t="shared" ca="1" si="7"/>
        <v>0</v>
      </c>
      <c r="AF12" s="141"/>
      <c r="AG12" s="1213">
        <f t="shared" si="8"/>
        <v>0</v>
      </c>
      <c r="AH12" s="141"/>
      <c r="AI12" s="187">
        <v>365</v>
      </c>
      <c r="AJ12" s="188"/>
      <c r="AK12" s="196"/>
      <c r="AL12" s="197"/>
      <c r="AM12" s="1817"/>
      <c r="AN12" s="2416"/>
      <c r="AO12" s="2000"/>
      <c r="AP12" s="1204">
        <f t="shared" si="9"/>
        <v>0.60599999999999998</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t="s">
        <v>981</v>
      </c>
      <c r="D13" s="2308">
        <f>SUMIF(项目基本情况!D$15:I$15,C13,项目基本情况!D$18:I$18)</f>
        <v>50</v>
      </c>
      <c r="E13" s="2309" t="str">
        <f>IF(B13="","",SUMIF(项目基本情况!D$15:I$15,C13,项目基本情况!D$17:I$17))</f>
        <v/>
      </c>
      <c r="F13" s="174">
        <f>SUMIF(项目基本情况!D$15:I$15,C13,项目基本情况!D$19:I$19)</f>
        <v>27.09</v>
      </c>
      <c r="G13" s="175">
        <f>IF(ISERROR(ROUND(POWER(1+H13,D13-F13)*(POWER(1+H13,F13)-1)/(POWER(1+H13,D13)-1),3)),0,ROUND(POWER(1+H13,D13-F13)*(POWER(1+H13,F13)-1)/(POWER(1+H13,D13)-1),3))</f>
        <v>0.73799999999999999</v>
      </c>
      <c r="H13" s="3049">
        <v>3.5000000000000003E-2</v>
      </c>
      <c r="I13" s="3049">
        <v>0.04</v>
      </c>
      <c r="J13" s="176">
        <v>7.0000000000000007E-2</v>
      </c>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7"/>
        <v>0</v>
      </c>
      <c r="AF13" s="141"/>
      <c r="AG13" s="1213">
        <f t="shared" si="8"/>
        <v>0</v>
      </c>
      <c r="AH13" s="141"/>
      <c r="AI13" s="187"/>
      <c r="AJ13" s="188"/>
      <c r="AK13" s="189"/>
      <c r="AL13" s="190"/>
      <c r="AM13" s="2414"/>
      <c r="AN13" s="2416"/>
      <c r="AO13" s="2000"/>
      <c r="AP13" s="1204">
        <f t="shared" si="9"/>
        <v>0.60599999999999998</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0.73799999999999999</v>
      </c>
      <c r="H16" s="203">
        <f>ROUND(SUMPRODUCT(H6:H13,K6:K13)/SUMPRODUCT((H6:H13&gt;0)*(K6:K13)),3)</f>
        <v>3.5000000000000003E-2</v>
      </c>
      <c r="I16" s="204"/>
      <c r="J16" s="204"/>
      <c r="K16" s="205">
        <f>SUM(K6:K15)</f>
        <v>60473.5</v>
      </c>
      <c r="L16" s="206">
        <f>ROUND(M16*10000/SUM(K6:K14),0)</f>
        <v>1467</v>
      </c>
      <c r="M16" s="206">
        <f>SUM(M6:M14)</f>
        <v>8873</v>
      </c>
      <c r="N16" s="207">
        <f>ROUND(SUMPRODUCT(M6:M14,N6:N14)/M16,3)</f>
        <v>0.6</v>
      </c>
      <c r="O16" s="206">
        <f>SUM(O6:O14)</f>
        <v>0</v>
      </c>
      <c r="P16" s="206">
        <f>SUM(P6:P14)</f>
        <v>0</v>
      </c>
      <c r="Q16" s="208">
        <f>ROUND(SUMPRODUCT(Q6:Q13,K6:K13)/SUMPRODUCT((Q6:Q13&gt;0)*(K6:K13)),2)</f>
        <v>0.14000000000000001</v>
      </c>
      <c r="R16" s="2311">
        <f>SUM(R6:R13)</f>
        <v>182153.38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0.60599999999999998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v>2</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1</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300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0.03</v>
      </c>
      <c r="C33" s="2365"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v>
      </c>
      <c r="C34" s="2365" t="s">
        <v>2895</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v>200</v>
      </c>
      <c r="C35" s="2365"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0.02</v>
      </c>
      <c r="C37" s="2365"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0.02</v>
      </c>
      <c r="C38" s="2365"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7.0000000000000007E-2</v>
      </c>
      <c r="C44" s="2365"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8"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099"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1409</v>
      </c>
      <c r="C53" s="3100" t="s">
        <v>2905</v>
      </c>
      <c r="D53" s="3101"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2907</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2908</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2909</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2910</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2911</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2912</v>
      </c>
      <c r="B59" s="186">
        <v>1.5</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7"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632" t="s">
        <v>1663</v>
      </c>
      <c r="B1" s="3633"/>
      <c r="C1" s="3633"/>
      <c r="D1" s="3633"/>
      <c r="E1" s="3633"/>
      <c r="F1" s="3633"/>
      <c r="G1" s="3633"/>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105" t="s">
        <v>2921</v>
      </c>
      <c r="D3" s="2009"/>
      <c r="E3" s="1229" t="s">
        <v>1666</v>
      </c>
      <c r="F3" s="1230" t="s">
        <v>1654</v>
      </c>
      <c r="G3" s="3413" t="s">
        <v>3475</v>
      </c>
      <c r="H3" s="2008"/>
      <c r="I3" s="2008"/>
      <c r="J3" s="2008"/>
      <c r="K3" s="2008"/>
      <c r="L3" s="2008"/>
      <c r="M3" s="2008"/>
      <c r="N3" s="2008"/>
      <c r="O3" s="2008"/>
      <c r="P3" s="2008"/>
      <c r="Q3" s="2008"/>
      <c r="R3" s="2008"/>
    </row>
    <row r="4" spans="1:18" ht="41.25">
      <c r="A4" s="1229"/>
      <c r="B4" s="1231" t="s">
        <v>1667</v>
      </c>
      <c r="C4" s="3106" t="s">
        <v>2922</v>
      </c>
      <c r="D4" s="2009"/>
      <c r="E4" s="1232"/>
      <c r="F4" s="1233" t="s">
        <v>1668</v>
      </c>
      <c r="G4" s="3107" t="s">
        <v>2919</v>
      </c>
      <c r="H4" s="2008"/>
      <c r="I4" s="2008"/>
      <c r="J4" s="2008"/>
      <c r="K4" s="2008"/>
      <c r="L4" s="2008"/>
      <c r="M4" s="2008"/>
      <c r="N4" s="2008"/>
      <c r="O4" s="2008"/>
      <c r="P4" s="2008"/>
      <c r="Q4" s="2008"/>
      <c r="R4" s="2008"/>
    </row>
    <row r="5" spans="1:18" ht="41.25">
      <c r="A5" s="1229"/>
      <c r="B5" s="1231" t="s">
        <v>1669</v>
      </c>
      <c r="C5" s="3106" t="s">
        <v>2923</v>
      </c>
      <c r="D5" s="2009"/>
      <c r="E5" s="1232"/>
      <c r="F5" s="1231" t="s">
        <v>2549</v>
      </c>
      <c r="G5" s="3414" t="s">
        <v>3476</v>
      </c>
      <c r="H5" s="2008"/>
      <c r="I5" s="2008"/>
      <c r="J5" s="2008"/>
      <c r="K5" s="2008"/>
      <c r="L5" s="2008"/>
      <c r="M5" s="2008"/>
      <c r="N5" s="2008"/>
      <c r="O5" s="2008"/>
      <c r="P5" s="2008"/>
      <c r="Q5" s="2008"/>
      <c r="R5" s="2008"/>
    </row>
    <row r="6" spans="1:18" ht="39.75" customHeight="1">
      <c r="A6" s="1229"/>
      <c r="B6" s="1231" t="s">
        <v>1655</v>
      </c>
      <c r="C6" s="3107" t="s">
        <v>2919</v>
      </c>
      <c r="D6" s="2009"/>
      <c r="E6" s="1232"/>
      <c r="F6" s="1231" t="s">
        <v>2550</v>
      </c>
      <c r="G6" s="3414" t="s">
        <v>3478</v>
      </c>
      <c r="H6" s="2008"/>
      <c r="I6" s="2008"/>
      <c r="J6" s="2008"/>
      <c r="K6" s="2008"/>
      <c r="L6" s="2008"/>
      <c r="M6" s="2008"/>
      <c r="N6" s="2008"/>
      <c r="O6" s="2008"/>
      <c r="P6" s="2008"/>
      <c r="Q6" s="2008"/>
      <c r="R6" s="2008"/>
    </row>
    <row r="7" spans="1:18" ht="41.25" thickBot="1">
      <c r="A7" s="1229"/>
      <c r="B7" s="1231" t="s">
        <v>2549</v>
      </c>
      <c r="C7" s="3107" t="s">
        <v>2920</v>
      </c>
      <c r="D7" s="2010"/>
      <c r="E7" s="1234"/>
      <c r="F7" s="1235" t="s">
        <v>1670</v>
      </c>
      <c r="G7" s="3415" t="s">
        <v>3479</v>
      </c>
      <c r="H7" s="2008"/>
      <c r="I7" s="2008"/>
      <c r="J7" s="2008"/>
      <c r="K7" s="2008"/>
      <c r="L7" s="2008"/>
      <c r="M7" s="2008"/>
      <c r="N7" s="2008"/>
      <c r="O7" s="2008"/>
      <c r="P7" s="2008"/>
      <c r="Q7" s="2008"/>
      <c r="R7" s="2008"/>
    </row>
    <row r="8" spans="1:18" ht="27">
      <c r="A8" s="1229"/>
      <c r="B8" s="1231" t="s">
        <v>2550</v>
      </c>
      <c r="C8" s="3107" t="s">
        <v>2917</v>
      </c>
      <c r="D8" s="2010"/>
      <c r="E8" s="2010"/>
      <c r="F8" s="1553"/>
      <c r="G8" s="1553"/>
      <c r="H8" s="2008"/>
      <c r="I8" s="2008"/>
      <c r="J8" s="2008"/>
      <c r="K8" s="2008"/>
      <c r="L8" s="2008"/>
      <c r="M8" s="2008"/>
      <c r="N8" s="2008"/>
      <c r="O8" s="2008"/>
      <c r="P8" s="2008"/>
      <c r="Q8" s="2008"/>
      <c r="R8" s="2008"/>
    </row>
    <row r="9" spans="1:18" ht="40.5">
      <c r="A9" s="1229"/>
      <c r="B9" s="1231" t="s">
        <v>1656</v>
      </c>
      <c r="C9" s="3106" t="s">
        <v>2918</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54">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估价对象位于海淀区，区域工业成熟度一般，产业集聚程度一般</v>
      </c>
    </row>
    <row r="16" spans="1:18" ht="40.5">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0.5">
      <c r="A17" s="2613"/>
      <c r="B17" s="1245" t="s">
        <v>1669</v>
      </c>
      <c r="C17" s="1246" t="str">
        <f>C5</f>
        <v>估价对象位于XX商圈，周边办公楼项目较多，入驻率高，办公集聚程度较好</v>
      </c>
      <c r="D17" s="2010"/>
      <c r="E17" s="2610"/>
      <c r="F17" s="1247" t="s">
        <v>1674</v>
      </c>
      <c r="G17" s="2818"/>
    </row>
    <row r="18" spans="1:7" ht="54">
      <c r="A18" s="2613"/>
      <c r="B18" s="1247" t="s">
        <v>1655</v>
      </c>
      <c r="C18" s="1005" t="str">
        <f>C6</f>
        <v>估价对象周边道路状况、公共交通通达情况、停车便捷程度，综合评价交通便捷度较好</v>
      </c>
      <c r="D18" s="2010"/>
      <c r="E18" s="2610"/>
      <c r="F18" s="1247" t="s">
        <v>1670</v>
      </c>
      <c r="G18" s="1005" t="str">
        <f>G7</f>
        <v>该区域内没有污染型企业，绿化情况教好，卫生条件教好，整体环境状况较好</v>
      </c>
    </row>
    <row r="19" spans="1:7" ht="27">
      <c r="A19" s="2613"/>
      <c r="B19" s="1247" t="s">
        <v>1659</v>
      </c>
      <c r="C19" s="2818"/>
      <c r="D19" s="2009"/>
      <c r="E19" s="2610"/>
      <c r="F19" s="1231" t="s">
        <v>2549</v>
      </c>
      <c r="G19" s="1005" t="str">
        <f>G5</f>
        <v>估价对象所在区域公共配套设施齐备情况好</v>
      </c>
    </row>
    <row r="20" spans="1:7" ht="40.5">
      <c r="A20" s="2613"/>
      <c r="B20" s="1247" t="s">
        <v>1660</v>
      </c>
      <c r="C20" s="1246" t="str">
        <f>C9</f>
        <v>区域自然环境：；人文环境；综合评价环境状况一般</v>
      </c>
      <c r="D20" s="2010"/>
      <c r="E20" s="2610"/>
      <c r="F20" s="1231" t="s">
        <v>2550</v>
      </c>
      <c r="G20" s="1005" t="str">
        <f>G6</f>
        <v>七通</v>
      </c>
    </row>
    <row r="21" spans="1:7" ht="27">
      <c r="A21" s="2613"/>
      <c r="B21" s="1231" t="s">
        <v>2549</v>
      </c>
      <c r="C21" s="1005" t="str">
        <f>C7</f>
        <v>估价对象所在区域公共配套设施齐备情况</v>
      </c>
      <c r="D21" s="2009"/>
      <c r="E21" s="2610"/>
      <c r="F21" s="1247" t="s">
        <v>1661</v>
      </c>
      <c r="G21" s="3109" t="s">
        <v>3485</v>
      </c>
    </row>
    <row r="22" spans="1:7" ht="27">
      <c r="A22" s="2613"/>
      <c r="B22" s="1231" t="s">
        <v>2550</v>
      </c>
      <c r="C22" s="1005" t="str">
        <f>C8</f>
        <v>估价对象所在区域基础设施水平</v>
      </c>
      <c r="D22" s="2009"/>
      <c r="E22" s="2610"/>
      <c r="F22" s="1247" t="s">
        <v>1671</v>
      </c>
      <c r="G22" s="3419" t="s">
        <v>3486</v>
      </c>
    </row>
    <row r="23" spans="1:7" ht="15" thickBot="1">
      <c r="A23" s="2613"/>
      <c r="B23" s="1247" t="s">
        <v>1661</v>
      </c>
      <c r="C23" s="3109"/>
      <c r="E23" s="2611"/>
      <c r="F23" s="1248" t="s">
        <v>1675</v>
      </c>
      <c r="G23" s="3420" t="s">
        <v>3487</v>
      </c>
    </row>
    <row r="24" spans="1:7" ht="14.2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7" sqref="B7"/>
    </sheetView>
  </sheetViews>
  <sheetFormatPr defaultColWidth="14.625" defaultRowHeight="13.5"/>
  <cols>
    <col min="1" max="1" width="24.375" customWidth="1"/>
  </cols>
  <sheetData>
    <row r="1" spans="1:9" ht="16.5">
      <c r="A1" s="3069" t="s">
        <v>2845</v>
      </c>
      <c r="B1" s="3069">
        <f>SUM(B14:B23)</f>
        <v>60473.499999999985</v>
      </c>
      <c r="C1" s="3070"/>
      <c r="D1" s="3070"/>
      <c r="E1" s="3070"/>
      <c r="F1" s="3070"/>
    </row>
    <row r="2" spans="1:9" ht="16.5">
      <c r="A2" s="3069" t="s">
        <v>2846</v>
      </c>
      <c r="B2" s="3069">
        <f>SUM(C14:C23)</f>
        <v>182153.37</v>
      </c>
      <c r="C2" s="3070"/>
      <c r="D2" s="3070"/>
      <c r="E2" s="3070"/>
      <c r="F2" s="3070"/>
    </row>
    <row r="3" spans="1:9" ht="16.5">
      <c r="A3" s="3069" t="s">
        <v>2847</v>
      </c>
      <c r="B3" s="3071">
        <f>项目基本情况!D3</f>
        <v>43251</v>
      </c>
      <c r="C3" s="3070"/>
      <c r="D3" s="3070"/>
      <c r="E3" s="3070"/>
      <c r="F3" s="3070"/>
    </row>
    <row r="4" spans="1:9" ht="33">
      <c r="A4" s="3069" t="s">
        <v>2848</v>
      </c>
      <c r="B4" s="3069" t="s">
        <v>2849</v>
      </c>
      <c r="C4" s="3069" t="s">
        <v>2850</v>
      </c>
      <c r="D4" s="3069" t="s">
        <v>2851</v>
      </c>
      <c r="E4" s="3070"/>
      <c r="F4" s="3070"/>
    </row>
    <row r="5" spans="1:9" ht="16.5">
      <c r="A5" s="3069" t="s">
        <v>2852</v>
      </c>
      <c r="B5" s="3069">
        <f ca="1">SUM(D14:D23)</f>
        <v>147498</v>
      </c>
      <c r="C5" s="3069">
        <f ca="1">ROUND(B5*10000/$B$1,0)</f>
        <v>24391</v>
      </c>
      <c r="D5" s="3069">
        <f ca="1">ROUND(B5*10000/$B$2,0)</f>
        <v>8097</v>
      </c>
      <c r="E5" s="3070"/>
      <c r="F5" s="3070"/>
    </row>
    <row r="6" spans="1:9" ht="16.5">
      <c r="A6" s="3069" t="s">
        <v>2853</v>
      </c>
      <c r="B6" s="3069">
        <f>SUM(G14:G23)</f>
        <v>0</v>
      </c>
      <c r="C6" s="3069">
        <f t="shared" ref="C6:C8" si="0">ROUND(B6*10000/$B$1,0)</f>
        <v>0</v>
      </c>
      <c r="D6" s="3069">
        <f t="shared" ref="D6:D8" si="1">ROUND(B6*10000/$B$2,0)</f>
        <v>0</v>
      </c>
      <c r="E6" s="3070"/>
      <c r="F6" s="3070"/>
    </row>
    <row r="7" spans="1:9" ht="16.5">
      <c r="A7" s="3069" t="s">
        <v>2854</v>
      </c>
      <c r="B7" s="3069">
        <f>SUM(H14:H23)</f>
        <v>0</v>
      </c>
      <c r="C7" s="3069">
        <f t="shared" si="0"/>
        <v>0</v>
      </c>
      <c r="D7" s="3069">
        <f t="shared" si="1"/>
        <v>0</v>
      </c>
      <c r="E7" s="3070"/>
      <c r="F7" s="3070"/>
    </row>
    <row r="8" spans="1:9" ht="16.5">
      <c r="A8" s="3069" t="s">
        <v>2855</v>
      </c>
      <c r="B8" s="3069">
        <f>SUM(I14:I23)</f>
        <v>0</v>
      </c>
      <c r="C8" s="3069">
        <f t="shared" si="0"/>
        <v>0</v>
      </c>
      <c r="D8" s="3069">
        <f t="shared" si="1"/>
        <v>0</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60473.499999999985</v>
      </c>
      <c r="C14" s="3073">
        <f>结果表!K38</f>
        <v>182153.37</v>
      </c>
      <c r="D14" s="3073">
        <f ca="1">结果表!C42</f>
        <v>147498</v>
      </c>
      <c r="E14" s="3073">
        <f ca="1">ROUND(D14*10000/B14,0)</f>
        <v>24391</v>
      </c>
      <c r="F14" s="3073">
        <f ca="1">ROUND(D14*10000/C14,0)</f>
        <v>8097</v>
      </c>
      <c r="G14" s="3073" t="str">
        <f>结果表!C44</f>
        <v>——</v>
      </c>
      <c r="H14" s="3073" t="str">
        <f>结果表!C45</f>
        <v>——</v>
      </c>
      <c r="I14" s="3073" t="str">
        <f>结果表!C46</f>
        <v>——</v>
      </c>
    </row>
    <row r="15" spans="1:9" ht="16.5">
      <c r="A15" s="3076" t="s">
        <v>2862</v>
      </c>
      <c r="B15" s="3077"/>
      <c r="C15" s="3077"/>
      <c r="D15" s="3077"/>
      <c r="E15" s="3073" t="e">
        <f t="shared" ref="E15:E23" si="2">ROUND(D15*10000/B15,0)</f>
        <v>#DIV/0!</v>
      </c>
      <c r="F15" s="3073" t="e">
        <f t="shared" ref="F15:F23" si="3">ROUND(D15*10000/C15,0)</f>
        <v>#DIV/0!</v>
      </c>
      <c r="G15" s="3074"/>
      <c r="H15" s="3074"/>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679" t="str">
        <f>项目基本情况!K2</f>
        <v>北京市海淀区西三旗建材城中路2号出让国有建设用地使用权</v>
      </c>
      <c r="B2" s="3680"/>
      <c r="C2" s="3681"/>
      <c r="D2" s="3681"/>
      <c r="E2" s="3681"/>
      <c r="F2" s="3681"/>
      <c r="G2" s="3680"/>
      <c r="H2" s="3680"/>
      <c r="I2" s="3682"/>
      <c r="J2" s="2030"/>
      <c r="K2" s="2029"/>
      <c r="L2" s="2029"/>
      <c r="M2" s="2029"/>
      <c r="N2" s="2029"/>
      <c r="O2" s="2029"/>
      <c r="P2" s="2029"/>
      <c r="Q2" s="2029"/>
      <c r="R2" s="2029"/>
      <c r="S2" s="2029"/>
      <c r="T2" s="2029"/>
      <c r="U2" s="2029"/>
      <c r="V2" s="2029"/>
    </row>
    <row r="3" spans="1:22" ht="14.25">
      <c r="A3" s="3690" t="s">
        <v>297</v>
      </c>
      <c r="B3" s="3691"/>
      <c r="C3" s="3691"/>
      <c r="D3" s="3691"/>
      <c r="E3" s="3691"/>
      <c r="F3" s="3691"/>
      <c r="G3" s="3691"/>
      <c r="H3" s="3691"/>
      <c r="I3" s="3691"/>
      <c r="J3" s="2030"/>
      <c r="K3" s="2029"/>
      <c r="L3" s="2029"/>
      <c r="M3" s="2029"/>
      <c r="N3" s="2029"/>
      <c r="O3" s="2029"/>
      <c r="P3" s="2029"/>
      <c r="Q3" s="2029"/>
      <c r="R3" s="2029"/>
      <c r="S3" s="2029"/>
      <c r="T3" s="2029"/>
      <c r="U3" s="2029"/>
      <c r="V3" s="2029"/>
    </row>
    <row r="4" spans="1:22" ht="14.25">
      <c r="A4" s="258" t="s">
        <v>298</v>
      </c>
      <c r="B4" s="259" t="s">
        <v>299</v>
      </c>
      <c r="C4" s="260" t="s">
        <v>2952</v>
      </c>
      <c r="D4" s="260" t="s">
        <v>3183</v>
      </c>
      <c r="E4" s="3654" t="s">
        <v>300</v>
      </c>
      <c r="F4" s="3696"/>
      <c r="G4" s="3696"/>
      <c r="H4" s="3696"/>
      <c r="I4" s="3655"/>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683" t="s">
        <v>301</v>
      </c>
      <c r="B5" s="3684">
        <v>25</v>
      </c>
      <c r="C5" s="3692">
        <v>3</v>
      </c>
      <c r="D5" s="3695">
        <f>10-C5</f>
        <v>7</v>
      </c>
      <c r="E5" s="261" t="s">
        <v>302</v>
      </c>
      <c r="F5" s="262"/>
      <c r="G5" s="262"/>
      <c r="H5" s="262"/>
      <c r="I5" s="263"/>
      <c r="J5" s="2030"/>
      <c r="K5" s="2029"/>
      <c r="L5" s="2029"/>
      <c r="M5" s="2029"/>
      <c r="N5" s="2029"/>
      <c r="O5" s="2029"/>
      <c r="P5" s="2029"/>
      <c r="Q5" s="2029"/>
      <c r="R5" s="2029"/>
      <c r="S5" s="2029"/>
      <c r="T5" s="2029"/>
      <c r="U5" s="2029"/>
      <c r="V5" s="2029"/>
    </row>
    <row r="6" spans="1:22" ht="14.25">
      <c r="A6" s="3683"/>
      <c r="B6" s="3684"/>
      <c r="C6" s="3693"/>
      <c r="D6" s="3695"/>
      <c r="E6" s="261" t="s">
        <v>303</v>
      </c>
      <c r="F6" s="262"/>
      <c r="G6" s="262"/>
      <c r="H6" s="262"/>
      <c r="I6" s="263"/>
      <c r="J6" s="2030"/>
      <c r="K6" s="2029"/>
      <c r="L6" s="2029"/>
      <c r="M6" s="2029"/>
      <c r="N6" s="2029"/>
      <c r="O6" s="2029"/>
      <c r="P6" s="2029"/>
      <c r="Q6" s="2029"/>
      <c r="R6" s="2029"/>
      <c r="S6" s="2029"/>
      <c r="T6" s="2029"/>
      <c r="U6" s="2029"/>
      <c r="V6" s="2029"/>
    </row>
    <row r="7" spans="1:22" ht="14.25">
      <c r="A7" s="3683"/>
      <c r="B7" s="3684"/>
      <c r="C7" s="3694"/>
      <c r="D7" s="3695"/>
      <c r="E7" s="261" t="s">
        <v>304</v>
      </c>
      <c r="F7" s="262"/>
      <c r="G7" s="262"/>
      <c r="H7" s="262"/>
      <c r="I7" s="263"/>
      <c r="J7" s="2030"/>
      <c r="K7" s="2029"/>
      <c r="L7" s="2029"/>
      <c r="M7" s="2029"/>
      <c r="N7" s="2029"/>
      <c r="O7" s="2029"/>
      <c r="P7" s="2029"/>
      <c r="Q7" s="2029"/>
      <c r="R7" s="2029"/>
      <c r="S7" s="2029"/>
      <c r="T7" s="2029"/>
      <c r="U7" s="2029"/>
      <c r="V7" s="2029"/>
    </row>
    <row r="8" spans="1:22" ht="14.25">
      <c r="A8" s="3683" t="s">
        <v>305</v>
      </c>
      <c r="B8" s="3684">
        <v>15</v>
      </c>
      <c r="C8" s="3692"/>
      <c r="D8" s="3695"/>
      <c r="E8" s="261" t="s">
        <v>306</v>
      </c>
      <c r="F8" s="262"/>
      <c r="G8" s="262"/>
      <c r="H8" s="262"/>
      <c r="I8" s="263"/>
      <c r="J8" s="2030"/>
      <c r="K8" s="2029"/>
      <c r="L8" s="2029"/>
      <c r="M8" s="2029"/>
      <c r="N8" s="2029"/>
      <c r="O8" s="2029"/>
      <c r="P8" s="2029"/>
      <c r="Q8" s="2029"/>
      <c r="R8" s="2029"/>
      <c r="S8" s="2029"/>
      <c r="T8" s="2029"/>
      <c r="U8" s="2029"/>
      <c r="V8" s="2029"/>
    </row>
    <row r="9" spans="1:22" ht="14.25">
      <c r="A9" s="3683"/>
      <c r="B9" s="3684"/>
      <c r="C9" s="3694"/>
      <c r="D9" s="3695"/>
      <c r="E9" s="261" t="s">
        <v>307</v>
      </c>
      <c r="F9" s="262"/>
      <c r="G9" s="262"/>
      <c r="H9" s="262"/>
      <c r="I9" s="263"/>
      <c r="J9" s="2030"/>
      <c r="K9" s="2029"/>
      <c r="L9" s="2029"/>
      <c r="M9" s="2029"/>
      <c r="N9" s="2029"/>
      <c r="O9" s="2029"/>
      <c r="P9" s="2029"/>
      <c r="Q9" s="2029"/>
      <c r="R9" s="2029"/>
      <c r="S9" s="2029"/>
      <c r="T9" s="2029"/>
      <c r="U9" s="2029"/>
      <c r="V9" s="2029"/>
    </row>
    <row r="10" spans="1:22" ht="14.25">
      <c r="A10" s="3683" t="s">
        <v>308</v>
      </c>
      <c r="B10" s="3684">
        <v>15</v>
      </c>
      <c r="C10" s="3692"/>
      <c r="D10" s="3695"/>
      <c r="E10" s="261" t="s">
        <v>309</v>
      </c>
      <c r="F10" s="262"/>
      <c r="G10" s="262"/>
      <c r="H10" s="262"/>
      <c r="I10" s="263"/>
      <c r="J10" s="2030"/>
      <c r="K10" s="2029"/>
      <c r="L10" s="2029"/>
      <c r="M10" s="2029"/>
      <c r="N10" s="2029"/>
      <c r="O10" s="2029"/>
      <c r="P10" s="2029"/>
      <c r="Q10" s="2029"/>
      <c r="R10" s="2029"/>
      <c r="S10" s="2029"/>
      <c r="T10" s="2029"/>
      <c r="U10" s="2029"/>
      <c r="V10" s="2029"/>
    </row>
    <row r="11" spans="1:22" ht="14.25">
      <c r="A11" s="3683"/>
      <c r="B11" s="3684"/>
      <c r="C11" s="3694"/>
      <c r="D11" s="3695"/>
      <c r="E11" s="261" t="s">
        <v>310</v>
      </c>
      <c r="F11" s="262"/>
      <c r="G11" s="262"/>
      <c r="H11" s="262"/>
      <c r="I11" s="263"/>
      <c r="J11" s="2030"/>
      <c r="K11" s="2029"/>
      <c r="L11" s="2029"/>
      <c r="M11" s="2029"/>
      <c r="N11" s="2029"/>
      <c r="O11" s="2029"/>
      <c r="P11" s="2029"/>
      <c r="Q11" s="2029"/>
      <c r="R11" s="2029"/>
      <c r="S11" s="2029"/>
      <c r="T11" s="2029"/>
      <c r="U11" s="2029"/>
      <c r="V11" s="2029"/>
    </row>
    <row r="12" spans="1:22" ht="14.25">
      <c r="A12" s="3683" t="s">
        <v>311</v>
      </c>
      <c r="B12" s="3684">
        <v>15</v>
      </c>
      <c r="C12" s="3692"/>
      <c r="D12" s="3695"/>
      <c r="E12" s="261" t="s">
        <v>312</v>
      </c>
      <c r="F12" s="262"/>
      <c r="G12" s="262"/>
      <c r="H12" s="262"/>
      <c r="I12" s="263"/>
      <c r="J12" s="2030"/>
      <c r="K12" s="2029"/>
      <c r="L12" s="2029"/>
      <c r="M12" s="2029"/>
      <c r="N12" s="2029"/>
      <c r="O12" s="2029"/>
      <c r="P12" s="2029"/>
      <c r="Q12" s="2029"/>
      <c r="R12" s="2029"/>
      <c r="S12" s="2029"/>
      <c r="T12" s="2029"/>
      <c r="U12" s="2029"/>
      <c r="V12" s="2029"/>
    </row>
    <row r="13" spans="1:22" ht="14.25">
      <c r="A13" s="3683"/>
      <c r="B13" s="3684"/>
      <c r="C13" s="3694"/>
      <c r="D13" s="3695"/>
      <c r="E13" s="261" t="s">
        <v>313</v>
      </c>
      <c r="F13" s="262"/>
      <c r="G13" s="262"/>
      <c r="H13" s="262"/>
      <c r="I13" s="263"/>
      <c r="J13" s="2030"/>
      <c r="K13" s="2029"/>
      <c r="L13" s="2029"/>
      <c r="M13" s="2029"/>
      <c r="N13" s="2029"/>
      <c r="O13" s="2029"/>
      <c r="P13" s="2029"/>
      <c r="Q13" s="2029"/>
      <c r="R13" s="2029"/>
      <c r="S13" s="2029"/>
      <c r="T13" s="2029"/>
      <c r="U13" s="2029"/>
      <c r="V13" s="2029"/>
    </row>
    <row r="14" spans="1:22" ht="14.25">
      <c r="A14" s="3683" t="s">
        <v>314</v>
      </c>
      <c r="B14" s="3684">
        <v>30</v>
      </c>
      <c r="C14" s="3692"/>
      <c r="D14" s="3695"/>
      <c r="E14" s="261" t="s">
        <v>315</v>
      </c>
      <c r="F14" s="262"/>
      <c r="G14" s="262"/>
      <c r="H14" s="262"/>
      <c r="I14" s="263"/>
      <c r="J14" s="2030"/>
      <c r="K14" s="2029"/>
      <c r="L14" s="2029"/>
      <c r="M14" s="2029"/>
      <c r="N14" s="2029"/>
      <c r="O14" s="2029"/>
      <c r="P14" s="2029"/>
      <c r="Q14" s="2029"/>
      <c r="R14" s="2029"/>
      <c r="S14" s="2029"/>
      <c r="T14" s="2029"/>
      <c r="U14" s="2029"/>
      <c r="V14" s="2029"/>
    </row>
    <row r="15" spans="1:22" ht="14.25">
      <c r="A15" s="3683"/>
      <c r="B15" s="3684"/>
      <c r="C15" s="3693"/>
      <c r="D15" s="3695"/>
      <c r="E15" s="261" t="s">
        <v>316</v>
      </c>
      <c r="F15" s="262"/>
      <c r="G15" s="262"/>
      <c r="H15" s="262"/>
      <c r="I15" s="263"/>
      <c r="J15" s="2030"/>
      <c r="K15" s="2029"/>
      <c r="L15" s="2029"/>
      <c r="M15" s="2029"/>
      <c r="N15" s="2029"/>
      <c r="O15" s="2029"/>
      <c r="P15" s="2029"/>
      <c r="Q15" s="2029"/>
      <c r="R15" s="2029"/>
      <c r="S15" s="2029"/>
      <c r="T15" s="2029"/>
      <c r="U15" s="2029"/>
      <c r="V15" s="2029"/>
    </row>
    <row r="16" spans="1:22" ht="14.25">
      <c r="A16" s="3683"/>
      <c r="B16" s="3684"/>
      <c r="C16" s="3694"/>
      <c r="D16" s="3695"/>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319</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43061</v>
      </c>
      <c r="D19" s="271">
        <f ca="1">SUMIF(INDIRECT("'"&amp;D4&amp;"'"&amp;"!A:A"),结果表!B19,INDIRECT("'"&amp;D4&amp;"'"&amp;"!B:B"))</f>
        <v>192257</v>
      </c>
      <c r="E19" s="268" t="s">
        <v>322</v>
      </c>
      <c r="F19" s="269" t="s">
        <v>321</v>
      </c>
      <c r="G19" s="272">
        <f ca="1">ROUND(C19*$C$18+D19*$D$18,0)</f>
        <v>147498</v>
      </c>
      <c r="H19" s="273" t="s">
        <v>323</v>
      </c>
      <c r="I19" s="311"/>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2364</v>
      </c>
      <c r="D20" s="277">
        <f ca="1">SUMIF(INDIRECT("'"&amp;D4&amp;"'"&amp;"!A:A"),结果表!B20,INDIRECT("'"&amp;D4&amp;"'"&amp;"!B:B"))</f>
        <v>31792</v>
      </c>
      <c r="E20" s="274"/>
      <c r="F20" s="275" t="s">
        <v>324</v>
      </c>
      <c r="G20" s="278">
        <f ca="1">ROUND(C20*$C$18+D20*$D$18,0)</f>
        <v>22964</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2364</v>
      </c>
      <c r="D21" s="151">
        <f ca="1">SUMIF(INDIRECT("'"&amp;D4&amp;"'"&amp;"!A:A"),结果表!B21,INDIRECT("'"&amp;D4&amp;"'"&amp;"!B:B"))</f>
        <v>10555</v>
      </c>
      <c r="E21" s="274"/>
      <c r="F21" s="280" t="s">
        <v>326</v>
      </c>
      <c r="G21" s="282">
        <f ca="1">ROUND(C21*$C$18+D21*$D$18,0)</f>
        <v>8098</v>
      </c>
      <c r="H21" s="1251" t="s">
        <v>325</v>
      </c>
      <c r="I21" s="311"/>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3.4647592949536703</v>
      </c>
      <c r="E22" s="284"/>
      <c r="F22" s="285"/>
      <c r="G22" s="286">
        <f ca="1">ROUND(G19/('数据-汇总表'!D3/666.67),0)</f>
        <v>540</v>
      </c>
      <c r="H22" s="287" t="s">
        <v>328</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56"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98"/>
      <c r="B25" s="1321" t="s">
        <v>330</v>
      </c>
      <c r="C25" s="290">
        <f>IF(B30=0,0,C30)</f>
        <v>0</v>
      </c>
      <c r="D25" s="291"/>
      <c r="E25" s="311"/>
      <c r="F25" s="311"/>
      <c r="G25" s="311"/>
      <c r="H25" s="311"/>
      <c r="I25" s="311"/>
      <c r="J25" s="2029"/>
      <c r="K25" s="1255" t="str">
        <f ca="1">项目基本情况!B16&amp;"国有建设用地使用权价格："&amp;O38&amp;"万元"</f>
        <v>出让国有建设用地使用权价格：147498万元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大写金额：人民币壹拾肆亿柒仟肆佰玖拾捌万元整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单位面积地价：8097元/平方米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楼面地价：24391元/平方米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57" t="s">
        <v>335</v>
      </c>
      <c r="B30" s="309"/>
      <c r="C30" s="309"/>
      <c r="D30" s="310"/>
      <c r="E30" s="3158" t="s">
        <v>2969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336</v>
      </c>
      <c r="B32" s="1381" t="s">
        <v>1688</v>
      </c>
      <c r="C32" s="1382">
        <f ca="1">G19-C24</f>
        <v>147498</v>
      </c>
      <c r="D32" s="1383"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339</v>
      </c>
      <c r="B33" s="1384" t="s">
        <v>1690</v>
      </c>
      <c r="C33" s="264">
        <f ca="1">ROUND(C32*10000/'数据-汇总表'!E3,0)</f>
        <v>24391</v>
      </c>
      <c r="D33" s="1385" t="s">
        <v>1691</v>
      </c>
      <c r="E33" s="3656"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1692</v>
      </c>
      <c r="C34" s="264">
        <f ca="1">ROUND(C32*10000/'数据-汇总表'!D3,0)</f>
        <v>8097</v>
      </c>
      <c r="D34" s="1387" t="s">
        <v>1691</v>
      </c>
      <c r="E34" s="3657"/>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540</v>
      </c>
      <c r="D35" s="1390" t="s">
        <v>1693</v>
      </c>
      <c r="E35" s="3658"/>
      <c r="F35" s="301" t="s">
        <v>341</v>
      </c>
      <c r="G35" s="982"/>
      <c r="H35" s="981" t="s">
        <v>342</v>
      </c>
      <c r="I35" s="311"/>
      <c r="J35" s="2029"/>
      <c r="K35" s="3662" t="s">
        <v>349</v>
      </c>
      <c r="L35" s="3662" t="s">
        <v>350</v>
      </c>
      <c r="M35" s="1264" t="s">
        <v>351</v>
      </c>
      <c r="N35" s="3662" t="s">
        <v>352</v>
      </c>
      <c r="O35" s="3662" t="s">
        <v>353</v>
      </c>
      <c r="P35" s="2029"/>
      <c r="V35" s="2029"/>
    </row>
    <row r="36" spans="1:26" ht="16.5" customHeight="1">
      <c r="A36" s="303" t="s">
        <v>343</v>
      </c>
      <c r="B36" s="304" t="s">
        <v>332</v>
      </c>
      <c r="C36" s="305" t="s">
        <v>344</v>
      </c>
      <c r="D36" s="305" t="s">
        <v>345</v>
      </c>
      <c r="E36" s="306" t="s">
        <v>346</v>
      </c>
      <c r="F36" s="311"/>
      <c r="G36" s="311"/>
      <c r="H36" s="311"/>
      <c r="I36" s="311"/>
      <c r="J36" s="2031"/>
      <c r="K36" s="3663"/>
      <c r="L36" s="3663"/>
      <c r="M36" s="1266" t="s">
        <v>354</v>
      </c>
      <c r="N36" s="3663"/>
      <c r="O36" s="3663"/>
      <c r="P36" s="2029"/>
      <c r="V36" s="2029"/>
    </row>
    <row r="37" spans="1:26" ht="16.5" customHeight="1" thickBot="1">
      <c r="A37" s="1260" t="s">
        <v>347</v>
      </c>
      <c r="B37" s="307"/>
      <c r="C37" s="294"/>
      <c r="D37" s="294"/>
      <c r="E37" s="295"/>
      <c r="F37" s="311"/>
      <c r="G37" s="311"/>
      <c r="H37" s="311"/>
      <c r="I37" s="311"/>
      <c r="J37" s="2031"/>
      <c r="K37" s="3664"/>
      <c r="L37" s="3664"/>
      <c r="M37" s="1267"/>
      <c r="N37" s="3664"/>
      <c r="O37" s="3664"/>
      <c r="P37" s="2029"/>
      <c r="V37" s="2029"/>
    </row>
    <row r="38" spans="1:26" ht="16.5" customHeight="1" thickBot="1">
      <c r="A38" s="1260" t="s">
        <v>348</v>
      </c>
      <c r="B38" s="307"/>
      <c r="C38" s="294"/>
      <c r="D38" s="294"/>
      <c r="E38" s="295"/>
      <c r="F38" s="311"/>
      <c r="G38" s="311"/>
      <c r="H38" s="311"/>
      <c r="I38" s="311"/>
      <c r="J38" s="2031"/>
      <c r="K38" s="1268">
        <f>'数据-汇总表'!D3</f>
        <v>182153.37</v>
      </c>
      <c r="L38" s="1269">
        <f>'数据-汇总表'!E3</f>
        <v>60473.499999999985</v>
      </c>
      <c r="M38" s="1269">
        <f ca="1">C34</f>
        <v>8097</v>
      </c>
      <c r="N38" s="1269">
        <f ca="1">C33</f>
        <v>24391</v>
      </c>
      <c r="O38" s="1270">
        <f ca="1">C32</f>
        <v>147498</v>
      </c>
      <c r="P38" s="2029"/>
      <c r="V38" s="2029"/>
    </row>
    <row r="39" spans="1:26" ht="16.5" customHeight="1" thickBot="1">
      <c r="A39" s="1265"/>
      <c r="B39" s="308"/>
      <c r="C39" s="309"/>
      <c r="D39" s="309"/>
      <c r="E39" s="310"/>
      <c r="F39" s="311"/>
      <c r="G39" s="311"/>
      <c r="H39" s="311"/>
      <c r="I39" s="311"/>
      <c r="J39" s="2031"/>
      <c r="K39" s="3639" t="str">
        <f>MID(A44,3,LEN(A44)-2)</f>
        <v/>
      </c>
      <c r="L39" s="3640"/>
      <c r="M39" s="3640"/>
      <c r="N39" s="3641"/>
      <c r="O39" s="1392" t="str">
        <f>C44</f>
        <v>——</v>
      </c>
      <c r="P39" s="2029"/>
      <c r="V39" s="2029"/>
    </row>
    <row r="40" spans="1:26" ht="19.5" thickBot="1">
      <c r="A40" s="104" t="s">
        <v>872</v>
      </c>
      <c r="B40" s="311"/>
      <c r="C40" s="311"/>
      <c r="D40" s="311"/>
      <c r="E40" s="311"/>
      <c r="F40" s="311"/>
      <c r="G40" s="311"/>
      <c r="H40" s="311"/>
      <c r="I40" s="311"/>
      <c r="J40" s="2031"/>
      <c r="K40" s="3639" t="str">
        <f t="shared" ref="K40:K41" si="0">MID(A45,3,LEN(A45)-2)</f>
        <v/>
      </c>
      <c r="L40" s="3640"/>
      <c r="M40" s="3640"/>
      <c r="N40" s="3641"/>
      <c r="O40" s="1392" t="str">
        <f>C45</f>
        <v>——</v>
      </c>
      <c r="P40" s="2029"/>
      <c r="V40" s="2029"/>
    </row>
    <row r="41" spans="1:26" ht="16.5" thickBot="1">
      <c r="A41" s="312" t="s">
        <v>355</v>
      </c>
      <c r="B41" s="313"/>
      <c r="C41" s="314" t="s">
        <v>356</v>
      </c>
      <c r="D41" s="315" t="s">
        <v>357</v>
      </c>
      <c r="E41" s="315" t="s">
        <v>358</v>
      </c>
      <c r="F41" s="316" t="s">
        <v>359</v>
      </c>
      <c r="G41" s="311"/>
      <c r="H41" s="311"/>
      <c r="I41" s="311"/>
      <c r="J41" s="2031"/>
      <c r="K41" s="3639" t="str">
        <f t="shared" si="0"/>
        <v/>
      </c>
      <c r="L41" s="3640"/>
      <c r="M41" s="3640"/>
      <c r="N41" s="3641"/>
      <c r="O41" s="1392" t="str">
        <f>C46</f>
        <v>——</v>
      </c>
      <c r="P41" s="2029"/>
      <c r="V41" s="2029"/>
    </row>
    <row r="42" spans="1:26" ht="29.25">
      <c r="A42" s="3699" t="s">
        <v>2069</v>
      </c>
      <c r="B42" s="3700"/>
      <c r="C42" s="264">
        <f ca="1">C32</f>
        <v>147498</v>
      </c>
      <c r="D42" s="317">
        <f ca="1">C33</f>
        <v>24391</v>
      </c>
      <c r="E42" s="317">
        <f ca="1">C34</f>
        <v>8097</v>
      </c>
      <c r="F42" s="318">
        <f ca="1">C35</f>
        <v>540</v>
      </c>
      <c r="G42" s="311"/>
      <c r="H42" s="311"/>
      <c r="I42" s="319"/>
      <c r="J42" s="2031"/>
      <c r="K42" s="1271" t="s">
        <v>360</v>
      </c>
      <c r="L42" s="2048" t="s">
        <v>361</v>
      </c>
      <c r="M42" s="1272" t="s">
        <v>362</v>
      </c>
      <c r="N42" s="2049" t="s">
        <v>363</v>
      </c>
      <c r="O42" s="2050" t="s">
        <v>364</v>
      </c>
      <c r="P42" s="2029"/>
      <c r="V42" s="2029"/>
    </row>
    <row r="43" spans="1:26" ht="18">
      <c r="A43" s="3709" t="s">
        <v>2733</v>
      </c>
      <c r="B43" s="3710"/>
      <c r="C43" s="264">
        <f>IF(H33="正常操作",G33+G34+G35,G34+G35)</f>
        <v>0</v>
      </c>
      <c r="D43" s="317" t="s">
        <v>43</v>
      </c>
      <c r="E43" s="317" t="s">
        <v>44</v>
      </c>
      <c r="F43" s="318" t="s">
        <v>44</v>
      </c>
      <c r="G43" s="2891" t="s">
        <v>951</v>
      </c>
      <c r="H43" s="311"/>
      <c r="I43" s="319"/>
      <c r="J43" s="2031"/>
      <c r="K43" s="1273" t="str">
        <f>C4</f>
        <v>基准地价</v>
      </c>
      <c r="L43" s="1274">
        <f ca="1">IF(L42="估价结果/万元",C19,C20)</f>
        <v>43061</v>
      </c>
      <c r="M43" s="1275">
        <f>C18</f>
        <v>0.3</v>
      </c>
      <c r="N43" s="1276">
        <f ca="1">IF(N42="测算结果/万元",G19,G20)</f>
        <v>147498</v>
      </c>
      <c r="O43" s="1277">
        <f ca="1">IF(O42="最终结果/万元",C32,C33)</f>
        <v>147498</v>
      </c>
      <c r="P43" s="2029"/>
      <c r="V43" s="2029"/>
    </row>
    <row r="44" spans="1:26" ht="18.75" thickBot="1">
      <c r="A44" s="3699" t="str">
        <f>IF(OR(项目基本情况!E8="抵押价格",项目基本情况!E8="已注销及未注销"),"3.抵押价格","——")</f>
        <v>——</v>
      </c>
      <c r="B44" s="370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成本逼近法</v>
      </c>
      <c r="L44" s="1279">
        <f ca="1">IF(L42="估价结果/万元",D19,D20)</f>
        <v>192257</v>
      </c>
      <c r="M44" s="1280">
        <f>D18</f>
        <v>0.7</v>
      </c>
      <c r="N44" s="1281"/>
      <c r="O44" s="1282"/>
      <c r="P44" s="2029"/>
      <c r="V44" s="2029"/>
    </row>
    <row r="45" spans="1:26" ht="15">
      <c r="A45" s="3704" t="str">
        <f>IF(项目基本情况!E8="已注销及未注销","4.抵押担保权已注销时的抵押价格",IF(项目基本情况!E8="已注销","3.抵押担保权已注销时的抵押价格","——"))</f>
        <v>——</v>
      </c>
      <c r="B45" s="370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701" t="str">
        <f>IF(项目基本情况!E9="抵押净值",IF(A45="——","4.抵押净值","5.抵押净值"),"——")</f>
        <v>——</v>
      </c>
      <c r="B46" s="370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67" t="s">
        <v>373</v>
      </c>
      <c r="B63" s="3668"/>
      <c r="C63" s="3669"/>
      <c r="D63" s="341">
        <f ca="1">ROUND(C42*F63,0)</f>
        <v>88499</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706" t="s">
        <v>377</v>
      </c>
      <c r="B64" s="3707"/>
      <c r="C64" s="3707"/>
      <c r="D64" s="3707"/>
      <c r="E64" s="3707"/>
      <c r="F64" s="3707"/>
      <c r="G64" s="3708"/>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703" t="s">
        <v>385</v>
      </c>
      <c r="B66" s="3674"/>
      <c r="C66" s="3674"/>
      <c r="D66" s="261">
        <f ca="1">IF(H66="情况1",0,IF(H66="情况2",D70,IF(H66="情况3",D71,IF(H66="情况4",D72))))</f>
        <v>4720</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643" t="s">
        <v>384</v>
      </c>
      <c r="M66" s="3644"/>
      <c r="N66" s="2483"/>
      <c r="O66" s="2484"/>
      <c r="P66" s="2485"/>
      <c r="Q66" s="2029"/>
      <c r="R66" s="2029"/>
      <c r="S66" s="2029"/>
      <c r="T66" s="2029"/>
      <c r="U66" s="2029"/>
      <c r="V66" s="2029"/>
    </row>
    <row r="67" spans="1:22" ht="25.5" customHeight="1">
      <c r="A67" s="352" t="s">
        <v>389</v>
      </c>
      <c r="B67" s="3686" t="s">
        <v>390</v>
      </c>
      <c r="C67" s="3686"/>
      <c r="D67" s="353">
        <v>0</v>
      </c>
      <c r="E67" s="41" t="s">
        <v>391</v>
      </c>
      <c r="F67" s="62" t="s">
        <v>21</v>
      </c>
      <c r="G67" s="3670"/>
      <c r="H67" s="311"/>
      <c r="I67" s="1292"/>
      <c r="J67" s="2036"/>
      <c r="K67" s="1977">
        <v>2</v>
      </c>
      <c r="L67" s="3642" t="s">
        <v>388</v>
      </c>
      <c r="M67" s="3642"/>
      <c r="N67" s="1325">
        <f>'数据-取费表'!B2</f>
        <v>43251</v>
      </c>
      <c r="O67" s="1325"/>
      <c r="P67" s="1325"/>
      <c r="Q67" s="2029"/>
      <c r="R67" s="2029"/>
      <c r="S67" s="2029"/>
      <c r="T67" s="2029"/>
      <c r="U67" s="2029"/>
      <c r="V67" s="2029"/>
    </row>
    <row r="68" spans="1:22" ht="25.5" customHeight="1">
      <c r="A68" s="354"/>
      <c r="B68" s="3686" t="s">
        <v>393</v>
      </c>
      <c r="C68" s="3686"/>
      <c r="D68" s="355"/>
      <c r="E68" s="77"/>
      <c r="F68" s="356"/>
      <c r="G68" s="3671"/>
      <c r="H68" s="311"/>
      <c r="I68" s="1292"/>
      <c r="J68" s="2036"/>
      <c r="K68" s="1977">
        <v>3</v>
      </c>
      <c r="L68" s="3642" t="s">
        <v>392</v>
      </c>
      <c r="M68" s="3642"/>
      <c r="N68" s="1293">
        <f ca="1">C42</f>
        <v>147498</v>
      </c>
      <c r="O68" s="1293"/>
      <c r="P68" s="1293"/>
      <c r="Q68" s="2029"/>
      <c r="R68" s="2029"/>
      <c r="S68" s="2029"/>
      <c r="T68" s="2029"/>
      <c r="U68" s="2029"/>
      <c r="V68" s="2029"/>
    </row>
    <row r="69" spans="1:22" ht="12" customHeight="1">
      <c r="A69" s="357"/>
      <c r="B69" s="3686" t="s">
        <v>394</v>
      </c>
      <c r="C69" s="3686"/>
      <c r="D69" s="358"/>
      <c r="E69" s="73"/>
      <c r="F69" s="356"/>
      <c r="G69" s="3672"/>
      <c r="H69" s="311"/>
      <c r="I69" s="1292"/>
      <c r="J69" s="2036"/>
      <c r="K69" s="1294">
        <v>4</v>
      </c>
      <c r="L69" s="3648" t="s">
        <v>2884</v>
      </c>
      <c r="M69" s="3649"/>
      <c r="N69" s="1295" t="str">
        <f>C44</f>
        <v>——</v>
      </c>
      <c r="O69" s="1295"/>
      <c r="P69" s="1295"/>
      <c r="Q69" s="2029"/>
      <c r="R69" s="2029"/>
      <c r="S69" s="2029"/>
      <c r="T69" s="2029"/>
      <c r="U69" s="2029"/>
      <c r="V69" s="2029"/>
    </row>
    <row r="70" spans="1:22" ht="24" customHeight="1">
      <c r="A70" s="359" t="s">
        <v>395</v>
      </c>
      <c r="B70" s="3686" t="s">
        <v>396</v>
      </c>
      <c r="C70" s="3686"/>
      <c r="D70" s="358">
        <f ca="1">ROUND(D63*'数据-取费表'!B41/(1+'数据-取费表'!C42),0)</f>
        <v>4720</v>
      </c>
      <c r="E70" s="17" t="s">
        <v>397</v>
      </c>
      <c r="F70" s="360">
        <f>'数据-取费表'!B41</f>
        <v>5.6000000000000001E-2</v>
      </c>
      <c r="G70" s="361"/>
      <c r="H70" s="311"/>
      <c r="I70" s="1292"/>
      <c r="J70" s="2036"/>
      <c r="K70" s="3086"/>
      <c r="L70" s="3087"/>
      <c r="M70" s="3087"/>
      <c r="N70" s="3088" t="s">
        <v>2889</v>
      </c>
      <c r="O70" s="3087"/>
      <c r="P70" s="3089"/>
      <c r="Q70" s="2029"/>
      <c r="R70" s="2029"/>
      <c r="S70" s="2029"/>
      <c r="T70" s="2029"/>
      <c r="U70" s="2029"/>
      <c r="V70" s="2029"/>
    </row>
    <row r="71" spans="1:22" ht="12" customHeight="1">
      <c r="A71" s="359" t="s">
        <v>403</v>
      </c>
      <c r="B71" s="3685" t="s">
        <v>404</v>
      </c>
      <c r="C71" s="3697"/>
      <c r="D71" s="358">
        <f ca="1">ROUND(D63*'数据-取费表'!B41/(1+'数据-取费表'!C42),0)</f>
        <v>4720</v>
      </c>
      <c r="E71" s="17" t="s">
        <v>397</v>
      </c>
      <c r="F71" s="360">
        <f>'数据-取费表'!B41</f>
        <v>5.6000000000000001E-2</v>
      </c>
      <c r="G71" s="361"/>
      <c r="H71" s="311"/>
      <c r="I71" s="1292"/>
      <c r="J71" s="2036"/>
      <c r="K71" s="3085" t="s">
        <v>398</v>
      </c>
      <c r="L71" s="3650" t="s">
        <v>399</v>
      </c>
      <c r="M71" s="3650"/>
      <c r="N71" s="3085" t="s">
        <v>400</v>
      </c>
      <c r="O71" s="3085" t="s">
        <v>401</v>
      </c>
      <c r="P71" s="3085" t="s">
        <v>402</v>
      </c>
      <c r="Q71" s="2029"/>
      <c r="R71" s="2029"/>
      <c r="S71" s="2029"/>
      <c r="T71" s="2029"/>
      <c r="U71" s="2029"/>
      <c r="V71" s="2029"/>
    </row>
    <row r="72" spans="1:22" ht="12" customHeight="1">
      <c r="A72" s="359" t="s">
        <v>406</v>
      </c>
      <c r="B72" s="3685" t="s">
        <v>407</v>
      </c>
      <c r="C72" s="3697"/>
      <c r="D72" s="358">
        <f ca="1">C86</f>
        <v>4608</v>
      </c>
      <c r="E72" s="73" t="s">
        <v>408</v>
      </c>
      <c r="F72" s="360">
        <f>'数据-取费表'!B41</f>
        <v>5.6000000000000001E-2</v>
      </c>
      <c r="G72" s="361"/>
      <c r="H72" s="1298"/>
      <c r="I72" s="1292"/>
      <c r="J72" s="2036"/>
      <c r="K72" s="1977">
        <v>1</v>
      </c>
      <c r="L72" s="3647" t="s">
        <v>405</v>
      </c>
      <c r="M72" s="3647"/>
      <c r="N72" s="1296">
        <f ca="1">D66</f>
        <v>4720</v>
      </c>
      <c r="O72" s="1860" t="str">
        <f>E66</f>
        <v>销售额×税（费）率</v>
      </c>
      <c r="P72" s="1297">
        <f>F66</f>
        <v>5.6000000000000001E-2</v>
      </c>
      <c r="Q72" s="2029"/>
      <c r="R72" s="2029"/>
      <c r="S72" s="2029"/>
      <c r="T72" s="2029"/>
      <c r="U72" s="2029"/>
      <c r="V72" s="2029"/>
    </row>
    <row r="73" spans="1:22" ht="24" customHeight="1">
      <c r="A73" s="3673" t="s">
        <v>410</v>
      </c>
      <c r="B73" s="3674"/>
      <c r="C73" s="3674"/>
      <c r="D73" s="362">
        <f>IF(H73="个人住宅",0,ROUND(D63*I73,0))</f>
        <v>0</v>
      </c>
      <c r="E73" s="17" t="s">
        <v>411</v>
      </c>
      <c r="F73" s="360" t="str">
        <f>IF(H73="正常",I73,"免征")</f>
        <v>免征</v>
      </c>
      <c r="G73" s="361"/>
      <c r="H73" s="191" t="s">
        <v>2458</v>
      </c>
      <c r="I73" s="360">
        <f>'数据-取费表'!B49</f>
        <v>5.0000000000000001E-4</v>
      </c>
      <c r="J73" s="2036"/>
      <c r="K73" s="1977">
        <v>2</v>
      </c>
      <c r="L73" s="3647" t="s">
        <v>409</v>
      </c>
      <c r="M73" s="3647"/>
      <c r="N73" s="1296">
        <f t="shared" ref="N73:P74" si="1">D73</f>
        <v>0</v>
      </c>
      <c r="O73" s="1860" t="str">
        <f t="shared" si="1"/>
        <v>销售额×税（费）率</v>
      </c>
      <c r="P73" s="1297" t="str">
        <f t="shared" si="1"/>
        <v>免征</v>
      </c>
      <c r="Q73" s="2029"/>
      <c r="R73" s="2029"/>
      <c r="S73" s="2029"/>
      <c r="T73" s="2029"/>
      <c r="U73" s="2029"/>
      <c r="V73" s="2029"/>
    </row>
    <row r="74" spans="1:22" ht="24.75">
      <c r="A74" s="3673" t="s">
        <v>414</v>
      </c>
      <c r="B74" s="3674"/>
      <c r="C74" s="3674"/>
      <c r="D74" s="362">
        <f ca="1">IF(H74="个人住宅",D75,D76)</f>
        <v>49435</v>
      </c>
      <c r="E74" s="17" t="s">
        <v>415</v>
      </c>
      <c r="F74" s="360" t="str">
        <f>IF(H74="正常",F76,"免征")</f>
        <v>——</v>
      </c>
      <c r="G74" s="983" t="s">
        <v>416</v>
      </c>
      <c r="H74" s="363" t="s">
        <v>412</v>
      </c>
      <c r="I74" s="42"/>
      <c r="J74" s="2036"/>
      <c r="K74" s="1977">
        <v>3</v>
      </c>
      <c r="L74" s="3647" t="s">
        <v>413</v>
      </c>
      <c r="M74" s="3647"/>
      <c r="N74" s="1296">
        <f t="shared" ca="1" si="1"/>
        <v>49435</v>
      </c>
      <c r="O74" s="1860" t="str">
        <f t="shared" si="1"/>
        <v>增值额×税（费）率</v>
      </c>
      <c r="P74" s="1299" t="str">
        <f t="shared" si="1"/>
        <v>——</v>
      </c>
      <c r="Q74" s="2029"/>
      <c r="R74" s="2029"/>
      <c r="S74" s="2029"/>
      <c r="T74" s="2029"/>
      <c r="U74" s="2029"/>
      <c r="V74" s="2029"/>
    </row>
    <row r="75" spans="1:22" ht="24">
      <c r="A75" s="359" t="s">
        <v>417</v>
      </c>
      <c r="B75" s="3654" t="s">
        <v>418</v>
      </c>
      <c r="C75" s="3655"/>
      <c r="D75" s="364">
        <v>0</v>
      </c>
      <c r="E75" s="41" t="s">
        <v>419</v>
      </c>
      <c r="F75" s="365"/>
      <c r="G75" s="361"/>
      <c r="H75" s="42"/>
      <c r="I75" s="42"/>
      <c r="J75" s="2036"/>
      <c r="K75" s="3078">
        <f>IF(H77="非个人房产","",4)</f>
        <v>4</v>
      </c>
      <c r="L75" s="3647" t="str">
        <f>IF(H77="非个人房产","——","个人所得税")</f>
        <v>个人所得税</v>
      </c>
      <c r="M75" s="3647"/>
      <c r="N75" s="1300">
        <f ca="1">D77</f>
        <v>885</v>
      </c>
      <c r="O75" s="1873" t="str">
        <f>E77</f>
        <v>销售额×税（费）率</v>
      </c>
      <c r="P75" s="1301">
        <f>F77</f>
        <v>0.01</v>
      </c>
      <c r="Q75" s="2029"/>
      <c r="R75" s="2029"/>
      <c r="S75" s="2029"/>
      <c r="T75" s="2029"/>
      <c r="U75" s="2029"/>
      <c r="V75" s="2029"/>
    </row>
    <row r="76" spans="1:22" ht="24.75">
      <c r="A76" s="359" t="s">
        <v>395</v>
      </c>
      <c r="B76" s="3654" t="s">
        <v>421</v>
      </c>
      <c r="C76" s="3696"/>
      <c r="D76" s="362">
        <f ca="1">IF(H76="转让取得",C99,C115)</f>
        <v>49435</v>
      </c>
      <c r="E76" s="17" t="s">
        <v>422</v>
      </c>
      <c r="F76" s="53" t="s">
        <v>21</v>
      </c>
      <c r="G76" s="361"/>
      <c r="H76" s="363" t="s">
        <v>423</v>
      </c>
      <c r="I76" s="42"/>
      <c r="J76" s="2036"/>
      <c r="K76" s="3078" t="str">
        <f>IF(项目基本情况!K6="上海银行",IF(K75="",4,K75+1),"")</f>
        <v/>
      </c>
      <c r="L76" s="3635" t="str">
        <f>IF(项目基本情况!K6="上海银行","其他处置费用","")</f>
        <v/>
      </c>
      <c r="M76" s="3636"/>
      <c r="N76" s="1296" t="str">
        <f>IF(项目基本情况!K6="上海银行",N89,"")</f>
        <v/>
      </c>
      <c r="O76" s="3637" t="str">
        <f>IF(项目基本情况!K6="上海银行","包含处置中涉及的律师、诉讼、拍卖、评估等费用","")</f>
        <v/>
      </c>
      <c r="P76" s="3638"/>
      <c r="Q76" s="2029"/>
      <c r="R76" s="2029"/>
      <c r="S76" s="2029"/>
      <c r="T76" s="2029"/>
      <c r="U76" s="2029"/>
      <c r="V76" s="2029"/>
    </row>
    <row r="77" spans="1:22" ht="26.25" thickBot="1">
      <c r="A77" s="3665" t="s">
        <v>425</v>
      </c>
      <c r="B77" s="3666"/>
      <c r="C77" s="3666"/>
      <c r="D77" s="366">
        <f ca="1">IF(H77="非个人房产","——",IF(H77="个人住宅",0,ROUND(D63*I77,0)))</f>
        <v>885</v>
      </c>
      <c r="E77" s="367" t="str">
        <f>IF(H77="非个人房产","——","销售额×税（费）率")</f>
        <v>销售额×税（费）率</v>
      </c>
      <c r="F77" s="368">
        <f>IF(H77="非个人房产","——",IF(H77="个人住宅","免征",I77))</f>
        <v>0.01</v>
      </c>
      <c r="G77" s="984" t="s">
        <v>416</v>
      </c>
      <c r="H77" s="363" t="s">
        <v>2885</v>
      </c>
      <c r="I77" s="369">
        <v>0.01</v>
      </c>
      <c r="J77" s="2036"/>
      <c r="K77" s="3661">
        <f>IF(AND(K75="",K76=""),4,IF(项目基本情况!K6="上海银行",K76+1,K75+1))</f>
        <v>5</v>
      </c>
      <c r="L77" s="3647" t="s">
        <v>2886</v>
      </c>
      <c r="M77" s="3084" t="s">
        <v>420</v>
      </c>
      <c r="N77" s="1302"/>
      <c r="O77" s="1303">
        <f ca="1">SUMIF(N72:N76,"&lt;9e307")</f>
        <v>55040</v>
      </c>
      <c r="P77" s="1304"/>
      <c r="Q77" s="3082" t="e">
        <f ca="1">O77/N69</f>
        <v>#VALUE!</v>
      </c>
      <c r="R77" s="2029"/>
      <c r="S77" s="2029"/>
      <c r="T77" s="2029"/>
      <c r="U77" s="2029"/>
      <c r="V77" s="2029"/>
    </row>
    <row r="78" spans="1:22" ht="12" customHeight="1">
      <c r="A78" s="1305"/>
      <c r="B78" s="311"/>
      <c r="C78" s="311"/>
      <c r="D78" s="311"/>
      <c r="E78" s="42"/>
      <c r="F78" s="42"/>
      <c r="G78" s="42"/>
      <c r="H78" s="1003"/>
      <c r="I78" s="311"/>
      <c r="J78" s="2036"/>
      <c r="K78" s="3661"/>
      <c r="L78" s="3647"/>
      <c r="M78" s="3084" t="s">
        <v>424</v>
      </c>
      <c r="N78" s="1302"/>
      <c r="O78" s="1303" t="str">
        <f ca="1">NUMBERSTRING(INT(O77*10000),2)&amp;"元整"</f>
        <v>伍亿伍仟零肆拾万元整</v>
      </c>
      <c r="P78" s="1304"/>
      <c r="Q78" s="2029"/>
      <c r="R78" s="2029"/>
      <c r="S78" s="2029"/>
      <c r="T78" s="2029"/>
      <c r="U78" s="2029"/>
      <c r="V78" s="2029"/>
    </row>
    <row r="79" spans="1:22" ht="13.5" thickBot="1">
      <c r="A79" s="3651" t="s">
        <v>426</v>
      </c>
      <c r="B79" s="3651"/>
      <c r="C79" s="3651"/>
      <c r="D79" s="3651"/>
      <c r="E79" s="3651"/>
      <c r="F79" s="42"/>
      <c r="G79" s="42"/>
      <c r="H79" s="1003"/>
      <c r="I79" s="311"/>
      <c r="J79" s="2036"/>
      <c r="K79" s="3645">
        <f>K77+1</f>
        <v>6</v>
      </c>
      <c r="L79" s="3647" t="s">
        <v>2887</v>
      </c>
      <c r="M79" s="3084" t="s">
        <v>420</v>
      </c>
      <c r="N79" s="1302"/>
      <c r="O79" s="1303" t="e">
        <f ca="1">N69-O77</f>
        <v>#VALUE!</v>
      </c>
      <c r="P79" s="1304"/>
      <c r="Q79" s="2029"/>
      <c r="R79" s="2029"/>
      <c r="S79" s="2029"/>
      <c r="T79" s="2029"/>
      <c r="U79" s="2029"/>
      <c r="V79" s="2029"/>
    </row>
    <row r="80" spans="1:22" ht="12.75">
      <c r="A80" s="3652" t="s">
        <v>427</v>
      </c>
      <c r="B80" s="3653"/>
      <c r="C80" s="994"/>
      <c r="D80" s="994" t="s">
        <v>428</v>
      </c>
      <c r="E80" s="370" t="s">
        <v>429</v>
      </c>
      <c r="F80" s="42"/>
      <c r="G80" s="42"/>
      <c r="H80" s="1003"/>
      <c r="I80" s="311"/>
      <c r="J80" s="2029"/>
      <c r="K80" s="3646"/>
      <c r="L80" s="3647"/>
      <c r="M80" s="3084" t="s">
        <v>424</v>
      </c>
      <c r="N80" s="1302"/>
      <c r="O80" s="1303" t="e">
        <f ca="1">NUMBERSTRING(INT(O79*10000),2)&amp;"元整"</f>
        <v>#VALUE!</v>
      </c>
      <c r="P80" s="1304"/>
      <c r="Q80" s="2029"/>
      <c r="R80" s="2029"/>
      <c r="S80" s="2029"/>
      <c r="T80" s="2029"/>
      <c r="U80" s="2029"/>
      <c r="V80" s="2029"/>
    </row>
    <row r="81" spans="1:26" ht="13.5" thickBot="1">
      <c r="A81" s="381" t="s">
        <v>1823</v>
      </c>
      <c r="B81" s="371" t="s">
        <v>430</v>
      </c>
      <c r="C81" s="372">
        <f ca="1">ROUND((C82+C83)/(1+'数据-取费表'!C42),0)</f>
        <v>84285</v>
      </c>
      <c r="D81" s="373"/>
      <c r="E81" s="374"/>
      <c r="F81" s="42"/>
      <c r="G81" s="42"/>
      <c r="H81" s="1003"/>
      <c r="I81" s="311"/>
      <c r="J81" s="2029"/>
      <c r="K81" s="3078">
        <f>K79+1</f>
        <v>7</v>
      </c>
      <c r="L81" s="3659" t="s">
        <v>2888</v>
      </c>
      <c r="M81" s="3660"/>
      <c r="N81" s="1306"/>
      <c r="O81" s="1307" t="e">
        <f ca="1">ROUND(O79*10000/'数据-汇总表'!E3,0)</f>
        <v>#VALUE!</v>
      </c>
      <c r="P81" s="1308"/>
      <c r="Q81" s="2029"/>
      <c r="R81" s="2029"/>
      <c r="S81" s="2029"/>
      <c r="T81" s="2029"/>
      <c r="U81" s="2029"/>
      <c r="V81" s="2029"/>
    </row>
    <row r="82" spans="1:26" ht="13.5" thickTop="1">
      <c r="A82" s="375" t="s">
        <v>1824</v>
      </c>
      <c r="B82" s="376" t="s">
        <v>431</v>
      </c>
      <c r="C82" s="377">
        <f ca="1">D63</f>
        <v>88499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634" t="s">
        <v>2875</v>
      </c>
      <c r="L83" s="3090" t="s">
        <v>2876</v>
      </c>
      <c r="M83" s="3080" t="e">
        <f>IF(N69&gt;10000,N69*0.5%,IF(AND(N69&gt;1000,N69&lt;=10000),N69*1%,IF(AND(N69&gt;100,N69&lt;=1000),N69*3%,IF(AND(N69&gt;10,N69&lt;=100),N69*5%,N69*8%))))</f>
        <v>#VALUE!</v>
      </c>
      <c r="N83" s="53" t="e">
        <f>ROUND(M83,1)</f>
        <v>#VALUE!</v>
      </c>
      <c r="O83" s="3083"/>
      <c r="P83" s="2029"/>
      <c r="Q83" s="2029"/>
      <c r="R83" s="2029"/>
      <c r="S83" s="2029"/>
      <c r="T83" s="2029"/>
      <c r="U83" s="2029"/>
      <c r="V83" s="2029"/>
    </row>
    <row r="84" spans="1:26" ht="12.75">
      <c r="A84" s="381" t="s">
        <v>1826</v>
      </c>
      <c r="B84" s="382" t="s">
        <v>433</v>
      </c>
      <c r="C84" s="383">
        <v>2000</v>
      </c>
      <c r="D84" s="384" t="s">
        <v>19</v>
      </c>
      <c r="E84" s="3122" t="s">
        <v>2940</v>
      </c>
      <c r="F84" s="42"/>
      <c r="G84" s="42"/>
      <c r="H84" s="1003"/>
      <c r="I84" s="311"/>
      <c r="J84" s="2029"/>
      <c r="K84" s="3634"/>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1827</v>
      </c>
      <c r="B85" s="382" t="s">
        <v>434</v>
      </c>
      <c r="C85" s="385">
        <f ca="1">C81-C84</f>
        <v>82285</v>
      </c>
      <c r="D85" s="378" t="s">
        <v>19</v>
      </c>
      <c r="E85" s="379"/>
      <c r="F85" s="42"/>
      <c r="G85" s="42"/>
      <c r="H85" s="1003"/>
      <c r="I85" s="311"/>
      <c r="J85" s="2029"/>
      <c r="K85" s="3634"/>
      <c r="L85" s="3090" t="s">
        <v>2879</v>
      </c>
      <c r="M85" s="3080"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1828</v>
      </c>
      <c r="B86" s="387" t="s">
        <v>435</v>
      </c>
      <c r="C86" s="388">
        <f ca="1">IF(C85&lt;=0,0,ROUND(C85*D86,0))</f>
        <v>4608</v>
      </c>
      <c r="D86" s="389">
        <f>'数据-取费表'!B41</f>
        <v>5.6000000000000001E-2</v>
      </c>
      <c r="E86" s="390"/>
      <c r="F86" s="42"/>
      <c r="G86" s="42"/>
      <c r="H86" s="1003"/>
      <c r="I86" s="311"/>
      <c r="J86" s="2029"/>
      <c r="K86" s="3634"/>
      <c r="L86" s="3090" t="s">
        <v>2880</v>
      </c>
      <c r="M86" s="3080"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34"/>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9"/>
      <c r="R87" s="2029"/>
      <c r="S87" s="2029"/>
      <c r="T87" s="2029"/>
      <c r="U87" s="2029"/>
      <c r="V87" s="2029"/>
      <c r="W87" s="292"/>
      <c r="X87" s="292"/>
      <c r="Y87" s="292"/>
      <c r="Z87" s="292"/>
    </row>
    <row r="88" spans="1:26" s="1314" customFormat="1" ht="15" thickBot="1">
      <c r="A88" s="3688" t="s">
        <v>436</v>
      </c>
      <c r="B88" s="3689"/>
      <c r="C88" s="3689"/>
      <c r="D88" s="3689"/>
      <c r="E88" s="3689"/>
      <c r="F88" s="3689"/>
      <c r="G88" s="3689"/>
      <c r="H88" s="3689"/>
      <c r="I88" s="1315"/>
      <c r="J88" s="2037"/>
      <c r="K88" s="3634"/>
      <c r="L88" s="3090" t="s">
        <v>2883</v>
      </c>
      <c r="M88" s="3080" t="e">
        <f>IF(N69&gt;10000,N69*0.5%,IF(AND(N69&gt;5000,N69&lt;=10000),N69*1%,IF(AND(N69&gt;1000,N69&lt;=5000),N69*2%,IF(AND(N69&gt;200,N69&lt;=1000),N69*3%,N69*5%))))</f>
        <v>#VALUE!</v>
      </c>
      <c r="N88" s="53" t="e">
        <f>ROUND(M88,1)</f>
        <v>#VALUE!</v>
      </c>
      <c r="O88" s="3083"/>
      <c r="P88" s="11"/>
      <c r="Q88" s="2034"/>
      <c r="R88" s="2034"/>
      <c r="S88" s="2034"/>
      <c r="T88" s="2034"/>
      <c r="U88" s="2034"/>
      <c r="V88" s="2034"/>
      <c r="W88" s="2038"/>
      <c r="X88" s="2038"/>
      <c r="Y88" s="2038"/>
      <c r="Z88" s="2038"/>
    </row>
    <row r="89" spans="1:26" s="1314" customFormat="1" ht="14.25">
      <c r="A89" s="3652" t="s">
        <v>427</v>
      </c>
      <c r="B89" s="3653"/>
      <c r="C89" s="994"/>
      <c r="D89" s="994" t="s">
        <v>428</v>
      </c>
      <c r="E89" s="391" t="s">
        <v>437</v>
      </c>
      <c r="F89" s="392"/>
      <c r="G89" s="392"/>
      <c r="H89" s="393"/>
      <c r="I89" s="1316"/>
      <c r="J89" s="2039"/>
      <c r="K89" s="3634"/>
      <c r="L89" s="3090" t="s">
        <v>27</v>
      </c>
      <c r="M89" s="3081"/>
      <c r="N89" s="53" t="e">
        <f>ROUND(SUM(N83:N88),0)</f>
        <v>#VALUE!</v>
      </c>
      <c r="O89" s="3091" t="e">
        <f>N89/N69</f>
        <v>#VALUE!</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84285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3067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685" t="s">
        <v>446</v>
      </c>
      <c r="F94" s="3686"/>
      <c r="G94" s="3686"/>
      <c r="H94" s="368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506</v>
      </c>
      <c r="D96" s="406">
        <f>'数据-取费表'!B43</f>
        <v>6.000000000000001E-3</v>
      </c>
      <c r="E96" s="3675" t="s">
        <v>2431</v>
      </c>
      <c r="F96" s="3676"/>
      <c r="G96" s="3676"/>
      <c r="H96" s="367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450</v>
      </c>
      <c r="C97" s="385">
        <f ca="1">C90-C91</f>
        <v>81218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26.481252037821974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452</v>
      </c>
      <c r="C99" s="408">
        <f ca="1">ROUND(IF(C97&lt;=0,0,IF(C98&gt;=200%,C97*60%-C91*35%,IF(C98&gt;=100%,C97*50%-C91*15%,IF(C98&gt;=50%,C97*40%-C91*5%,IF(C98&lt;50%,C97*30%,0))))),0)</f>
        <v>47657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88" t="s">
        <v>453</v>
      </c>
      <c r="B101" s="3689"/>
      <c r="C101" s="3689"/>
      <c r="D101" s="3689"/>
      <c r="E101" s="3689"/>
      <c r="F101" s="3689"/>
      <c r="G101" s="3689"/>
      <c r="H101" s="368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52" t="s">
        <v>427</v>
      </c>
      <c r="B102" s="3653"/>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84285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1196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678" t="s">
        <v>461</v>
      </c>
      <c r="F109" s="3676"/>
      <c r="G109" s="3676"/>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678" t="s">
        <v>463</v>
      </c>
      <c r="F110" s="3676"/>
      <c r="G110" s="3676"/>
      <c r="H110" s="367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506</v>
      </c>
      <c r="D111" s="406">
        <f>'数据-取费表'!B43</f>
        <v>6.000000000000001E-3</v>
      </c>
      <c r="E111" s="3675" t="s">
        <v>2431</v>
      </c>
      <c r="F111" s="3676"/>
      <c r="G111" s="3676"/>
      <c r="H111" s="367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678" t="s">
        <v>2456</v>
      </c>
      <c r="F112" s="3676"/>
      <c r="G112" s="3676"/>
      <c r="H112" s="367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450</v>
      </c>
      <c r="C113" s="385">
        <f ca="1">ROUND(C103-C104,0)</f>
        <v>83089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69.472408026755858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452</v>
      </c>
      <c r="C115" s="408">
        <f ca="1">ROUND(IF(C113&lt;=0,0,IF(C114&gt;=200%,C113*60%-C104*35%,IF(C114&gt;=100%,C113*50%-C104*15%,IF(C114&gt;=50%,C113*40%-C104*5%,IF(C114&lt;50%,C113*30%,0))))),0)</f>
        <v>49435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3"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13</v>
      </c>
    </row>
    <row r="2" spans="1:31" s="2042" customFormat="1" ht="18" customHeight="1">
      <c r="A2" s="2102" t="s">
        <v>466</v>
      </c>
      <c r="B2" s="2106">
        <f ca="1">C36</f>
        <v>-2381</v>
      </c>
      <c r="C2" s="2105"/>
      <c r="D2" s="2105"/>
      <c r="E2" s="2105"/>
      <c r="F2" s="2105"/>
      <c r="G2" s="2105"/>
      <c r="H2" s="2105"/>
      <c r="I2" s="2105"/>
      <c r="J2" s="2105"/>
      <c r="K2" s="2105"/>
    </row>
    <row r="3" spans="1:31" s="2042" customFormat="1" ht="18" customHeight="1">
      <c r="A3" s="2107" t="s">
        <v>1684</v>
      </c>
      <c r="B3" s="2108">
        <f ca="1">ROUND(B2*10000/IF(B1="",'数据-汇总表'!E3,INDIRECT("'数据-取费表'!K"&amp;$K$1)),0)</f>
        <v>-394</v>
      </c>
      <c r="C3" s="2105"/>
      <c r="D3" s="2105"/>
      <c r="E3" s="2105"/>
      <c r="F3" s="2105"/>
      <c r="G3" s="2105"/>
      <c r="H3" s="2105"/>
      <c r="I3" s="2105"/>
      <c r="J3" s="2105"/>
      <c r="K3" s="2105"/>
    </row>
    <row r="4" spans="1:31" s="2042" customFormat="1" ht="18" customHeight="1">
      <c r="A4" s="426" t="s">
        <v>467</v>
      </c>
      <c r="B4" s="427">
        <f ca="1">ROUND(B2*10000/IF(B1="",'数据-汇总表'!D3,INDIRECT("'数据-取费表'!R"&amp;$K$1)),0)</f>
        <v>-131</v>
      </c>
      <c r="C4" s="428"/>
      <c r="D4" s="422"/>
      <c r="E4" s="422"/>
      <c r="F4" s="422"/>
      <c r="G4" s="422"/>
      <c r="H4" s="422"/>
      <c r="I4" s="422"/>
      <c r="J4" s="422"/>
      <c r="K4" s="422"/>
    </row>
    <row r="5" spans="1:31" s="2042" customFormat="1" ht="18" customHeight="1" thickBot="1">
      <c r="A5" s="429"/>
      <c r="B5" s="430">
        <f ca="1">ROUND(B2/(IF(B1="",'数据-汇总表'!D3,INDIRECT("'数据-取费表'!R"&amp;$K$1))/666.67),0)</f>
        <v>-9</v>
      </c>
      <c r="C5" s="431" t="s">
        <v>468</v>
      </c>
      <c r="D5" s="422"/>
      <c r="E5" s="422"/>
      <c r="F5" s="422"/>
      <c r="G5" s="422"/>
      <c r="H5" s="422"/>
      <c r="I5" s="422"/>
      <c r="J5" s="422"/>
      <c r="K5" s="422"/>
    </row>
    <row r="6" spans="1:31" s="2112" customFormat="1" ht="16.5" customHeight="1">
      <c r="A6" s="2853" t="s">
        <v>1842</v>
      </c>
      <c r="B6" s="2854"/>
      <c r="C6" s="2855">
        <f>SUM(C10:K10)</f>
        <v>0</v>
      </c>
      <c r="D6" s="2854"/>
      <c r="E6" s="2854"/>
      <c r="F6" s="2854"/>
      <c r="G6" s="2854"/>
      <c r="H6" s="2854"/>
      <c r="I6" s="2854"/>
      <c r="J6" s="2854"/>
      <c r="K6" s="2856"/>
    </row>
    <row r="7" spans="1:31" s="2114" customFormat="1" ht="15">
      <c r="A7" s="2857" t="s">
        <v>469</v>
      </c>
      <c r="B7" s="2858"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3"/>
      <c r="D10" s="3053"/>
      <c r="E10" s="3053"/>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0</v>
      </c>
      <c r="D13" s="2869"/>
      <c r="E13" s="2870"/>
      <c r="F13" s="2871"/>
      <c r="G13" s="2837"/>
      <c r="H13" s="2838"/>
      <c r="I13" s="2838"/>
      <c r="J13" s="2838"/>
      <c r="K13" s="2839"/>
    </row>
    <row r="14" spans="1:31" s="2117" customFormat="1" ht="13.5" customHeight="1">
      <c r="A14" s="2867" t="s">
        <v>1849</v>
      </c>
      <c r="B14" s="2868" t="s">
        <v>479</v>
      </c>
      <c r="C14" s="53">
        <f ca="1">ROUND(C13*F14,0)</f>
        <v>0</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v>
      </c>
      <c r="G15" s="2837" t="s">
        <v>482</v>
      </c>
      <c r="H15" s="2838"/>
      <c r="I15" s="2838"/>
      <c r="J15" s="2838"/>
      <c r="K15" s="2839"/>
    </row>
    <row r="16" spans="1:31" s="2118" customFormat="1" ht="13.5" customHeight="1">
      <c r="A16" s="2867" t="s">
        <v>1851</v>
      </c>
      <c r="B16" s="2868" t="s">
        <v>483</v>
      </c>
      <c r="C16" s="53">
        <f ca="1">ROUND(D16*E16/10000,0)</f>
        <v>1209</v>
      </c>
      <c r="D16" s="2869">
        <f ca="1">IF(B1="",'数据-汇总表'!E3,INDIRECT("'数据-取费表'!K"&amp;$K$1)+INDIRECT("'数据-取费表'!S"&amp;$K$1))</f>
        <v>60473.499999999985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0</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1209</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60473.499999999985</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1193</v>
      </c>
      <c r="D20" s="2879"/>
      <c r="E20" s="2833"/>
      <c r="F20" s="2880"/>
      <c r="G20" s="3110"/>
      <c r="H20" s="2835"/>
      <c r="I20" s="2836" t="s">
        <v>2654</v>
      </c>
      <c r="J20" s="2842"/>
      <c r="K20" s="2843"/>
    </row>
    <row r="21" spans="1:14" s="2117" customFormat="1" ht="13.5" customHeight="1">
      <c r="A21" s="2867" t="s">
        <v>1856</v>
      </c>
      <c r="B21" s="2868" t="s">
        <v>490</v>
      </c>
      <c r="C21" s="53">
        <f ca="1">ROUND(D21*E21/10000,0)</f>
        <v>66</v>
      </c>
      <c r="D21" s="2869">
        <f ca="1">IF(B1="",'数据-汇总表'!E5,IF(INDIRECT("'数据-取费表'!c"&amp;$K$1)="住宅",INDIRECT("'数据-取费表'!k"&amp;$K$1),0))</f>
        <v>4101</v>
      </c>
      <c r="E21" s="53">
        <f>'数据-取费表'!B27</f>
        <v>160</v>
      </c>
      <c r="F21" s="2872"/>
      <c r="G21" s="26"/>
      <c r="H21" s="51"/>
      <c r="I21" s="51"/>
      <c r="J21" s="51"/>
      <c r="K21" s="2844"/>
    </row>
    <row r="22" spans="1:14" s="2117" customFormat="1" ht="13.5" customHeight="1">
      <c r="A22" s="2867" t="s">
        <v>1857</v>
      </c>
      <c r="B22" s="2868" t="s">
        <v>491</v>
      </c>
      <c r="C22" s="53">
        <f ca="1">ROUND(D22*E22/10000,0)</f>
        <v>1127</v>
      </c>
      <c r="D22" s="2869">
        <f ca="1">IF(B1="",'数据-汇总表'!E6,IF(INDIRECT("'数据-取费表'!c"&amp;$K$1)="住宅",INDIRECT("'数据-取费表'!s"&amp;$K$1),INDIRECT("'数据-取费表'!k"&amp;$K$1)+INDIRECT("'数据-取费表'!s"&amp;$K$1)))</f>
        <v>56372.499999999985</v>
      </c>
      <c r="E22" s="53">
        <f>'数据-取费表'!B28</f>
        <v>200</v>
      </c>
      <c r="F22" s="2872"/>
      <c r="G22" s="26"/>
      <c r="H22" s="51"/>
      <c r="I22" s="51"/>
      <c r="J22" s="51"/>
      <c r="K22" s="2844"/>
    </row>
    <row r="23" spans="1:14" s="2117" customFormat="1" ht="13.5" customHeight="1">
      <c r="A23" s="2875" t="s">
        <v>1858</v>
      </c>
      <c r="B23" s="3059" t="s">
        <v>2835</v>
      </c>
      <c r="C23" s="2877">
        <f ca="1">ROUND((C18+C19+C20)*F23,0)</f>
        <v>48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59" t="s">
        <v>2838</v>
      </c>
      <c r="C24" s="2877">
        <f>ROUND(C6*F24,0)</f>
        <v>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9" t="s">
        <v>2836</v>
      </c>
      <c r="C25" s="467">
        <f>ROUND(F25/(1+'数据-取费表'!C42),4)</f>
        <v>2.9000000000000001E-2</v>
      </c>
      <c r="D25" s="462" t="s">
        <v>2830</v>
      </c>
      <c r="E25" s="469"/>
      <c r="F25" s="2881">
        <f>'数据-取费表'!B48+'数据-取费表'!B49</f>
        <v>3.0499999999999999E-2</v>
      </c>
      <c r="G25" s="2845" t="s">
        <v>2291</v>
      </c>
      <c r="H25" s="2838"/>
      <c r="I25" s="2838"/>
      <c r="J25" s="2838"/>
      <c r="K25" s="2839"/>
    </row>
    <row r="26" spans="1:14" s="2119" customFormat="1" ht="13.5" customHeight="1">
      <c r="A26" s="2875" t="s">
        <v>1861</v>
      </c>
      <c r="B26" s="3060" t="s">
        <v>2837</v>
      </c>
      <c r="C26" s="2882">
        <f ca="1">C28</f>
        <v>0</v>
      </c>
      <c r="D26" s="467">
        <f ca="1">C27</f>
        <v>0</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2839</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0</v>
      </c>
      <c r="D29" s="468"/>
      <c r="E29" s="468"/>
      <c r="F29" s="3061">
        <f>'数据-取费表'!B41</f>
        <v>5.6000000000000001E-2</v>
      </c>
      <c r="G29" s="2846" t="s">
        <v>497</v>
      </c>
      <c r="H29" s="2838"/>
      <c r="I29" s="2838"/>
      <c r="J29" s="2838"/>
      <c r="K29" s="2839"/>
    </row>
    <row r="30" spans="1:14" s="2122" customFormat="1" ht="13.5" customHeight="1">
      <c r="A30" s="1635" t="s">
        <v>1863</v>
      </c>
      <c r="B30" s="2887" t="s">
        <v>499</v>
      </c>
      <c r="C30" s="2882">
        <f ca="1">C31</f>
        <v>2450</v>
      </c>
      <c r="D30" s="477">
        <f ca="1">C32</f>
        <v>2.9000000000000001E-2</v>
      </c>
      <c r="E30" s="469" t="s">
        <v>494</v>
      </c>
      <c r="F30" s="471"/>
      <c r="G30" s="2845" t="s">
        <v>2973</v>
      </c>
      <c r="H30" s="2838"/>
      <c r="I30" s="2838"/>
      <c r="J30" s="2838"/>
      <c r="K30" s="2839"/>
    </row>
    <row r="31" spans="1:14" s="2121" customFormat="1" ht="13.5" customHeight="1">
      <c r="A31" s="803" t="s">
        <v>1856</v>
      </c>
      <c r="B31" s="2883"/>
      <c r="C31" s="450">
        <f ca="1">C18+C19+C20+C23+C24+C26+C29</f>
        <v>2450</v>
      </c>
      <c r="D31" s="472"/>
      <c r="E31" s="473"/>
      <c r="F31" s="474"/>
      <c r="G31" s="261"/>
      <c r="H31" s="2840"/>
      <c r="I31" s="2840"/>
      <c r="J31" s="2840"/>
      <c r="K31" s="279"/>
    </row>
    <row r="32" spans="1:14" s="2121" customFormat="1" ht="13.5" customHeight="1">
      <c r="A32" s="803" t="s">
        <v>1857</v>
      </c>
      <c r="B32" s="2883"/>
      <c r="C32" s="53">
        <f ca="1">ROUND(C25+D26,4)</f>
        <v>2.9000000000000001E-2</v>
      </c>
      <c r="D32" s="472"/>
      <c r="E32" s="473"/>
      <c r="F32" s="474"/>
      <c r="G32" s="261"/>
      <c r="H32" s="2840"/>
      <c r="I32" s="2840"/>
      <c r="J32" s="2840"/>
      <c r="K32" s="279"/>
    </row>
    <row r="33" spans="1:11" s="2123" customFormat="1" ht="13.5" customHeight="1">
      <c r="A33" s="3058" t="s">
        <v>2834</v>
      </c>
      <c r="B33" s="3056" t="s">
        <v>2832</v>
      </c>
      <c r="C33" s="478">
        <f ca="1">C35</f>
        <v>343</v>
      </c>
      <c r="D33" s="467">
        <f ca="1">C34</f>
        <v>0.14410000000000001</v>
      </c>
      <c r="E33" s="469" t="s">
        <v>494</v>
      </c>
      <c r="F33" s="479">
        <f ca="1">IF(B1="",'数据-取费表'!Q16,INDIRECT("'数据-取费表'!q"&amp;$K$1))</f>
        <v>0.14000000000000001</v>
      </c>
      <c r="G33" s="2841"/>
      <c r="H33" s="2842"/>
      <c r="I33" s="2842"/>
      <c r="J33" s="2842"/>
      <c r="K33" s="2843"/>
    </row>
    <row r="34" spans="1:11" s="2124" customFormat="1" ht="13.5" customHeight="1">
      <c r="A34" s="375" t="s">
        <v>1856</v>
      </c>
      <c r="B34" s="2888" t="s">
        <v>500</v>
      </c>
      <c r="C34" s="472">
        <f ca="1">ROUND((1+C25)*F33,4)</f>
        <v>0.14410000000000001</v>
      </c>
      <c r="D34" s="472"/>
      <c r="E34" s="473"/>
      <c r="F34" s="480"/>
      <c r="G34" s="261" t="s">
        <v>2292</v>
      </c>
      <c r="H34" s="2840"/>
      <c r="I34" s="2840"/>
      <c r="J34" s="2840"/>
      <c r="K34" s="279"/>
    </row>
    <row r="35" spans="1:11" s="2124" customFormat="1" ht="13.5" customHeight="1" thickBot="1">
      <c r="A35" s="1636" t="s">
        <v>1857</v>
      </c>
      <c r="B35" s="3057" t="s">
        <v>2840</v>
      </c>
      <c r="C35" s="1628">
        <f ca="1">ROUND((C18+C19+C20+C23+C24)*F33,0)</f>
        <v>343</v>
      </c>
      <c r="D35" s="1629"/>
      <c r="E35" s="2889"/>
      <c r="F35" s="1630"/>
      <c r="G35" s="2847"/>
      <c r="H35" s="2848"/>
      <c r="I35" s="2848"/>
      <c r="J35" s="2848"/>
      <c r="K35" s="2849"/>
    </row>
    <row r="36" spans="1:11" s="2086" customFormat="1" ht="13.5" customHeight="1" thickBot="1">
      <c r="A36" s="284" t="s">
        <v>1844</v>
      </c>
      <c r="B36" s="2851"/>
      <c r="C36" s="2890">
        <f ca="1">ROUND((C6-C30-C33)/(1+D30+D33),0)</f>
        <v>-2381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13</v>
      </c>
    </row>
    <row r="2" spans="1:41" s="2042" customFormat="1" ht="18" customHeight="1">
      <c r="A2" s="423" t="s">
        <v>466</v>
      </c>
      <c r="B2" s="424">
        <f ca="1">C32</f>
        <v>43822.160933629559</v>
      </c>
      <c r="C2" s="2105"/>
      <c r="D2" s="2105"/>
      <c r="E2" s="2105"/>
      <c r="F2" s="2105"/>
      <c r="G2" s="2105"/>
      <c r="H2" s="2105"/>
      <c r="I2" s="2105"/>
      <c r="J2" s="2105"/>
      <c r="K2" s="2105"/>
    </row>
    <row r="3" spans="1:41" s="2042" customFormat="1" ht="18" customHeight="1">
      <c r="A3" s="1379" t="s">
        <v>1684</v>
      </c>
      <c r="B3" s="425">
        <f ca="1">ROUND(B2*10000/IF(B1="",'数据-汇总表'!E3,INDIRECT("'数据-取费表'!K"&amp;$K$1)),0)</f>
        <v>7247</v>
      </c>
      <c r="C3" s="2105"/>
      <c r="D3" s="2105"/>
      <c r="E3" s="2105"/>
      <c r="F3" s="2105"/>
      <c r="G3" s="2105"/>
      <c r="H3" s="2105"/>
      <c r="I3" s="2105"/>
      <c r="J3" s="2105"/>
      <c r="K3" s="2105"/>
    </row>
    <row r="4" spans="1:41" s="2042" customFormat="1" ht="18" customHeight="1">
      <c r="A4" s="426" t="s">
        <v>467</v>
      </c>
      <c r="B4" s="427">
        <f ca="1">ROUND(B2*10000/IF(B1="",'数据-汇总表'!D3,INDIRECT("'数据-取费表'!R"&amp;$K$1)),0)</f>
        <v>2406</v>
      </c>
      <c r="C4" s="2062"/>
      <c r="D4" s="2105"/>
      <c r="E4" s="2105"/>
      <c r="F4" s="2105"/>
      <c r="G4" s="2105"/>
      <c r="H4" s="2105"/>
      <c r="I4" s="2105"/>
      <c r="J4" s="2105"/>
      <c r="K4" s="2105"/>
    </row>
    <row r="5" spans="1:41" s="2042" customFormat="1" ht="18" customHeight="1" thickBot="1">
      <c r="A5" s="429"/>
      <c r="B5" s="430">
        <f ca="1">ROUND(B2/(IF(B1="",'数据-汇总表'!D3,INDIRECT("'数据-取费表'!R"&amp;$K$1))/666.67),0)</f>
        <v>160</v>
      </c>
      <c r="C5" s="431" t="s">
        <v>468</v>
      </c>
      <c r="D5" s="2105"/>
      <c r="E5" s="2105"/>
      <c r="F5" s="2105"/>
      <c r="G5" s="2105"/>
      <c r="H5" s="2105"/>
      <c r="I5" s="2105"/>
      <c r="J5" s="2105"/>
      <c r="K5" s="2105"/>
    </row>
    <row r="6" spans="1:41" s="2112" customFormat="1" ht="16.5" customHeight="1">
      <c r="A6" s="432" t="s">
        <v>2655</v>
      </c>
      <c r="B6" s="433"/>
      <c r="C6" s="1623">
        <f ca="1">SUM(C10:K10)</f>
        <v>65186</v>
      </c>
      <c r="D6" s="2110"/>
      <c r="E6" s="2110"/>
      <c r="F6" s="2110"/>
      <c r="G6" s="2110"/>
      <c r="H6" s="2110"/>
      <c r="I6" s="2110"/>
      <c r="J6" s="2110"/>
      <c r="K6" s="2111"/>
    </row>
    <row r="7" spans="1:41" s="2114" customFormat="1" ht="15">
      <c r="A7" s="434" t="s">
        <v>469</v>
      </c>
      <c r="B7" s="435" t="s">
        <v>470</v>
      </c>
      <c r="C7" s="436" t="s">
        <v>2981</v>
      </c>
      <c r="D7" s="436" t="s">
        <v>2989</v>
      </c>
      <c r="E7" s="436" t="s">
        <v>2990</v>
      </c>
      <c r="F7" s="436" t="s">
        <v>2991</v>
      </c>
      <c r="G7" s="436" t="s">
        <v>2992</v>
      </c>
      <c r="H7" s="436" t="s">
        <v>2993</v>
      </c>
      <c r="I7" s="436" t="s">
        <v>2994</v>
      </c>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21713.300000000003</v>
      </c>
      <c r="D9" s="441">
        <f>SUMIF('数据-汇总表'!$C19:$C33,'剩余法-现房'!D7,'数据-汇总表'!$E19:$E33)</f>
        <v>20081.400000000001</v>
      </c>
      <c r="E9" s="441">
        <f>SUMIF('数据-汇总表'!$C19:$C33,'剩余法-现房'!E7,'数据-汇总表'!$E19:$E33)</f>
        <v>1452.1</v>
      </c>
      <c r="F9" s="441">
        <f>SUMIF('数据-汇总表'!$C19:$C33,'剩余法-现房'!F7,'数据-汇总表'!$E19:$E33)</f>
        <v>8749.6</v>
      </c>
      <c r="G9" s="441">
        <f>SUMIF('数据-汇总表'!$C19:$C33,'剩余法-现房'!G7,'数据-汇总表'!$E19:$E33)</f>
        <v>4101</v>
      </c>
      <c r="H9" s="441">
        <f>SUMIF('数据-汇总表'!$C19:$C33,'剩余法-现房'!H7,'数据-汇总表'!$E19:$E33)</f>
        <v>3265</v>
      </c>
      <c r="I9" s="441">
        <f>SUMIF('数据-汇总表'!$C19:$C33,'剩余法-现房'!I7,'数据-汇总表'!$E19:$E33)</f>
        <v>1111.1000000000001</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f ca="1">不动产收益法平!C40</f>
        <v>23846</v>
      </c>
      <c r="D10" s="1625">
        <f ca="1">不动产收益法2!C40</f>
        <v>22050</v>
      </c>
      <c r="E10" s="1625">
        <f ca="1">不动产收益法3!C40</f>
        <v>1603</v>
      </c>
      <c r="F10" s="1626">
        <f ca="1">不动产收益法4!C40</f>
        <v>9616</v>
      </c>
      <c r="G10" s="1626">
        <f ca="1">不动产收益法5!C40</f>
        <v>4499</v>
      </c>
      <c r="H10" s="1626">
        <f ca="1">不动产收益法6!C40</f>
        <v>3572</v>
      </c>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8873</v>
      </c>
      <c r="D13" s="451"/>
      <c r="E13" s="365"/>
      <c r="F13" s="452"/>
      <c r="G13" s="444"/>
      <c r="H13" s="447"/>
      <c r="I13" s="447"/>
      <c r="J13" s="447"/>
      <c r="K13" s="448"/>
    </row>
    <row r="14" spans="1:41" s="2117" customFormat="1" ht="13.5" customHeight="1">
      <c r="A14" s="1633" t="s">
        <v>1849</v>
      </c>
      <c r="B14" s="449" t="s">
        <v>479</v>
      </c>
      <c r="C14" s="53">
        <f ca="1">ROUND(C13*F14,0)</f>
        <v>266</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1209</v>
      </c>
      <c r="D16" s="451">
        <f ca="1">IF(B1="",'数据-汇总表'!E3,INDIRECT("'数据-取费表'!K"&amp;$K$1)+INDIRECT("'数据-取费表'!S"&amp;$K$1))</f>
        <v>60473.499999999985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10481</v>
      </c>
      <c r="D18" s="461"/>
      <c r="E18" s="462"/>
      <c r="F18" s="462"/>
      <c r="G18" s="1327" t="s">
        <v>2435</v>
      </c>
      <c r="H18" s="447"/>
      <c r="I18" s="447"/>
      <c r="J18" s="447"/>
      <c r="K18" s="448"/>
    </row>
    <row r="19" spans="1:14" s="2120" customFormat="1" ht="13.5" customHeight="1">
      <c r="A19" s="1634" t="s">
        <v>1854</v>
      </c>
      <c r="B19" s="459" t="s">
        <v>492</v>
      </c>
      <c r="C19" s="460">
        <f ca="1">ROUND(C18*F19,0)</f>
        <v>210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4">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251</v>
      </c>
      <c r="D21" s="467">
        <f ca="1">C23</f>
        <v>5.0000000000000001E-4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8" t="s">
        <v>2438</v>
      </c>
      <c r="C22" s="487">
        <f ca="1">ROUND(IF('数据-取费表'!B22&lt;=1,(C18+C19)*F21*'数据-取费表'!B20/2,(C18+C19)*(POWER((1+F21),'数据-取费表'!B20/2)-1)),0)</f>
        <v>251</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6" t="s">
        <v>2833</v>
      </c>
      <c r="C24" s="478">
        <f ca="1">C25</f>
        <v>1497</v>
      </c>
      <c r="D24" s="489">
        <f ca="1">C26</f>
        <v>2.8E-3</v>
      </c>
      <c r="E24" s="469" t="s">
        <v>506</v>
      </c>
      <c r="F24" s="479">
        <f ca="1">IF(B1="",'数据-取费表'!Q16,INDIRECT("'数据-取费表'!q"&amp;$K$1))</f>
        <v>0.14000000000000001</v>
      </c>
      <c r="G24" s="444"/>
      <c r="H24" s="447"/>
      <c r="I24" s="447"/>
      <c r="J24" s="447"/>
      <c r="K24" s="448"/>
    </row>
    <row r="25" spans="1:14" s="2121" customFormat="1" ht="13.5" customHeight="1">
      <c r="A25" s="1633" t="s">
        <v>1848</v>
      </c>
      <c r="B25" s="1328" t="s">
        <v>2439</v>
      </c>
      <c r="C25" s="490">
        <f ca="1">ROUND((C18+C19)*F24,0)</f>
        <v>1497</v>
      </c>
      <c r="D25" s="472"/>
      <c r="E25" s="473"/>
      <c r="F25" s="480"/>
      <c r="G25" s="1326" t="s">
        <v>2436</v>
      </c>
      <c r="H25" s="457"/>
      <c r="I25" s="457"/>
      <c r="J25" s="457"/>
      <c r="K25" s="458"/>
    </row>
    <row r="26" spans="1:14" s="2121" customFormat="1" ht="13.5" customHeight="1">
      <c r="A26" s="1633" t="s">
        <v>1849</v>
      </c>
      <c r="B26" s="1328" t="s">
        <v>508</v>
      </c>
      <c r="C26" s="491">
        <f ca="1">ROUND(F20*F24,4)</f>
        <v>2.8E-3</v>
      </c>
      <c r="D26" s="472"/>
      <c r="E26" s="481"/>
      <c r="F26" s="480"/>
      <c r="G26" s="1326" t="s">
        <v>509</v>
      </c>
      <c r="H26" s="457"/>
      <c r="I26" s="457"/>
      <c r="J26" s="457"/>
      <c r="K26" s="458"/>
    </row>
    <row r="27" spans="1:14" s="2121" customFormat="1" ht="13.5" customHeight="1">
      <c r="A27" s="1637" t="s">
        <v>1867</v>
      </c>
      <c r="B27" s="459" t="s">
        <v>510</v>
      </c>
      <c r="C27" s="3055">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13471</v>
      </c>
      <c r="D28" s="477"/>
      <c r="E28" s="469"/>
      <c r="F28" s="471"/>
      <c r="G28" s="1327" t="s">
        <v>2437</v>
      </c>
      <c r="H28" s="447"/>
      <c r="I28" s="447"/>
      <c r="J28" s="447"/>
      <c r="K28" s="448"/>
    </row>
    <row r="29" spans="1:14" s="2122" customFormat="1" ht="13.5" customHeight="1">
      <c r="A29" s="1637" t="s">
        <v>1869</v>
      </c>
      <c r="B29" s="476" t="s">
        <v>512</v>
      </c>
      <c r="C29" s="492">
        <f ca="1">IF(B1="",'数据-取费表'!N16,INDIRECT("'数据-取费表'!N"&amp;$K$1))</f>
        <v>0.6</v>
      </c>
      <c r="D29" s="493"/>
      <c r="E29" s="494"/>
      <c r="F29" s="495"/>
      <c r="G29" s="444"/>
      <c r="H29" s="447"/>
      <c r="I29" s="447"/>
      <c r="J29" s="447"/>
      <c r="K29" s="448"/>
    </row>
    <row r="30" spans="1:14" s="2122" customFormat="1" ht="13.5" customHeight="1">
      <c r="A30" s="443">
        <v>2</v>
      </c>
      <c r="B30" s="476" t="s">
        <v>513</v>
      </c>
      <c r="C30" s="497">
        <f ca="1">ROUND(C28*C29,0)</f>
        <v>8083</v>
      </c>
      <c r="D30" s="493"/>
      <c r="E30" s="498"/>
      <c r="F30" s="499"/>
      <c r="G30" s="1329" t="s">
        <v>514</v>
      </c>
      <c r="H30" s="496"/>
      <c r="I30" s="496"/>
      <c r="J30" s="447"/>
      <c r="K30" s="448"/>
    </row>
    <row r="31" spans="1:14" s="2127" customFormat="1" ht="13.5" customHeight="1">
      <c r="A31" s="2507" t="s">
        <v>1865</v>
      </c>
      <c r="B31" s="1330"/>
      <c r="C31" s="500">
        <f ca="1">ROUND(C6*F31/(1+'数据-取费表'!C42),0)</f>
        <v>3477</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43822.160933629559</v>
      </c>
      <c r="D32" s="483"/>
      <c r="E32" s="483"/>
      <c r="F32" s="483"/>
      <c r="G32" s="2508" t="s">
        <v>2974</v>
      </c>
      <c r="H32" s="483"/>
      <c r="I32" s="483"/>
      <c r="J32" s="483"/>
      <c r="K32" s="485"/>
    </row>
    <row r="34" ht="12.75" customHeight="1"/>
  </sheetData>
  <sheetProtection password="C66D" sheet="1" objects="1" scenarios="1" formatCells="0" formatColumns="0" formatRows="0"/>
  <phoneticPr fontId="45"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546" t="str">
        <f>项目基本情况!B1</f>
        <v>北京市海淀区西三旗建材城中路2号出让国有建设用地使用权市场价格预评估</v>
      </c>
      <c r="C37" s="3546"/>
      <c r="D37" s="3546"/>
      <c r="E37" s="3546"/>
      <c r="F37" s="3546"/>
      <c r="G37" s="3546"/>
      <c r="H37" s="3546"/>
      <c r="I37" s="3546"/>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陈颖、杨红英</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E132" sqref="E13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733" t="s">
        <v>521</v>
      </c>
      <c r="D6" s="3734"/>
      <c r="E6" s="3733" t="s">
        <v>522</v>
      </c>
      <c r="F6" s="3734"/>
      <c r="G6" s="3733" t="s">
        <v>523</v>
      </c>
      <c r="H6" s="3734"/>
      <c r="I6" s="3733" t="s">
        <v>524</v>
      </c>
      <c r="J6" s="3734"/>
      <c r="K6" s="514" t="s">
        <v>525</v>
      </c>
      <c r="L6" s="2134"/>
      <c r="M6" s="2133"/>
      <c r="N6" s="2133"/>
      <c r="O6" s="2135"/>
      <c r="P6" s="3735" t="s">
        <v>526</v>
      </c>
      <c r="Q6" s="3736"/>
      <c r="R6" s="3721" t="s">
        <v>522</v>
      </c>
      <c r="S6" s="3722"/>
      <c r="T6" s="3721" t="s">
        <v>523</v>
      </c>
      <c r="U6" s="3722"/>
      <c r="V6" s="3741" t="s">
        <v>524</v>
      </c>
      <c r="W6" s="3741"/>
      <c r="X6" s="1567"/>
      <c r="Y6" s="3721" t="s">
        <v>526</v>
      </c>
      <c r="Z6" s="3722"/>
      <c r="AA6" s="3716" t="s">
        <v>522</v>
      </c>
      <c r="AB6" s="3717" t="s">
        <v>523</v>
      </c>
      <c r="AC6" s="3716" t="s">
        <v>524</v>
      </c>
    </row>
    <row r="7" spans="1:30" ht="20.25">
      <c r="A7" s="515"/>
      <c r="B7" s="516"/>
      <c r="C7" s="3744" t="s">
        <v>2929</v>
      </c>
      <c r="D7" s="3745"/>
      <c r="E7" s="3744" t="s">
        <v>2930</v>
      </c>
      <c r="F7" s="3745"/>
      <c r="G7" s="3744" t="s">
        <v>2931</v>
      </c>
      <c r="H7" s="3745"/>
      <c r="I7" s="3744" t="s">
        <v>2932</v>
      </c>
      <c r="J7" s="3745"/>
      <c r="K7" s="514"/>
      <c r="L7" s="2134"/>
      <c r="M7" s="2133"/>
      <c r="N7" s="2133"/>
      <c r="O7" s="2135"/>
      <c r="P7" s="3737"/>
      <c r="Q7" s="3738"/>
      <c r="R7" s="3723"/>
      <c r="S7" s="3724"/>
      <c r="T7" s="3723"/>
      <c r="U7" s="3724"/>
      <c r="V7" s="3741"/>
      <c r="W7" s="3741"/>
      <c r="X7" s="1567"/>
      <c r="Y7" s="3723"/>
      <c r="Z7" s="3724"/>
      <c r="AA7" s="3717"/>
      <c r="AB7" s="3717"/>
      <c r="AC7" s="3717"/>
    </row>
    <row r="8" spans="1:30" ht="21" thickBot="1">
      <c r="A8" s="515"/>
      <c r="B8" s="516"/>
      <c r="C8" s="3746" t="s">
        <v>2933</v>
      </c>
      <c r="D8" s="3747"/>
      <c r="E8" s="3746" t="s">
        <v>2933</v>
      </c>
      <c r="F8" s="3747"/>
      <c r="G8" s="3742" t="s">
        <v>2933</v>
      </c>
      <c r="H8" s="3743"/>
      <c r="I8" s="3742" t="s">
        <v>2933</v>
      </c>
      <c r="J8" s="3743"/>
      <c r="K8" s="514" t="s">
        <v>527</v>
      </c>
      <c r="L8" s="2134"/>
      <c r="M8" s="2133"/>
      <c r="N8" s="2133"/>
      <c r="O8" s="2135"/>
      <c r="P8" s="3739"/>
      <c r="Q8" s="3740"/>
      <c r="R8" s="3723"/>
      <c r="S8" s="3724"/>
      <c r="T8" s="3725"/>
      <c r="U8" s="3726"/>
      <c r="V8" s="3741"/>
      <c r="W8" s="3741"/>
      <c r="X8" s="1567"/>
      <c r="Y8" s="3725"/>
      <c r="Z8" s="3726"/>
      <c r="AA8" s="3718"/>
      <c r="AB8" s="3718"/>
      <c r="AC8" s="3718"/>
    </row>
    <row r="9" spans="1:30" s="1220" customFormat="1" ht="21" thickBot="1">
      <c r="A9" s="2937"/>
      <c r="B9" s="2944" t="s">
        <v>528</v>
      </c>
      <c r="C9" s="2936">
        <f>'数据-取费表'!B2</f>
        <v>43251</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719" t="s">
        <v>529</v>
      </c>
      <c r="Q9" s="3728"/>
      <c r="R9" s="1568" t="s">
        <v>8</v>
      </c>
      <c r="S9" s="1569">
        <f t="shared" ref="S9:S17" si="0">F9</f>
        <v>0</v>
      </c>
      <c r="T9" s="1568" t="s">
        <v>8</v>
      </c>
      <c r="U9" s="1569">
        <f t="shared" ref="U9:U17" si="1">H9</f>
        <v>0</v>
      </c>
      <c r="V9" s="1568" t="s">
        <v>8</v>
      </c>
      <c r="W9" s="1569">
        <f t="shared" ref="W9:W17" si="2">J9</f>
        <v>0</v>
      </c>
      <c r="X9" s="1570"/>
      <c r="Y9" s="3719" t="s">
        <v>529</v>
      </c>
      <c r="Z9" s="3720"/>
      <c r="AA9" s="1571" t="e">
        <f>D9/F9</f>
        <v>#DIV/0!</v>
      </c>
      <c r="AB9" s="1571" t="e">
        <f>D9/H9</f>
        <v>#DIV/0!</v>
      </c>
      <c r="AC9" s="1571" t="e">
        <f>D9/J9</f>
        <v>#DIV/0!</v>
      </c>
    </row>
    <row r="10" spans="1:30" s="1220" customFormat="1" ht="21" thickBot="1">
      <c r="A10" s="2938"/>
      <c r="B10" s="2945"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719" t="s">
        <v>532</v>
      </c>
      <c r="Q10" s="3720"/>
      <c r="R10" s="1568" t="s">
        <v>8</v>
      </c>
      <c r="S10" s="1569">
        <f t="shared" si="0"/>
        <v>0</v>
      </c>
      <c r="T10" s="1568" t="s">
        <v>8</v>
      </c>
      <c r="U10" s="1569">
        <f t="shared" si="1"/>
        <v>0</v>
      </c>
      <c r="V10" s="1568" t="s">
        <v>8</v>
      </c>
      <c r="W10" s="1569">
        <f t="shared" si="2"/>
        <v>0</v>
      </c>
      <c r="X10" s="1570"/>
      <c r="Y10" s="3719" t="s">
        <v>532</v>
      </c>
      <c r="Z10" s="3720"/>
      <c r="AA10" s="1571" t="e">
        <f t="shared" ref="AA10:AA47" si="3">D10/F10</f>
        <v>#DIV/0!</v>
      </c>
      <c r="AB10" s="1571" t="e">
        <f t="shared" ref="AB10:AB47" si="4">D10/H10</f>
        <v>#DIV/0!</v>
      </c>
      <c r="AC10" s="1571" t="e">
        <f t="shared" ref="AC10:AC47" si="5">D10/J10</f>
        <v>#DIV/0!</v>
      </c>
    </row>
    <row r="11" spans="1:30" s="1220" customFormat="1" ht="20.25">
      <c r="A11" s="2939"/>
      <c r="B11" s="2946" t="s">
        <v>2759</v>
      </c>
      <c r="C11" s="2933"/>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727" t="s">
        <v>534</v>
      </c>
      <c r="Q11" s="1151" t="str">
        <f t="shared" ref="Q11:Q17" si="6">B11</f>
        <v>用途</v>
      </c>
      <c r="R11" s="1568" t="s">
        <v>8</v>
      </c>
      <c r="S11" s="1569">
        <f t="shared" si="0"/>
        <v>100</v>
      </c>
      <c r="T11" s="1568" t="s">
        <v>8</v>
      </c>
      <c r="U11" s="1569">
        <f t="shared" si="1"/>
        <v>100</v>
      </c>
      <c r="V11" s="1568" t="s">
        <v>8</v>
      </c>
      <c r="W11" s="1569">
        <f t="shared" si="2"/>
        <v>100</v>
      </c>
      <c r="X11" s="1570"/>
      <c r="Y11" s="3684" t="s">
        <v>535</v>
      </c>
      <c r="Z11" s="1150" t="str">
        <f t="shared" ref="Z11:Z17" si="7">Q11</f>
        <v>用途</v>
      </c>
      <c r="AA11" s="1571">
        <f t="shared" si="3"/>
        <v>1</v>
      </c>
      <c r="AB11" s="1571">
        <f t="shared" si="4"/>
        <v>1</v>
      </c>
      <c r="AC11" s="1571">
        <f t="shared" si="5"/>
        <v>1</v>
      </c>
    </row>
    <row r="12" spans="1:30" s="1338" customFormat="1" ht="27">
      <c r="A12" s="2940"/>
      <c r="B12" s="2945" t="s">
        <v>2760</v>
      </c>
      <c r="C12" s="910"/>
      <c r="D12" s="255">
        <v>100</v>
      </c>
      <c r="E12" s="529"/>
      <c r="F12" s="255">
        <f>ROUND(100/'数据-取费表'!G16,0)</f>
        <v>136</v>
      </c>
      <c r="G12" s="530"/>
      <c r="H12" s="255">
        <f>ROUND(100/'数据-取费表'!G16,0)</f>
        <v>136</v>
      </c>
      <c r="I12" s="530"/>
      <c r="J12" s="255">
        <f>ROUND(100/'数据-取费表'!G16,0)</f>
        <v>136</v>
      </c>
      <c r="K12" s="531"/>
      <c r="L12" s="2139"/>
      <c r="M12" s="2133"/>
      <c r="N12" s="2133"/>
      <c r="O12" s="2140"/>
      <c r="P12" s="3727"/>
      <c r="Q12" s="1151" t="str">
        <f t="shared" si="6"/>
        <v>土地使用年限（年）</v>
      </c>
      <c r="R12" s="1568" t="s">
        <v>8</v>
      </c>
      <c r="S12" s="1569">
        <f t="shared" si="0"/>
        <v>136</v>
      </c>
      <c r="T12" s="1568" t="s">
        <v>8</v>
      </c>
      <c r="U12" s="1569">
        <f t="shared" si="1"/>
        <v>136</v>
      </c>
      <c r="V12" s="1568" t="s">
        <v>8</v>
      </c>
      <c r="W12" s="1569">
        <f t="shared" si="2"/>
        <v>136</v>
      </c>
      <c r="X12" s="1570"/>
      <c r="Y12" s="3684"/>
      <c r="Z12" s="1150" t="str">
        <f t="shared" si="7"/>
        <v>土地使用年限（年）</v>
      </c>
      <c r="AA12" s="1571">
        <f t="shared" si="3"/>
        <v>0.73529411764705888</v>
      </c>
      <c r="AB12" s="1571">
        <f t="shared" si="4"/>
        <v>0.73529411764705888</v>
      </c>
      <c r="AC12" s="1571">
        <f t="shared" si="5"/>
        <v>0.73529411764705888</v>
      </c>
    </row>
    <row r="13" spans="1:30" ht="20.25">
      <c r="A13" s="2941"/>
      <c r="B13" s="2945"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727"/>
      <c r="Q13" s="1151" t="str">
        <f t="shared" si="6"/>
        <v>容积率</v>
      </c>
      <c r="R13" s="1568" t="s">
        <v>8</v>
      </c>
      <c r="S13" s="1569" t="e">
        <f t="shared" si="0"/>
        <v>#N/A</v>
      </c>
      <c r="T13" s="1568" t="s">
        <v>8</v>
      </c>
      <c r="U13" s="1569" t="e">
        <f t="shared" si="1"/>
        <v>#N/A</v>
      </c>
      <c r="V13" s="1568" t="s">
        <v>8</v>
      </c>
      <c r="W13" s="1569" t="e">
        <f t="shared" si="2"/>
        <v>#N/A</v>
      </c>
      <c r="X13" s="1570"/>
      <c r="Y13" s="3684"/>
      <c r="Z13" s="1150" t="str">
        <f t="shared" si="7"/>
        <v>容积率</v>
      </c>
      <c r="AA13" s="1571" t="e">
        <f t="shared" si="3"/>
        <v>#N/A</v>
      </c>
      <c r="AB13" s="1571" t="e">
        <f t="shared" si="4"/>
        <v>#N/A</v>
      </c>
      <c r="AC13" s="1571" t="e">
        <f t="shared" si="5"/>
        <v>#N/A</v>
      </c>
    </row>
    <row r="14" spans="1:30" s="1220" customFormat="1" ht="20.25">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727"/>
      <c r="Q14" s="1151" t="str">
        <f t="shared" si="6"/>
        <v>配建</v>
      </c>
      <c r="R14" s="1568" t="s">
        <v>8</v>
      </c>
      <c r="S14" s="1569">
        <f t="shared" si="0"/>
        <v>100</v>
      </c>
      <c r="T14" s="1568" t="s">
        <v>8</v>
      </c>
      <c r="U14" s="1569">
        <f t="shared" si="1"/>
        <v>100</v>
      </c>
      <c r="V14" s="1568" t="s">
        <v>8</v>
      </c>
      <c r="W14" s="1569">
        <f t="shared" si="2"/>
        <v>100</v>
      </c>
      <c r="X14" s="1570"/>
      <c r="Y14" s="3684"/>
      <c r="Z14" s="1150" t="str">
        <f t="shared" si="7"/>
        <v>配建</v>
      </c>
      <c r="AA14" s="1571">
        <f>D14/F14</f>
        <v>1</v>
      </c>
      <c r="AB14" s="1571">
        <f>D14/H14</f>
        <v>1</v>
      </c>
      <c r="AC14" s="1571">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727"/>
      <c r="Q15" s="1151">
        <f t="shared" si="6"/>
        <v>111</v>
      </c>
      <c r="R15" s="1568" t="s">
        <v>8</v>
      </c>
      <c r="S15" s="1569">
        <f t="shared" si="0"/>
        <v>100</v>
      </c>
      <c r="T15" s="1568" t="s">
        <v>8</v>
      </c>
      <c r="U15" s="1569">
        <f t="shared" si="1"/>
        <v>100</v>
      </c>
      <c r="V15" s="1568" t="s">
        <v>8</v>
      </c>
      <c r="W15" s="1569">
        <f t="shared" si="2"/>
        <v>100</v>
      </c>
      <c r="X15" s="1570"/>
      <c r="Y15" s="3684"/>
      <c r="Z15" s="1150">
        <f t="shared" si="7"/>
        <v>111</v>
      </c>
      <c r="AA15" s="1571">
        <f>D15/F15</f>
        <v>1</v>
      </c>
      <c r="AB15" s="1571">
        <f>D15/H15</f>
        <v>1</v>
      </c>
      <c r="AC15" s="1571">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727"/>
      <c r="Q16" s="1151">
        <f t="shared" si="6"/>
        <v>111</v>
      </c>
      <c r="R16" s="1568" t="s">
        <v>8</v>
      </c>
      <c r="S16" s="1569">
        <f t="shared" si="0"/>
        <v>100</v>
      </c>
      <c r="T16" s="1568" t="s">
        <v>8</v>
      </c>
      <c r="U16" s="1569">
        <f t="shared" si="1"/>
        <v>100</v>
      </c>
      <c r="V16" s="1568" t="s">
        <v>8</v>
      </c>
      <c r="W16" s="1569">
        <f t="shared" si="2"/>
        <v>100</v>
      </c>
      <c r="X16" s="1570"/>
      <c r="Y16" s="3684"/>
      <c r="Z16" s="1150">
        <f t="shared" si="7"/>
        <v>111</v>
      </c>
      <c r="AA16" s="1571">
        <f>D16/F16</f>
        <v>1</v>
      </c>
      <c r="AB16" s="1571">
        <f>D16/H16</f>
        <v>1</v>
      </c>
      <c r="AC16" s="1571">
        <f>D16/J16</f>
        <v>1</v>
      </c>
    </row>
    <row r="17" spans="1:29" ht="99.75">
      <c r="A17" s="2935" t="s">
        <v>2757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729" t="s">
        <v>539</v>
      </c>
      <c r="Q17" s="1572" t="str">
        <f t="shared" si="6"/>
        <v>居住社区成熟度</v>
      </c>
      <c r="R17" s="1573" t="s">
        <v>8</v>
      </c>
      <c r="S17" s="1574">
        <f t="shared" si="0"/>
        <v>100</v>
      </c>
      <c r="T17" s="1573" t="s">
        <v>8</v>
      </c>
      <c r="U17" s="1574">
        <f t="shared" si="1"/>
        <v>100</v>
      </c>
      <c r="V17" s="1573" t="s">
        <v>8</v>
      </c>
      <c r="W17" s="1574">
        <f t="shared" si="2"/>
        <v>100</v>
      </c>
      <c r="X17" s="1567"/>
      <c r="Y17" s="3729" t="s">
        <v>539</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730"/>
      <c r="Q18" s="1572"/>
      <c r="R18" s="1573"/>
      <c r="S18" s="1574"/>
      <c r="T18" s="1573"/>
      <c r="U18" s="1574"/>
      <c r="V18" s="1573"/>
      <c r="W18" s="1574"/>
      <c r="X18" s="1567"/>
      <c r="Y18" s="3730"/>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730"/>
      <c r="Q19" s="1572" t="str">
        <f>B19</f>
        <v>商业繁华度</v>
      </c>
      <c r="R19" s="1573" t="s">
        <v>8</v>
      </c>
      <c r="S19" s="1574">
        <f>F19</f>
        <v>100</v>
      </c>
      <c r="T19" s="1573" t="s">
        <v>8</v>
      </c>
      <c r="U19" s="1574">
        <f>H19</f>
        <v>100</v>
      </c>
      <c r="V19" s="1573" t="s">
        <v>8</v>
      </c>
      <c r="W19" s="1574">
        <f>J19</f>
        <v>100</v>
      </c>
      <c r="X19" s="1567"/>
      <c r="Y19" s="3730"/>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730"/>
      <c r="Q20" s="1572"/>
      <c r="R20" s="1573"/>
      <c r="S20" s="1574"/>
      <c r="T20" s="1573"/>
      <c r="U20" s="1574"/>
      <c r="V20" s="1573"/>
      <c r="W20" s="1574"/>
      <c r="X20" s="1567"/>
      <c r="Y20" s="3730"/>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730"/>
      <c r="Q21" s="1572" t="str">
        <f>B21</f>
        <v>办公集聚程度</v>
      </c>
      <c r="R21" s="1573" t="s">
        <v>8</v>
      </c>
      <c r="S21" s="1574">
        <f>F21</f>
        <v>100</v>
      </c>
      <c r="T21" s="1573" t="s">
        <v>8</v>
      </c>
      <c r="U21" s="1574">
        <f>H21</f>
        <v>100</v>
      </c>
      <c r="V21" s="1573" t="s">
        <v>8</v>
      </c>
      <c r="W21" s="1574">
        <f>J21</f>
        <v>100</v>
      </c>
      <c r="X21" s="1567"/>
      <c r="Y21" s="3730"/>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730"/>
      <c r="Q22" s="1572"/>
      <c r="R22" s="1573"/>
      <c r="S22" s="1574"/>
      <c r="T22" s="1573"/>
      <c r="U22" s="1574"/>
      <c r="V22" s="1573"/>
      <c r="W22" s="1574"/>
      <c r="X22" s="1567"/>
      <c r="Y22" s="3730"/>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730"/>
      <c r="Q23" s="1572" t="str">
        <f>B23</f>
        <v>交通便捷度</v>
      </c>
      <c r="R23" s="1573" t="s">
        <v>8</v>
      </c>
      <c r="S23" s="1574">
        <f>F23</f>
        <v>100</v>
      </c>
      <c r="T23" s="1573" t="s">
        <v>8</v>
      </c>
      <c r="U23" s="1574">
        <f>H23</f>
        <v>100</v>
      </c>
      <c r="V23" s="1573" t="s">
        <v>8</v>
      </c>
      <c r="W23" s="1574">
        <f>J23</f>
        <v>100</v>
      </c>
      <c r="X23" s="1567"/>
      <c r="Y23" s="3730"/>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730"/>
      <c r="Q24" s="1572"/>
      <c r="R24" s="1573"/>
      <c r="S24" s="1574"/>
      <c r="T24" s="1573"/>
      <c r="U24" s="1574"/>
      <c r="V24" s="1573"/>
      <c r="W24" s="1574"/>
      <c r="X24" s="1567"/>
      <c r="Y24" s="3730"/>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730"/>
      <c r="Q25" s="1572" t="str">
        <f t="shared" ref="Q25:Q39" si="8">B25</f>
        <v>区域土地利用方向</v>
      </c>
      <c r="R25" s="1573" t="s">
        <v>8</v>
      </c>
      <c r="S25" s="1574">
        <f>F25</f>
        <v>100</v>
      </c>
      <c r="T25" s="1573" t="s">
        <v>8</v>
      </c>
      <c r="U25" s="1574">
        <f>H25</f>
        <v>100</v>
      </c>
      <c r="V25" s="1573" t="s">
        <v>8</v>
      </c>
      <c r="W25" s="1574">
        <f>J25</f>
        <v>100</v>
      </c>
      <c r="X25" s="1567"/>
      <c r="Y25" s="3730"/>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730"/>
      <c r="Q26" s="1572"/>
      <c r="R26" s="1573"/>
      <c r="S26" s="1574"/>
      <c r="T26" s="1573"/>
      <c r="U26" s="1574"/>
      <c r="V26" s="1573"/>
      <c r="W26" s="1574"/>
      <c r="X26" s="1567"/>
      <c r="Y26" s="3730"/>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730"/>
      <c r="Q27" s="1572" t="str">
        <f t="shared" si="8"/>
        <v>自然及人文环境状况</v>
      </c>
      <c r="R27" s="1573" t="s">
        <v>8</v>
      </c>
      <c r="S27" s="1574">
        <f>F27</f>
        <v>100</v>
      </c>
      <c r="T27" s="1573" t="s">
        <v>8</v>
      </c>
      <c r="U27" s="1574">
        <f>H27</f>
        <v>100</v>
      </c>
      <c r="V27" s="1573" t="s">
        <v>8</v>
      </c>
      <c r="W27" s="1574">
        <f>J27</f>
        <v>100</v>
      </c>
      <c r="X27" s="1567"/>
      <c r="Y27" s="3730"/>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730"/>
      <c r="Q28" s="1572"/>
      <c r="R28" s="1573"/>
      <c r="S28" s="1574"/>
      <c r="T28" s="1573"/>
      <c r="U28" s="1574"/>
      <c r="V28" s="1573"/>
      <c r="W28" s="1574"/>
      <c r="X28" s="1567"/>
      <c r="Y28" s="3730"/>
      <c r="Z28" s="1575"/>
      <c r="AA28" s="1576">
        <v>1</v>
      </c>
      <c r="AB28" s="1576">
        <v>1</v>
      </c>
      <c r="AC28" s="1576">
        <v>1</v>
      </c>
    </row>
    <row r="29" spans="1:29" s="1220" customFormat="1" ht="42.75">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730"/>
      <c r="Q29" s="1151" t="str">
        <f t="shared" si="8"/>
        <v>公共配套设施</v>
      </c>
      <c r="R29" s="1568" t="s">
        <v>8</v>
      </c>
      <c r="S29" s="1569">
        <f>F29</f>
        <v>100</v>
      </c>
      <c r="T29" s="1568" t="s">
        <v>8</v>
      </c>
      <c r="U29" s="1569">
        <f>H29</f>
        <v>100</v>
      </c>
      <c r="V29" s="1568" t="s">
        <v>8</v>
      </c>
      <c r="W29" s="1569">
        <f>J29</f>
        <v>100</v>
      </c>
      <c r="X29" s="1570"/>
      <c r="Y29" s="3730"/>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730"/>
      <c r="Q30" s="1151"/>
      <c r="R30" s="1568"/>
      <c r="S30" s="1569"/>
      <c r="T30" s="1568"/>
      <c r="U30" s="1569"/>
      <c r="V30" s="1568"/>
      <c r="W30" s="1569"/>
      <c r="X30" s="1570"/>
      <c r="Y30" s="3730"/>
      <c r="Z30" s="1150"/>
      <c r="AA30" s="1576">
        <v>1</v>
      </c>
      <c r="AB30" s="1576">
        <v>1</v>
      </c>
      <c r="AC30" s="1576">
        <v>1</v>
      </c>
    </row>
    <row r="31" spans="1:29" s="1220" customFormat="1" ht="28.5">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730"/>
      <c r="Q31" s="2603" t="str">
        <f t="shared" ref="Q31" si="9">B31</f>
        <v>基础设施水平</v>
      </c>
      <c r="R31" s="1568" t="s">
        <v>8</v>
      </c>
      <c r="S31" s="1569">
        <f>F31</f>
        <v>100</v>
      </c>
      <c r="T31" s="1568" t="s">
        <v>8</v>
      </c>
      <c r="U31" s="1569">
        <f>H31</f>
        <v>100</v>
      </c>
      <c r="V31" s="1568" t="s">
        <v>8</v>
      </c>
      <c r="W31" s="1569">
        <f>J31</f>
        <v>100</v>
      </c>
      <c r="X31" s="1570"/>
      <c r="Y31" s="3730"/>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730"/>
      <c r="Q32" s="2603"/>
      <c r="R32" s="1568"/>
      <c r="S32" s="1569"/>
      <c r="T32" s="1568"/>
      <c r="U32" s="1569"/>
      <c r="V32" s="1568"/>
      <c r="W32" s="1569"/>
      <c r="X32" s="1570"/>
      <c r="Y32" s="3730"/>
      <c r="Z32" s="2600"/>
      <c r="AA32" s="1576">
        <v>1</v>
      </c>
      <c r="AB32" s="1576">
        <v>1</v>
      </c>
      <c r="AC32" s="1576">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73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730"/>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730"/>
      <c r="Q34" s="1572" t="str">
        <f t="shared" si="8"/>
        <v>毗邻道路的类型与等级</v>
      </c>
      <c r="R34" s="1573" t="s">
        <v>8</v>
      </c>
      <c r="S34" s="1574">
        <f t="shared" si="10"/>
        <v>100</v>
      </c>
      <c r="T34" s="1573" t="s">
        <v>8</v>
      </c>
      <c r="U34" s="1574">
        <f t="shared" si="11"/>
        <v>100</v>
      </c>
      <c r="V34" s="1573" t="s">
        <v>8</v>
      </c>
      <c r="W34" s="1574">
        <f t="shared" si="12"/>
        <v>100</v>
      </c>
      <c r="X34" s="1567"/>
      <c r="Y34" s="3730"/>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730"/>
      <c r="Q35" s="1572"/>
      <c r="R35" s="1573"/>
      <c r="S35" s="1574"/>
      <c r="T35" s="1573"/>
      <c r="U35" s="1574"/>
      <c r="V35" s="1573"/>
      <c r="W35" s="1574"/>
      <c r="X35" s="1567"/>
      <c r="Y35" s="3730"/>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30"/>
      <c r="Q36" s="1572" t="str">
        <f t="shared" si="8"/>
        <v>土地级别</v>
      </c>
      <c r="R36" s="1573" t="s">
        <v>8</v>
      </c>
      <c r="S36" s="1574">
        <f t="shared" si="10"/>
        <v>100</v>
      </c>
      <c r="T36" s="1573" t="s">
        <v>8</v>
      </c>
      <c r="U36" s="1574">
        <f t="shared" si="11"/>
        <v>100</v>
      </c>
      <c r="V36" s="1573" t="s">
        <v>8</v>
      </c>
      <c r="W36" s="1574">
        <f t="shared" si="12"/>
        <v>100</v>
      </c>
      <c r="X36" s="1567"/>
      <c r="Y36" s="3730"/>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30"/>
      <c r="Q37" s="1572">
        <f t="shared" si="8"/>
        <v>111</v>
      </c>
      <c r="R37" s="1573" t="s">
        <v>8</v>
      </c>
      <c r="S37" s="1574">
        <f t="shared" si="10"/>
        <v>100</v>
      </c>
      <c r="T37" s="1573" t="s">
        <v>8</v>
      </c>
      <c r="U37" s="1574">
        <f t="shared" si="11"/>
        <v>100</v>
      </c>
      <c r="V37" s="1573" t="s">
        <v>8</v>
      </c>
      <c r="W37" s="1574">
        <f t="shared" si="12"/>
        <v>100</v>
      </c>
      <c r="X37" s="1567"/>
      <c r="Y37" s="3730"/>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31" t="s">
        <v>549</v>
      </c>
      <c r="Q38" s="1572">
        <f t="shared" si="8"/>
        <v>111</v>
      </c>
      <c r="R38" s="1573" t="s">
        <v>8</v>
      </c>
      <c r="S38" s="1574">
        <f t="shared" si="10"/>
        <v>100</v>
      </c>
      <c r="T38" s="1573" t="s">
        <v>8</v>
      </c>
      <c r="U38" s="1574">
        <f t="shared" si="11"/>
        <v>100</v>
      </c>
      <c r="V38" s="1573" t="s">
        <v>8</v>
      </c>
      <c r="W38" s="1574">
        <f t="shared" si="12"/>
        <v>100</v>
      </c>
      <c r="X38" s="1567"/>
      <c r="Y38" s="3732" t="s">
        <v>549</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32"/>
      <c r="Q39" s="1572">
        <f t="shared" si="8"/>
        <v>111</v>
      </c>
      <c r="R39" s="1577" t="s">
        <v>8</v>
      </c>
      <c r="S39" s="1578">
        <f t="shared" si="10"/>
        <v>100</v>
      </c>
      <c r="T39" s="1577" t="s">
        <v>8</v>
      </c>
      <c r="U39" s="1578">
        <f t="shared" si="11"/>
        <v>100</v>
      </c>
      <c r="V39" s="1577" t="s">
        <v>8</v>
      </c>
      <c r="W39" s="1578">
        <f t="shared" si="12"/>
        <v>100</v>
      </c>
      <c r="X39" s="1579"/>
      <c r="Y39" s="3732"/>
      <c r="Z39" s="1580">
        <f t="shared" si="13"/>
        <v>111</v>
      </c>
      <c r="AA39" s="1576">
        <f t="shared" si="3"/>
        <v>1</v>
      </c>
      <c r="AB39" s="1576">
        <f t="shared" si="4"/>
        <v>1</v>
      </c>
      <c r="AC39" s="1576">
        <f t="shared" si="5"/>
        <v>1</v>
      </c>
    </row>
    <row r="40" spans="1:29" ht="20.25">
      <c r="A40" s="2932" t="s">
        <v>2758</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732"/>
      <c r="Q40" s="1572" t="str">
        <f>B40</f>
        <v>宗地面积</v>
      </c>
      <c r="R40" s="1573" t="s">
        <v>8</v>
      </c>
      <c r="S40" s="1574" t="e">
        <f t="shared" si="10"/>
        <v>#N/A</v>
      </c>
      <c r="T40" s="1573" t="s">
        <v>8</v>
      </c>
      <c r="U40" s="1574" t="e">
        <f t="shared" si="11"/>
        <v>#N/A</v>
      </c>
      <c r="V40" s="1573" t="s">
        <v>8</v>
      </c>
      <c r="W40" s="1574" t="e">
        <f t="shared" si="12"/>
        <v>#N/A</v>
      </c>
      <c r="X40" s="1567"/>
      <c r="Y40" s="3732"/>
      <c r="Z40" s="1575" t="str">
        <f t="shared" si="13"/>
        <v>宗地面积</v>
      </c>
      <c r="AA40" s="1576" t="e">
        <f t="shared" si="3"/>
        <v>#N/A</v>
      </c>
      <c r="AB40" s="1576" t="e">
        <f t="shared" si="4"/>
        <v>#N/A</v>
      </c>
      <c r="AC40" s="1576"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732"/>
      <c r="Q41" s="1572" t="str">
        <f t="shared" ref="Q41:Q47" si="14">B41</f>
        <v>宗地形状</v>
      </c>
      <c r="R41" s="1573" t="s">
        <v>8</v>
      </c>
      <c r="S41" s="1574">
        <f t="shared" si="10"/>
        <v>100</v>
      </c>
      <c r="T41" s="1573" t="s">
        <v>8</v>
      </c>
      <c r="U41" s="1574">
        <f t="shared" si="11"/>
        <v>100</v>
      </c>
      <c r="V41" s="1573" t="s">
        <v>8</v>
      </c>
      <c r="W41" s="1574">
        <f t="shared" si="12"/>
        <v>100</v>
      </c>
      <c r="X41" s="1567"/>
      <c r="Y41" s="3732"/>
      <c r="Z41" s="1575" t="str">
        <f t="shared" si="13"/>
        <v>宗地形状</v>
      </c>
      <c r="AA41" s="1576">
        <f t="shared" si="3"/>
        <v>1</v>
      </c>
      <c r="AB41" s="1576">
        <f t="shared" si="4"/>
        <v>1</v>
      </c>
      <c r="AC41" s="1576">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732"/>
      <c r="Q42" s="1572" t="str">
        <f t="shared" si="14"/>
        <v>临街宽度及深度</v>
      </c>
      <c r="R42" s="1573" t="s">
        <v>8</v>
      </c>
      <c r="S42" s="1574">
        <f t="shared" si="10"/>
        <v>100</v>
      </c>
      <c r="T42" s="1573" t="s">
        <v>8</v>
      </c>
      <c r="U42" s="1574">
        <f t="shared" si="11"/>
        <v>100</v>
      </c>
      <c r="V42" s="1573" t="s">
        <v>8</v>
      </c>
      <c r="W42" s="1574">
        <f t="shared" si="12"/>
        <v>100</v>
      </c>
      <c r="X42" s="1567"/>
      <c r="Y42" s="3732"/>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732"/>
      <c r="Q43" s="1572" t="str">
        <f t="shared" si="14"/>
        <v>宗地开发程度</v>
      </c>
      <c r="R43" s="1568" t="s">
        <v>8</v>
      </c>
      <c r="S43" s="1569">
        <f t="shared" si="10"/>
        <v>100</v>
      </c>
      <c r="T43" s="1568" t="s">
        <v>8</v>
      </c>
      <c r="U43" s="1569">
        <f t="shared" si="11"/>
        <v>100</v>
      </c>
      <c r="V43" s="1568" t="s">
        <v>8</v>
      </c>
      <c r="W43" s="1569">
        <f t="shared" si="12"/>
        <v>100</v>
      </c>
      <c r="X43" s="1570"/>
      <c r="Y43" s="3732"/>
      <c r="Z43" s="1150" t="str">
        <f t="shared" si="13"/>
        <v>宗地开发程度</v>
      </c>
      <c r="AA43" s="1571">
        <f t="shared" si="3"/>
        <v>1</v>
      </c>
      <c r="AB43" s="1571">
        <f t="shared" si="4"/>
        <v>1</v>
      </c>
      <c r="AC43" s="1571">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732" t="s">
        <v>549</v>
      </c>
      <c r="Q44" s="1572" t="str">
        <f t="shared" si="14"/>
        <v>工程地质条件</v>
      </c>
      <c r="R44" s="1573" t="s">
        <v>8</v>
      </c>
      <c r="S44" s="1574">
        <f t="shared" si="10"/>
        <v>100</v>
      </c>
      <c r="T44" s="1573" t="s">
        <v>8</v>
      </c>
      <c r="U44" s="1574">
        <f t="shared" si="11"/>
        <v>100</v>
      </c>
      <c r="V44" s="1573" t="s">
        <v>8</v>
      </c>
      <c r="W44" s="1574">
        <f t="shared" si="12"/>
        <v>100</v>
      </c>
      <c r="X44" s="1567"/>
      <c r="Y44" s="3732" t="s">
        <v>549</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732"/>
      <c r="Q45" s="1572">
        <f t="shared" si="14"/>
        <v>111</v>
      </c>
      <c r="R45" s="1573" t="s">
        <v>8</v>
      </c>
      <c r="S45" s="1574">
        <f t="shared" si="10"/>
        <v>100</v>
      </c>
      <c r="T45" s="1573" t="s">
        <v>8</v>
      </c>
      <c r="U45" s="1574">
        <f t="shared" si="11"/>
        <v>100</v>
      </c>
      <c r="V45" s="1573" t="s">
        <v>8</v>
      </c>
      <c r="W45" s="1574">
        <f t="shared" si="12"/>
        <v>100</v>
      </c>
      <c r="X45" s="1567"/>
      <c r="Y45" s="3732"/>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32"/>
      <c r="Q46" s="1572">
        <f t="shared" si="14"/>
        <v>111</v>
      </c>
      <c r="R46" s="1573" t="s">
        <v>8</v>
      </c>
      <c r="S46" s="1574">
        <f t="shared" si="10"/>
        <v>100</v>
      </c>
      <c r="T46" s="1573" t="s">
        <v>8</v>
      </c>
      <c r="U46" s="1574">
        <f t="shared" si="11"/>
        <v>100</v>
      </c>
      <c r="V46" s="1573" t="s">
        <v>8</v>
      </c>
      <c r="W46" s="1574">
        <f t="shared" si="12"/>
        <v>100</v>
      </c>
      <c r="X46" s="1567"/>
      <c r="Y46" s="3732"/>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32"/>
      <c r="Q47" s="1572">
        <f t="shared" si="14"/>
        <v>111</v>
      </c>
      <c r="R47" s="1577" t="s">
        <v>8</v>
      </c>
      <c r="S47" s="1578">
        <f t="shared" si="10"/>
        <v>100</v>
      </c>
      <c r="T47" s="1577" t="s">
        <v>8</v>
      </c>
      <c r="U47" s="1578">
        <f t="shared" si="11"/>
        <v>100</v>
      </c>
      <c r="V47" s="1577" t="s">
        <v>8</v>
      </c>
      <c r="W47" s="1578">
        <f t="shared" si="12"/>
        <v>100</v>
      </c>
      <c r="X47" s="1579"/>
      <c r="Y47" s="3732"/>
      <c r="Z47" s="1580">
        <f t="shared" si="13"/>
        <v>111</v>
      </c>
      <c r="AA47" s="1576">
        <f t="shared" si="3"/>
        <v>1</v>
      </c>
      <c r="AB47" s="1576">
        <f t="shared" si="4"/>
        <v>1</v>
      </c>
      <c r="AC47" s="1576">
        <f t="shared" si="5"/>
        <v>1</v>
      </c>
    </row>
    <row r="48" spans="1:29" ht="20.25">
      <c r="A48" s="607" t="s">
        <v>555</v>
      </c>
      <c r="B48" s="608" t="s">
        <v>2934</v>
      </c>
      <c r="C48" s="609" t="s">
        <v>1</v>
      </c>
      <c r="D48" s="610"/>
      <c r="E48" s="611"/>
      <c r="F48" s="612"/>
      <c r="G48" s="613"/>
      <c r="H48" s="614"/>
      <c r="I48" s="611"/>
      <c r="J48" s="614"/>
      <c r="K48" s="1340"/>
      <c r="L48" s="2145"/>
      <c r="M48" s="2133"/>
      <c r="N48" s="2133"/>
      <c r="O48" s="2146"/>
      <c r="P48" s="3727" t="str">
        <f>A48</f>
        <v>成交单价</v>
      </c>
      <c r="Q48" s="3727"/>
      <c r="R48" s="3741">
        <f>E48</f>
        <v>0</v>
      </c>
      <c r="S48" s="3741"/>
      <c r="T48" s="3741">
        <f>G48</f>
        <v>0</v>
      </c>
      <c r="U48" s="3741"/>
      <c r="V48" s="3741">
        <f>I48</f>
        <v>0</v>
      </c>
      <c r="W48" s="3741"/>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727" t="str">
        <f>A49</f>
        <v>比较价格（元/平方米）</v>
      </c>
      <c r="Q49" s="3727"/>
      <c r="R49" s="3751" t="e">
        <f>ROUND(PRODUCT(R48,AA9:AA47),0)</f>
        <v>#DIV/0!</v>
      </c>
      <c r="S49" s="3751"/>
      <c r="T49" s="3751" t="e">
        <f>ROUND(PRODUCT(T48,AB9:AB47),0)</f>
        <v>#DIV/0!</v>
      </c>
      <c r="U49" s="3751"/>
      <c r="V49" s="3751" t="e">
        <f>ROUND(PRODUCT(V48,AC9:AC47),0)</f>
        <v>#DIV/0!</v>
      </c>
      <c r="W49" s="3751"/>
      <c r="X49" s="1559"/>
      <c r="Y49" s="1559"/>
      <c r="Z49" s="1559"/>
      <c r="AA49" s="1559"/>
      <c r="AB49" s="1559"/>
      <c r="AC49" s="1559"/>
    </row>
    <row r="50" spans="1:29" ht="21" thickBot="1">
      <c r="A50" s="621" t="s">
        <v>2935</v>
      </c>
      <c r="B50" s="622"/>
      <c r="C50" s="623" t="e">
        <f>R50</f>
        <v>#DIV/0!</v>
      </c>
      <c r="D50" s="623"/>
      <c r="E50" s="623"/>
      <c r="F50" s="623"/>
      <c r="G50" s="623"/>
      <c r="H50" s="623"/>
      <c r="I50" s="623"/>
      <c r="J50" s="623"/>
      <c r="K50" s="1342"/>
      <c r="L50" s="2145"/>
      <c r="M50" s="2133"/>
      <c r="N50" s="2133"/>
      <c r="O50" s="2146"/>
      <c r="P50" s="3748" t="str">
        <f>A50</f>
        <v>估价对象XX用房的比较价格（楼面单价，元/平方米）</v>
      </c>
      <c r="Q50" s="3749"/>
      <c r="R50" s="3750" t="e">
        <f>ROUND(AVERAGE(R49:V49),0)</f>
        <v>#DIV/0!</v>
      </c>
      <c r="S50" s="3750"/>
      <c r="T50" s="3750"/>
      <c r="U50" s="3750"/>
      <c r="V50" s="3750"/>
      <c r="W50" s="375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711" t="s">
        <v>2283</v>
      </c>
      <c r="H57" s="3712"/>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t="e">
        <f>C50</f>
        <v>#DIV/0!</v>
      </c>
      <c r="C58" s="635">
        <v>1</v>
      </c>
      <c r="D58" s="2229">
        <v>1</v>
      </c>
      <c r="E58" s="635">
        <f>'数据-汇总表'!E8+'数据-汇总表'!E9</f>
        <v>59362.400000000001</v>
      </c>
      <c r="F58" s="636" t="e">
        <f t="shared" ref="F58:F67" si="15">ROUND(B58*E58/10000,0)</f>
        <v>#DIV/0!</v>
      </c>
      <c r="G58" s="3713"/>
      <c r="H58" s="371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t="e">
        <f>ROUND($C$50*C59*D59,0)</f>
        <v>#DIV/0!</v>
      </c>
      <c r="C59" s="378">
        <f t="shared" ref="C59:C67" si="16">IF($C$57="北京市系数",I59,J59)</f>
        <v>0</v>
      </c>
      <c r="D59" s="2230">
        <v>0.25</v>
      </c>
      <c r="E59" s="639">
        <v>0</v>
      </c>
      <c r="F59" s="636" t="e">
        <f t="shared" si="15"/>
        <v>#DIV/0!</v>
      </c>
      <c r="G59" s="3715"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t="e">
        <f t="shared" ref="B60:B67" si="17">ROUND($C$50*C60*D60,0)</f>
        <v>#DIV/0!</v>
      </c>
      <c r="C60" s="378">
        <f t="shared" si="16"/>
        <v>0</v>
      </c>
      <c r="D60" s="2230">
        <v>0.25</v>
      </c>
      <c r="E60" s="639">
        <v>0</v>
      </c>
      <c r="F60" s="636" t="e">
        <f t="shared" si="15"/>
        <v>#DIV/0!</v>
      </c>
      <c r="G60" s="371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t="e">
        <f t="shared" si="17"/>
        <v>#DIV/0!</v>
      </c>
      <c r="C61" s="378">
        <f t="shared" si="16"/>
        <v>0</v>
      </c>
      <c r="D61" s="2230">
        <v>0.25</v>
      </c>
      <c r="E61" s="639">
        <v>0</v>
      </c>
      <c r="F61" s="636" t="e">
        <f t="shared" si="15"/>
        <v>#DIV/0!</v>
      </c>
      <c r="G61" s="371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t="e">
        <f t="shared" si="17"/>
        <v>#DIV/0!</v>
      </c>
      <c r="C62" s="378">
        <f t="shared" si="16"/>
        <v>0</v>
      </c>
      <c r="D62" s="2230">
        <v>0.25</v>
      </c>
      <c r="E62" s="639">
        <v>0</v>
      </c>
      <c r="F62" s="636" t="e">
        <f t="shared" si="15"/>
        <v>#DIV/0!</v>
      </c>
      <c r="G62" s="371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t="e">
        <f t="shared" si="17"/>
        <v>#DIV/0!</v>
      </c>
      <c r="C63" s="378">
        <f t="shared" si="16"/>
        <v>0</v>
      </c>
      <c r="D63" s="2230">
        <v>0.25</v>
      </c>
      <c r="E63" s="641">
        <f>'数据-汇总表'!E11</f>
        <v>0</v>
      </c>
      <c r="F63" s="636" t="e">
        <f t="shared" si="15"/>
        <v>#DIV/0!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t="e">
        <f t="shared" si="17"/>
        <v>#DIV/0!</v>
      </c>
      <c r="C64" s="378">
        <f t="shared" si="16"/>
        <v>0</v>
      </c>
      <c r="D64" s="2230">
        <v>0.25</v>
      </c>
      <c r="E64" s="641">
        <f>'数据-汇总表'!E12</f>
        <v>0</v>
      </c>
      <c r="F64" s="636" t="e">
        <f t="shared" si="15"/>
        <v>#DIV/0!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t="e">
        <f t="shared" si="17"/>
        <v>#DIV/0!</v>
      </c>
      <c r="C65" s="378">
        <f t="shared" si="16"/>
        <v>0</v>
      </c>
      <c r="D65" s="2230">
        <v>0.25</v>
      </c>
      <c r="E65" s="641">
        <f>'数据-汇总表'!E13</f>
        <v>0</v>
      </c>
      <c r="F65" s="636" t="e">
        <f t="shared" si="15"/>
        <v>#DIV/0!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t="e">
        <f t="shared" si="17"/>
        <v>#DIV/0!</v>
      </c>
      <c r="C66" s="378">
        <f t="shared" si="16"/>
        <v>0</v>
      </c>
      <c r="D66" s="2230">
        <v>0.25</v>
      </c>
      <c r="E66" s="641">
        <f>'数据-汇总表'!E14</f>
        <v>0</v>
      </c>
      <c r="F66" s="636" t="e">
        <f t="shared" si="15"/>
        <v>#DIV/0!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t="e">
        <f t="shared" si="17"/>
        <v>#DIV/0!</v>
      </c>
      <c r="C67" s="378">
        <f t="shared" si="16"/>
        <v>0</v>
      </c>
      <c r="D67" s="2230">
        <v>0.25</v>
      </c>
      <c r="E67" s="641">
        <f>'数据-汇总表'!E15</f>
        <v>0</v>
      </c>
      <c r="F67" s="636" t="e">
        <f t="shared" si="15"/>
        <v>#DIV/0!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2296</v>
      </c>
      <c r="E68" s="643">
        <f>IF(B48="楼面地价",SUM(E58:E67),'数据-汇总表'!D3)</f>
        <v>182153.37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0" type="noConversion"/>
  <conditionalFormatting sqref="F53 H53 J53">
    <cfRule type="containsText" dxfId="175" priority="14" stopIfTrue="1" operator="containsText" text="超过">
      <formula>NOT(ISERROR(SEARCH("超过",F53)))</formula>
    </cfRule>
  </conditionalFormatting>
  <conditionalFormatting sqref="J55">
    <cfRule type="containsText" dxfId="174" priority="13" stopIfTrue="1" operator="containsText" text="超过">
      <formula>NOT(ISERROR(SEARCH("超过",J55)))</formula>
    </cfRule>
  </conditionalFormatting>
  <conditionalFormatting sqref="H55">
    <cfRule type="containsText" dxfId="173" priority="12" stopIfTrue="1" operator="containsText" text="超过">
      <formula>NOT(ISERROR(SEARCH("超过",H55)))</formula>
    </cfRule>
  </conditionalFormatting>
  <conditionalFormatting sqref="F55">
    <cfRule type="containsText" dxfId="172" priority="11" stopIfTrue="1" operator="containsText" text="超过">
      <formula>NOT(ISERROR(SEARCH("超过",F55)))</formula>
    </cfRule>
  </conditionalFormatting>
  <conditionalFormatting sqref="F54 H54 J54">
    <cfRule type="containsText" dxfId="171" priority="10" stopIfTrue="1" operator="containsText" text="超过">
      <formula>NOT(ISERROR(SEARCH("超过",F54)))</formula>
    </cfRule>
  </conditionalFormatting>
  <conditionalFormatting sqref="E53">
    <cfRule type="expression" dxfId="170" priority="9" stopIfTrue="1">
      <formula>$F$53="超过30%"</formula>
    </cfRule>
  </conditionalFormatting>
  <conditionalFormatting sqref="G55">
    <cfRule type="expression" dxfId="169" priority="8" stopIfTrue="1">
      <formula>$H$55="超过30%"</formula>
    </cfRule>
  </conditionalFormatting>
  <conditionalFormatting sqref="E54">
    <cfRule type="expression" dxfId="168" priority="7" stopIfTrue="1">
      <formula>$F$54="超过20%"</formula>
    </cfRule>
  </conditionalFormatting>
  <conditionalFormatting sqref="E55">
    <cfRule type="expression" dxfId="167" priority="6" stopIfTrue="1">
      <formula>$F$55="超过30%"</formula>
    </cfRule>
  </conditionalFormatting>
  <conditionalFormatting sqref="G53">
    <cfRule type="expression" dxfId="166" priority="5" stopIfTrue="1">
      <formula>$H$55+$H$53="超过30%"</formula>
    </cfRule>
  </conditionalFormatting>
  <conditionalFormatting sqref="G54">
    <cfRule type="expression" dxfId="165" priority="4" stopIfTrue="1">
      <formula>$H$54="超过20%"</formula>
    </cfRule>
  </conditionalFormatting>
  <conditionalFormatting sqref="I53">
    <cfRule type="expression" dxfId="164" priority="3" stopIfTrue="1">
      <formula>$J$53="超过30%"</formula>
    </cfRule>
  </conditionalFormatting>
  <conditionalFormatting sqref="I54">
    <cfRule type="expression" dxfId="163" priority="2" stopIfTrue="1">
      <formula>$J$54="超过20%"</formula>
    </cfRule>
  </conditionalFormatting>
  <conditionalFormatting sqref="I55">
    <cfRule type="expression" dxfId="16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F10"/>
  <sheetViews>
    <sheetView workbookViewId="0">
      <selection activeCell="D4" sqref="D4"/>
    </sheetView>
  </sheetViews>
  <sheetFormatPr defaultRowHeight="13.5"/>
  <cols>
    <col min="2" max="2" width="9" customWidth="1"/>
    <col min="3" max="3" width="23" customWidth="1"/>
    <col min="4" max="4" width="13" customWidth="1"/>
  </cols>
  <sheetData>
    <row r="2" spans="2:6" ht="24.75" customHeight="1">
      <c r="B2" s="3752" t="s">
        <v>3141</v>
      </c>
      <c r="C2" s="3752"/>
      <c r="D2" s="3752"/>
    </row>
    <row r="3" spans="2:6" ht="24.75" customHeight="1">
      <c r="B3" s="3229" t="s">
        <v>3142</v>
      </c>
      <c r="C3" s="3229" t="s">
        <v>3143</v>
      </c>
      <c r="D3" s="3229" t="s">
        <v>3146</v>
      </c>
    </row>
    <row r="4" spans="2:6" ht="24.75" customHeight="1">
      <c r="B4" s="3227">
        <v>1</v>
      </c>
      <c r="C4" s="3229" t="s">
        <v>3188</v>
      </c>
      <c r="D4" s="3227">
        <f ca="1">结果表!G19</f>
        <v>147498</v>
      </c>
    </row>
    <row r="5" spans="2:6" ht="24.75" customHeight="1">
      <c r="B5" s="3236">
        <v>2</v>
      </c>
      <c r="C5" s="3235" t="s">
        <v>3189</v>
      </c>
      <c r="D5" s="3236">
        <f ca="1">ROUND(F5*(结果表!G21-基准地价!C30)/10000,0)</f>
        <v>8424</v>
      </c>
      <c r="F5">
        <v>10879.7</v>
      </c>
    </row>
    <row r="6" spans="2:6" ht="24.75" customHeight="1">
      <c r="B6" s="3227">
        <v>3</v>
      </c>
      <c r="C6" s="3229" t="s">
        <v>3145</v>
      </c>
      <c r="D6" s="3233">
        <f>建筑物价格!Q91</f>
        <v>7850.2000000000007</v>
      </c>
    </row>
    <row r="7" spans="2:6" ht="24.75" customHeight="1">
      <c r="B7" s="3227">
        <v>4</v>
      </c>
      <c r="C7" s="3229" t="s">
        <v>3144</v>
      </c>
      <c r="D7" s="3227">
        <f>'附属物-树木'!F44</f>
        <v>212.25</v>
      </c>
    </row>
    <row r="8" spans="2:6" ht="24.75" customHeight="1">
      <c r="B8" s="3227">
        <v>5</v>
      </c>
      <c r="C8" s="3227" t="s">
        <v>3139</v>
      </c>
      <c r="D8" s="3227">
        <f>停产停业损失补偿!G9</f>
        <v>4109.3599999999997</v>
      </c>
    </row>
    <row r="9" spans="2:6" ht="24.75" customHeight="1">
      <c r="B9" s="3227">
        <v>6</v>
      </c>
      <c r="C9" s="3227" t="s">
        <v>3140</v>
      </c>
      <c r="D9" s="3227">
        <f>搬迁费!D5</f>
        <v>313.58</v>
      </c>
    </row>
    <row r="10" spans="2:6" ht="24.75" customHeight="1">
      <c r="B10" s="3753" t="s">
        <v>3147</v>
      </c>
      <c r="C10" s="3753"/>
      <c r="D10" s="3227">
        <f ca="1">SUM(D4:D9)</f>
        <v>168407.38999999998</v>
      </c>
    </row>
  </sheetData>
  <mergeCells count="2">
    <mergeCell ref="B2:D2"/>
    <mergeCell ref="B10:C10"/>
  </mergeCells>
  <phoneticPr fontId="23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N29"/>
  <sheetViews>
    <sheetView topLeftCell="B1" zoomScale="110" zoomScaleNormal="110" workbookViewId="0">
      <selection activeCell="D4" sqref="D4"/>
    </sheetView>
  </sheetViews>
  <sheetFormatPr defaultRowHeight="13.5"/>
  <cols>
    <col min="2" max="2" width="9" customWidth="1"/>
    <col min="3" max="3" width="33.5" customWidth="1"/>
    <col min="4" max="4" width="13" customWidth="1"/>
    <col min="6" max="6" width="13" customWidth="1"/>
    <col min="8" max="8" width="9" customWidth="1"/>
  </cols>
  <sheetData>
    <row r="2" spans="2:14" ht="24.75" customHeight="1">
      <c r="B2" s="3752" t="s">
        <v>3141</v>
      </c>
      <c r="C2" s="3752"/>
      <c r="D2" s="3752"/>
      <c r="F2" s="3354" t="s">
        <v>3513</v>
      </c>
      <c r="G2" s="3192" t="s">
        <v>3514</v>
      </c>
      <c r="H2" s="3192"/>
      <c r="I2" s="3192"/>
      <c r="J2" s="3192"/>
    </row>
    <row r="3" spans="2:14" ht="24.75" customHeight="1">
      <c r="B3" s="3242" t="s">
        <v>3142</v>
      </c>
      <c r="C3" s="3242" t="s">
        <v>3143</v>
      </c>
      <c r="D3" s="3242" t="s">
        <v>3146</v>
      </c>
      <c r="F3" s="1794">
        <f>'数据-基础表'!A3</f>
        <v>182153.37</v>
      </c>
      <c r="G3" s="1794">
        <f>'数据-基础表'!B3</f>
        <v>60473.499999999985</v>
      </c>
      <c r="I3" s="3757" t="s">
        <v>3508</v>
      </c>
      <c r="J3" s="3757"/>
      <c r="K3" s="3757" t="s">
        <v>3509</v>
      </c>
      <c r="L3" s="3757"/>
      <c r="M3" s="3757" t="s">
        <v>3510</v>
      </c>
      <c r="N3" s="3757"/>
    </row>
    <row r="4" spans="2:14" ht="24.75" customHeight="1">
      <c r="B4" s="3243">
        <v>1</v>
      </c>
      <c r="C4" s="3242" t="s">
        <v>3188</v>
      </c>
      <c r="D4" s="3243">
        <f ca="1">ROUND(结果表!G21*'结果一览表 (基)'!F3/10000,0)</f>
        <v>147508</v>
      </c>
      <c r="F4" s="3354" t="s">
        <v>3231</v>
      </c>
      <c r="H4" s="3757" t="s">
        <v>3511</v>
      </c>
      <c r="I4" s="3192" t="s">
        <v>3515</v>
      </c>
      <c r="J4" s="3426" t="s">
        <v>3516</v>
      </c>
      <c r="K4" s="3192" t="s">
        <v>3515</v>
      </c>
      <c r="L4" s="3426" t="s">
        <v>3516</v>
      </c>
      <c r="M4" s="3192" t="s">
        <v>3515</v>
      </c>
      <c r="N4" s="3426" t="s">
        <v>3516</v>
      </c>
    </row>
    <row r="5" spans="2:14" ht="24.75" customHeight="1">
      <c r="B5" s="3243">
        <v>2</v>
      </c>
      <c r="C5" s="3242" t="s">
        <v>3189</v>
      </c>
      <c r="D5" s="3243">
        <f ca="1">ROUND(F5*(结果表!C21-基准地价!C30)/10000,0)</f>
        <v>2186</v>
      </c>
      <c r="F5" s="1794">
        <v>10879.7</v>
      </c>
      <c r="H5" s="3757"/>
      <c r="I5">
        <f ca="1">基准地价!B3</f>
        <v>2364</v>
      </c>
      <c r="J5">
        <f ca="1">基准地价!B4</f>
        <v>2364</v>
      </c>
      <c r="K5">
        <f ca="1">成本逼近法!B3</f>
        <v>31792</v>
      </c>
      <c r="L5">
        <f ca="1">成本逼近法!B4</f>
        <v>10555</v>
      </c>
      <c r="M5">
        <f>'比较法-工业'!B3</f>
        <v>9762</v>
      </c>
      <c r="N5">
        <f>'比较法-工业'!B4</f>
        <v>3241</v>
      </c>
    </row>
    <row r="6" spans="2:14" ht="24.75" customHeight="1">
      <c r="B6" s="3243">
        <v>3</v>
      </c>
      <c r="C6" s="3242" t="s">
        <v>3228</v>
      </c>
      <c r="D6" s="3244">
        <f>建筑物价格!Q43</f>
        <v>6004.7400000000007</v>
      </c>
      <c r="F6" s="3192" t="s">
        <v>3527</v>
      </c>
      <c r="G6" s="3192" t="s">
        <v>3528</v>
      </c>
      <c r="H6" s="3757"/>
      <c r="I6" s="3757" t="s">
        <v>3517</v>
      </c>
      <c r="J6" s="3757"/>
      <c r="K6" s="3757" t="s">
        <v>3517</v>
      </c>
      <c r="L6" s="3757"/>
      <c r="M6" s="3757" t="s">
        <v>3517</v>
      </c>
      <c r="N6" s="3757"/>
    </row>
    <row r="7" spans="2:14" ht="24.75" customHeight="1">
      <c r="B7" s="3243">
        <v>4</v>
      </c>
      <c r="C7" s="3242" t="s">
        <v>3229</v>
      </c>
      <c r="D7" s="3244">
        <f>建筑物价格!Q53</f>
        <v>228.82999999999998</v>
      </c>
      <c r="F7" s="1794">
        <f>44844-1468.94</f>
        <v>43375.06</v>
      </c>
      <c r="G7">
        <f>F7/F3</f>
        <v>0.23812384036595094</v>
      </c>
      <c r="H7" s="3757"/>
      <c r="I7" s="3758">
        <f ca="1">ROUND((J5*F3+基准地价!D38*基准地价!C38)/10000,0)</f>
        <v>43061</v>
      </c>
      <c r="J7" s="3758"/>
      <c r="K7" s="3758">
        <f ca="1">ROUND(L5*F3/10000,0)</f>
        <v>192263</v>
      </c>
      <c r="L7" s="3758"/>
      <c r="M7" s="3758"/>
      <c r="N7" s="3758"/>
    </row>
    <row r="8" spans="2:14" ht="24.75" customHeight="1">
      <c r="B8" s="3243">
        <v>5</v>
      </c>
      <c r="C8" s="3242" t="s">
        <v>3230</v>
      </c>
      <c r="D8" s="3244">
        <f>建筑物价格!Q89</f>
        <v>1616.6300000000003</v>
      </c>
      <c r="H8" s="3192" t="s">
        <v>3512</v>
      </c>
      <c r="I8">
        <f>'基准地价 (划拨)'!B3</f>
        <v>1486</v>
      </c>
      <c r="K8">
        <f ca="1">'成本逼近法 (划拨)'!B3</f>
        <v>2011</v>
      </c>
    </row>
    <row r="9" spans="2:14" ht="24.75" customHeight="1">
      <c r="B9" s="3243">
        <v>6</v>
      </c>
      <c r="C9" s="3242" t="s">
        <v>3442</v>
      </c>
      <c r="D9" s="3243">
        <f>'附属物-树木'!F44</f>
        <v>212.25</v>
      </c>
    </row>
    <row r="10" spans="2:14" ht="24.75" customHeight="1">
      <c r="B10" s="3250">
        <v>7</v>
      </c>
      <c r="C10" s="3249" t="s">
        <v>3518</v>
      </c>
      <c r="D10" s="3250">
        <f>ROUND('附属物-墙地泉'!G9,2)</f>
        <v>82.6</v>
      </c>
      <c r="F10" s="3427">
        <f>D6+D7+D8+D9+D10+D11+D12</f>
        <v>12567.99</v>
      </c>
    </row>
    <row r="11" spans="2:14" ht="24.75" customHeight="1">
      <c r="B11" s="3243">
        <v>8</v>
      </c>
      <c r="C11" s="3243" t="s">
        <v>3139</v>
      </c>
      <c r="D11" s="3243">
        <f>停产停业损失补偿!G9</f>
        <v>4109.3599999999997</v>
      </c>
    </row>
    <row r="12" spans="2:14" ht="24.75" customHeight="1">
      <c r="B12" s="3243">
        <v>9</v>
      </c>
      <c r="C12" s="3243" t="s">
        <v>3140</v>
      </c>
      <c r="D12" s="3243">
        <f>搬迁费!D5</f>
        <v>313.58</v>
      </c>
    </row>
    <row r="13" spans="2:14" ht="24.75" customHeight="1">
      <c r="B13" s="3753" t="s">
        <v>3147</v>
      </c>
      <c r="C13" s="3753"/>
      <c r="D13" s="3243">
        <f ca="1">SUM(D4:D12)</f>
        <v>162261.98999999996</v>
      </c>
      <c r="F13" s="3457"/>
      <c r="G13" s="3753" t="s">
        <v>3508</v>
      </c>
      <c r="H13" s="3753"/>
      <c r="I13" s="3753" t="s">
        <v>3509</v>
      </c>
      <c r="J13" s="3753"/>
      <c r="K13" s="3753" t="s">
        <v>3530</v>
      </c>
      <c r="L13" s="3753"/>
    </row>
    <row r="14" spans="2:14">
      <c r="F14" s="3452" t="s">
        <v>3532</v>
      </c>
      <c r="G14" s="3754">
        <f ca="1">基准地价!E29+基准地价!E38</f>
        <v>43061</v>
      </c>
      <c r="H14" s="3754"/>
      <c r="I14" s="3754">
        <f ca="1">成本逼近法!B2</f>
        <v>192257</v>
      </c>
      <c r="J14" s="3754"/>
      <c r="K14" s="3754">
        <f ca="1">ROUND(ROUND('比较法-工业'!C44*基准地价!C20,0)*'结果一览表 (基)'!F3/10000,0)</f>
        <v>46959</v>
      </c>
      <c r="L14" s="3754"/>
    </row>
    <row r="15" spans="2:14">
      <c r="D15" s="3427">
        <f>D6+D7+D8+D9+D10+D11+D12</f>
        <v>12567.99</v>
      </c>
      <c r="F15" s="3452" t="s">
        <v>3533</v>
      </c>
      <c r="G15" s="3755">
        <f ca="1">ROUND(G14*G7,0)</f>
        <v>10254</v>
      </c>
      <c r="H15" s="3756"/>
      <c r="I15" s="3755">
        <f ca="1">ROUND(I14*G7,0)</f>
        <v>45781</v>
      </c>
      <c r="J15" s="3756"/>
      <c r="K15" s="3755">
        <f ca="1">ROUND(K14*G7,0)</f>
        <v>11182</v>
      </c>
      <c r="L15" s="3756"/>
    </row>
    <row r="16" spans="2:14">
      <c r="D16">
        <v>9903.83</v>
      </c>
      <c r="F16" s="3452" t="s">
        <v>3526</v>
      </c>
      <c r="G16" s="3754">
        <f>'基准地价 (划拨)'!E29-'基准地价 (划拨)'!E30</f>
        <v>2748</v>
      </c>
      <c r="H16" s="3754"/>
      <c r="I16" s="3754">
        <f ca="1">'成本逼近法 (划拨)'!B2</f>
        <v>12163</v>
      </c>
      <c r="J16" s="3754"/>
      <c r="K16" s="3754">
        <f>ROUND(('比较法-工业'!C44-'基准地价 (划拨)'!C30)*'结果一览表 (基)'!F5/10000,0)</f>
        <v>3041</v>
      </c>
      <c r="L16" s="3754"/>
    </row>
    <row r="17" spans="4:12">
      <c r="D17" s="3427">
        <f>SUM(D15:D16)</f>
        <v>22471.82</v>
      </c>
      <c r="F17" s="3452" t="s">
        <v>3534</v>
      </c>
      <c r="G17" s="3754">
        <f ca="1">G14+G16</f>
        <v>45809</v>
      </c>
      <c r="H17" s="3754"/>
      <c r="I17" s="3754">
        <f t="shared" ref="I17" ca="1" si="0">I14+I16</f>
        <v>204420</v>
      </c>
      <c r="J17" s="3754"/>
      <c r="K17" s="3754">
        <f t="shared" ref="K17" ca="1" si="1">K14+K16</f>
        <v>50000</v>
      </c>
      <c r="L17" s="3754"/>
    </row>
    <row r="18" spans="4:12">
      <c r="D18">
        <v>102048</v>
      </c>
    </row>
    <row r="19" spans="4:12">
      <c r="D19" s="3427">
        <f>SUM(D17:D18)</f>
        <v>124519.82</v>
      </c>
      <c r="F19" s="3458" t="s">
        <v>3529</v>
      </c>
    </row>
    <row r="20" spans="4:12">
      <c r="F20" s="3753" t="str">
        <f>G13</f>
        <v>基准地价法</v>
      </c>
      <c r="G20" s="3753"/>
      <c r="H20" s="3455">
        <v>0.3</v>
      </c>
      <c r="I20" s="3754">
        <f ca="1">ROUND(G14*H20+I14*H21,0)</f>
        <v>147498</v>
      </c>
      <c r="J20" s="3754"/>
    </row>
    <row r="21" spans="4:12">
      <c r="F21" s="3753" t="str">
        <f>I13</f>
        <v>成本法</v>
      </c>
      <c r="G21" s="3753"/>
      <c r="H21" s="3455">
        <f>1-H20</f>
        <v>0.7</v>
      </c>
      <c r="I21" s="3754"/>
      <c r="J21" s="3754"/>
    </row>
    <row r="22" spans="4:12">
      <c r="F22" s="3753" t="str">
        <f>G13</f>
        <v>基准地价法</v>
      </c>
      <c r="G22" s="3753"/>
      <c r="H22" s="3455">
        <v>0.5</v>
      </c>
      <c r="I22" s="3754">
        <f ca="1">ROUND(G17*H22+K17*H23,0)</f>
        <v>47905</v>
      </c>
      <c r="J22" s="3754"/>
    </row>
    <row r="23" spans="4:12">
      <c r="F23" s="3753" t="str">
        <f>K13</f>
        <v>市场比较法</v>
      </c>
      <c r="G23" s="3753"/>
      <c r="H23" s="3452">
        <f>1-H22</f>
        <v>0.5</v>
      </c>
      <c r="I23" s="3754"/>
      <c r="J23" s="3754"/>
    </row>
    <row r="24" spans="4:12">
      <c r="H24" s="3454"/>
    </row>
    <row r="25" spans="4:12">
      <c r="F25" s="3453" t="s">
        <v>3531</v>
      </c>
      <c r="H25" s="3454"/>
    </row>
    <row r="26" spans="4:12">
      <c r="F26" s="3753" t="str">
        <f>G13</f>
        <v>基准地价法</v>
      </c>
      <c r="G26" s="3753"/>
      <c r="H26" s="3455">
        <v>0.3</v>
      </c>
      <c r="I26" s="3754">
        <f ca="1">ROUND(G15*H26+I15*H27,0)</f>
        <v>35123</v>
      </c>
      <c r="J26" s="3754"/>
    </row>
    <row r="27" spans="4:12">
      <c r="F27" s="3753" t="str">
        <f>I13</f>
        <v>成本法</v>
      </c>
      <c r="G27" s="3753"/>
      <c r="H27" s="3455">
        <f>1-H26</f>
        <v>0.7</v>
      </c>
      <c r="I27" s="3754"/>
      <c r="J27" s="3754"/>
    </row>
    <row r="28" spans="4:12">
      <c r="F28" s="3753" t="str">
        <f>G13</f>
        <v>基准地价法</v>
      </c>
      <c r="G28" s="3753"/>
      <c r="H28" s="3455">
        <v>0.5</v>
      </c>
      <c r="I28" s="3754">
        <f ca="1">ROUND(G15*H28+K15*H29,0)</f>
        <v>10718</v>
      </c>
      <c r="J28" s="3754"/>
    </row>
    <row r="29" spans="4:12">
      <c r="F29" s="3753" t="str">
        <f>K13</f>
        <v>市场比较法</v>
      </c>
      <c r="G29" s="3753"/>
      <c r="H29" s="3452">
        <f>1-H28</f>
        <v>0.5</v>
      </c>
      <c r="I29" s="3754"/>
      <c r="J29" s="3754"/>
    </row>
  </sheetData>
  <mergeCells count="39">
    <mergeCell ref="B2:D2"/>
    <mergeCell ref="B13:C13"/>
    <mergeCell ref="I3:J3"/>
    <mergeCell ref="K3:L3"/>
    <mergeCell ref="M3:N3"/>
    <mergeCell ref="I6:J6"/>
    <mergeCell ref="K6:L6"/>
    <mergeCell ref="M6:N6"/>
    <mergeCell ref="H4:H7"/>
    <mergeCell ref="I7:J7"/>
    <mergeCell ref="K7:L7"/>
    <mergeCell ref="M7:N7"/>
    <mergeCell ref="G13:H13"/>
    <mergeCell ref="I13:J13"/>
    <mergeCell ref="K13:L13"/>
    <mergeCell ref="G14:H14"/>
    <mergeCell ref="G16:H16"/>
    <mergeCell ref="I14:J14"/>
    <mergeCell ref="I16:J16"/>
    <mergeCell ref="K14:L14"/>
    <mergeCell ref="K16:L16"/>
    <mergeCell ref="G15:H15"/>
    <mergeCell ref="I15:J15"/>
    <mergeCell ref="K15:L15"/>
    <mergeCell ref="G17:H17"/>
    <mergeCell ref="I17:J17"/>
    <mergeCell ref="K17:L17"/>
    <mergeCell ref="I20:J21"/>
    <mergeCell ref="I22:J23"/>
    <mergeCell ref="F20:G20"/>
    <mergeCell ref="F21:G21"/>
    <mergeCell ref="F22:G22"/>
    <mergeCell ref="F23:G23"/>
    <mergeCell ref="F26:G26"/>
    <mergeCell ref="I26:J27"/>
    <mergeCell ref="F27:G27"/>
    <mergeCell ref="F28:G28"/>
    <mergeCell ref="I28:J29"/>
    <mergeCell ref="F29:G29"/>
  </mergeCells>
  <phoneticPr fontId="23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workbookViewId="0">
      <selection activeCell="E5" sqref="E5"/>
    </sheetView>
  </sheetViews>
  <sheetFormatPr defaultRowHeight="13.5"/>
  <cols>
    <col min="2" max="2" width="9.125" bestFit="1" customWidth="1"/>
    <col min="3" max="3" width="24.5" customWidth="1"/>
    <col min="4" max="4" width="14.75" customWidth="1"/>
    <col min="5" max="6" width="13.5" customWidth="1"/>
    <col min="7" max="7" width="52.25" customWidth="1"/>
    <col min="9" max="9" width="19.5" customWidth="1"/>
  </cols>
  <sheetData>
    <row r="1" spans="1:20" ht="20.100000000000001" customHeight="1"/>
    <row r="2" spans="1:20" ht="20.100000000000001" customHeight="1"/>
    <row r="3" spans="1:20" ht="20.100000000000001" customHeight="1" thickBot="1"/>
    <row r="4" spans="1:20" s="3190" customFormat="1" ht="22.5" customHeight="1" thickBot="1">
      <c r="A4" s="3466"/>
      <c r="B4" s="3537" t="s">
        <v>3558</v>
      </c>
      <c r="C4" s="3537" t="s">
        <v>3559</v>
      </c>
      <c r="D4" s="3538" t="s">
        <v>3561</v>
      </c>
      <c r="E4" s="3539" t="s">
        <v>3611</v>
      </c>
      <c r="F4" s="3539" t="s">
        <v>3612</v>
      </c>
      <c r="G4" s="3531" t="s">
        <v>3560</v>
      </c>
      <c r="H4" s="3469"/>
      <c r="I4" s="3460"/>
      <c r="J4" s="3460"/>
      <c r="K4" s="3460"/>
      <c r="L4" s="3460"/>
      <c r="M4" s="3460"/>
      <c r="N4" s="3460"/>
      <c r="O4" s="3460"/>
      <c r="P4" s="3460"/>
      <c r="Q4" s="3461"/>
      <c r="R4" s="3460"/>
    </row>
    <row r="5" spans="1:20" s="3190" customFormat="1" ht="22.5" customHeight="1" thickTop="1">
      <c r="A5" s="3467"/>
      <c r="B5" s="3194" t="s">
        <v>3591</v>
      </c>
      <c r="C5" s="3540" t="s">
        <v>3593</v>
      </c>
      <c r="D5" s="3194" t="s">
        <v>3595</v>
      </c>
      <c r="E5" s="3541">
        <f ca="1">ROUND(结果表!C19*0.3+结果表!D19*0.7,0)</f>
        <v>147498</v>
      </c>
      <c r="F5" s="3541" t="s">
        <v>3613</v>
      </c>
      <c r="G5" s="3532" t="s">
        <v>3547</v>
      </c>
      <c r="H5" s="3470"/>
      <c r="I5" s="3221">
        <f ca="1">E5*10000/'数据-基础表'!A3</f>
        <v>8097.4620453083025</v>
      </c>
      <c r="J5" s="3221"/>
      <c r="K5" s="3221"/>
      <c r="L5" s="3221"/>
      <c r="M5" s="3221"/>
      <c r="N5" s="3221"/>
      <c r="O5" s="3221"/>
      <c r="P5" s="3223"/>
      <c r="Q5" s="3221"/>
      <c r="R5" s="3224"/>
      <c r="T5"/>
    </row>
    <row r="6" spans="1:20" s="3190" customFormat="1" ht="22.5" customHeight="1">
      <c r="A6" s="3467"/>
      <c r="B6" s="3194" t="s">
        <v>3592</v>
      </c>
      <c r="C6" s="3540" t="s">
        <v>3594</v>
      </c>
      <c r="D6" s="3194" t="s">
        <v>3596</v>
      </c>
      <c r="E6" s="3541" t="s">
        <v>3613</v>
      </c>
      <c r="F6" s="3541">
        <f ca="1">ROUND(('基准地价 (划拨)'!E29*0.3+'成本逼近法 (划拨)'!B2*0.7)-'基准地价 (划拨)'!E30,0)</f>
        <v>8999</v>
      </c>
      <c r="G6" s="3532" t="str">
        <f>G5</f>
        <v>基准地价修正系数法、成本法</v>
      </c>
      <c r="H6" s="3470"/>
      <c r="I6" s="3221" t="e">
        <f>E6*10000/'结果一览表 (基)'!F5</f>
        <v>#VALUE!</v>
      </c>
      <c r="J6" s="3221"/>
      <c r="K6" s="3221"/>
      <c r="L6" s="3221"/>
      <c r="M6" s="3221"/>
      <c r="N6" s="3221"/>
      <c r="O6" s="3221"/>
      <c r="P6" s="3223"/>
      <c r="Q6" s="3221"/>
      <c r="R6" s="3224"/>
      <c r="T6"/>
    </row>
    <row r="7" spans="1:20" s="3190" customFormat="1" ht="58.5" customHeight="1">
      <c r="A7" s="3468"/>
      <c r="B7" s="3197">
        <v>2</v>
      </c>
      <c r="C7" s="3472" t="s">
        <v>3562</v>
      </c>
      <c r="D7" s="3198" t="s">
        <v>3614</v>
      </c>
      <c r="E7" s="3197">
        <f>ROUND(('001汇总表'!F39+'001汇总表'!F46)/10000,2)</f>
        <v>6233.76</v>
      </c>
      <c r="F7" s="3197" t="s">
        <v>3613</v>
      </c>
      <c r="G7" s="3533" t="s">
        <v>3550</v>
      </c>
      <c r="H7" s="3471"/>
      <c r="I7" s="3199">
        <v>6233.57</v>
      </c>
      <c r="J7" s="3199"/>
      <c r="K7" s="3199"/>
      <c r="L7" s="3199"/>
      <c r="M7" s="3199"/>
      <c r="N7" s="3199"/>
      <c r="O7" s="3199"/>
      <c r="P7" s="3200"/>
      <c r="Q7" s="3199"/>
      <c r="R7" s="3208"/>
      <c r="T7"/>
    </row>
    <row r="8" spans="1:20" s="3190" customFormat="1" ht="41.25" customHeight="1">
      <c r="A8" s="3467"/>
      <c r="B8" s="3193">
        <v>3</v>
      </c>
      <c r="C8" s="3542" t="s">
        <v>3563</v>
      </c>
      <c r="D8" s="3194" t="s">
        <v>3556</v>
      </c>
      <c r="E8" s="3193">
        <f>'附属物-墙地泉'!G9+'附属物-树木'!F44</f>
        <v>294.85000000000002</v>
      </c>
      <c r="F8" s="3193" t="s">
        <v>3613</v>
      </c>
      <c r="G8" s="3534" t="s">
        <v>3551</v>
      </c>
      <c r="H8" s="3470"/>
      <c r="I8" s="3221"/>
      <c r="J8" s="3221"/>
      <c r="K8" s="3221"/>
      <c r="L8" s="3221"/>
      <c r="M8" s="3221"/>
      <c r="N8" s="3221"/>
      <c r="O8" s="3221"/>
      <c r="P8" s="3223"/>
      <c r="Q8" s="3221"/>
      <c r="R8" s="3224"/>
      <c r="T8"/>
    </row>
    <row r="9" spans="1:20" s="3190" customFormat="1" ht="45.75" customHeight="1">
      <c r="A9" s="3468"/>
      <c r="B9" s="3197">
        <v>4</v>
      </c>
      <c r="C9" s="3472" t="s">
        <v>3564</v>
      </c>
      <c r="D9" s="3198" t="s">
        <v>3556</v>
      </c>
      <c r="E9" s="3197">
        <v>9416.36</v>
      </c>
      <c r="F9" s="3197" t="s">
        <v>3613</v>
      </c>
      <c r="G9" s="3533" t="s">
        <v>3552</v>
      </c>
      <c r="H9" s="3471"/>
      <c r="I9" s="3199"/>
      <c r="J9" s="3199"/>
      <c r="K9" s="3199"/>
      <c r="L9" s="3199"/>
      <c r="M9" s="3199"/>
      <c r="N9" s="3199"/>
      <c r="O9" s="3199"/>
      <c r="P9" s="3200"/>
      <c r="Q9" s="3199"/>
      <c r="R9" s="3208"/>
      <c r="T9"/>
    </row>
    <row r="10" spans="1:20" s="3190" customFormat="1" ht="67.5" customHeight="1">
      <c r="A10" s="3467"/>
      <c r="B10" s="3193">
        <v>5</v>
      </c>
      <c r="C10" s="3542" t="s">
        <v>3565</v>
      </c>
      <c r="D10" s="3194" t="s">
        <v>3556</v>
      </c>
      <c r="E10" s="3193">
        <f>停产停业损失补偿!G9</f>
        <v>4109.3599999999997</v>
      </c>
      <c r="F10" s="3193" t="s">
        <v>3613</v>
      </c>
      <c r="G10" s="3534" t="s">
        <v>3555</v>
      </c>
      <c r="H10" s="3470"/>
      <c r="I10" s="3221"/>
      <c r="J10" s="3221"/>
      <c r="K10" s="3221"/>
      <c r="L10" s="3221"/>
      <c r="M10" s="3221"/>
      <c r="N10" s="3221"/>
      <c r="O10" s="3221"/>
      <c r="P10" s="3223"/>
      <c r="Q10" s="3221"/>
      <c r="R10" s="3224"/>
      <c r="T10"/>
    </row>
    <row r="11" spans="1:20" s="3190" customFormat="1" ht="84" customHeight="1" thickBot="1">
      <c r="A11" s="3468"/>
      <c r="B11" s="3197">
        <v>6</v>
      </c>
      <c r="C11" s="3472" t="s">
        <v>3548</v>
      </c>
      <c r="D11" s="3198" t="s">
        <v>3566</v>
      </c>
      <c r="E11" s="3197">
        <f>搬迁费!D5</f>
        <v>313.58</v>
      </c>
      <c r="F11" s="3197" t="s">
        <v>3613</v>
      </c>
      <c r="G11" s="3535" t="s">
        <v>3554</v>
      </c>
      <c r="H11" s="3471"/>
      <c r="I11" s="3199"/>
      <c r="J11" s="3199"/>
      <c r="K11" s="3199"/>
      <c r="L11" s="3199"/>
      <c r="M11" s="3199"/>
      <c r="N11" s="3199"/>
      <c r="O11" s="3199"/>
      <c r="P11" s="3200"/>
      <c r="Q11" s="3199"/>
      <c r="R11" s="3208"/>
      <c r="T11"/>
    </row>
    <row r="12" spans="1:20" s="3190" customFormat="1" ht="22.5" customHeight="1" thickTop="1" thickBot="1">
      <c r="A12" s="3467"/>
      <c r="B12" s="3543" t="s">
        <v>3557</v>
      </c>
      <c r="C12" s="3544" t="s">
        <v>3549</v>
      </c>
      <c r="D12" s="3545" t="s">
        <v>3615</v>
      </c>
      <c r="E12" s="3543">
        <f ca="1">SUM(E5:E11)</f>
        <v>167865.91</v>
      </c>
      <c r="F12" s="3543">
        <f ca="1">SUM(F6:F11)</f>
        <v>8999</v>
      </c>
      <c r="G12" s="3536" t="s">
        <v>3553</v>
      </c>
      <c r="H12" s="3470"/>
      <c r="I12" s="3221"/>
      <c r="J12" s="3221"/>
      <c r="K12" s="3221"/>
      <c r="L12" s="3221"/>
      <c r="M12" s="3221"/>
      <c r="N12" s="3221"/>
      <c r="O12" s="3221"/>
      <c r="P12" s="3223"/>
      <c r="Q12" s="3221"/>
      <c r="R12" s="3224"/>
      <c r="T12"/>
    </row>
    <row r="13" spans="1:20" ht="20.100000000000001" customHeight="1"/>
    <row r="14" spans="1:20" ht="20.100000000000001" customHeight="1">
      <c r="E14">
        <f ca="1">E12*10000/182153.37</f>
        <v>9215.6357030342078</v>
      </c>
    </row>
    <row r="15" spans="1:20" ht="20.100000000000001" customHeight="1"/>
    <row r="16" spans="1:20" ht="20.100000000000001" customHeight="1"/>
    <row r="17" spans="2:13" ht="20.100000000000001" customHeight="1"/>
    <row r="18" spans="2:13" ht="20.100000000000001" customHeight="1" thickBot="1"/>
    <row r="19" spans="2:13" ht="56.25" customHeight="1" thickBot="1">
      <c r="B19" s="3477" t="s">
        <v>3575</v>
      </c>
      <c r="C19" s="3478" t="s">
        <v>3576</v>
      </c>
      <c r="D19" s="3479" t="s">
        <v>3577</v>
      </c>
      <c r="E19" s="3480" t="s">
        <v>3578</v>
      </c>
      <c r="F19" s="3528"/>
    </row>
    <row r="20" spans="2:13" ht="56.25" customHeight="1" thickTop="1">
      <c r="B20" s="3482" t="s">
        <v>3571</v>
      </c>
      <c r="C20" s="3483" t="s">
        <v>3581</v>
      </c>
      <c r="D20" s="3483">
        <v>54.943399999999997</v>
      </c>
      <c r="E20" s="3484">
        <f>ROUND(2699.07597636841,0)</f>
        <v>2699</v>
      </c>
      <c r="F20" s="3529"/>
    </row>
    <row r="21" spans="2:13" ht="56.25" customHeight="1">
      <c r="B21" s="3485" t="s">
        <v>3572</v>
      </c>
      <c r="C21" s="3472" t="s">
        <v>3580</v>
      </c>
      <c r="D21" s="3486">
        <v>63.74803</v>
      </c>
      <c r="E21" s="3487">
        <v>4260</v>
      </c>
      <c r="F21" s="3530"/>
    </row>
    <row r="22" spans="2:13" ht="56.25" customHeight="1" thickBot="1">
      <c r="B22" s="3488" t="s">
        <v>3573</v>
      </c>
      <c r="C22" s="3481" t="s">
        <v>3579</v>
      </c>
      <c r="D22" s="3489">
        <v>15.28</v>
      </c>
      <c r="E22" s="3490">
        <v>10901</v>
      </c>
      <c r="F22" s="3529"/>
    </row>
    <row r="23" spans="2:13" ht="14.25" thickBot="1"/>
    <row r="24" spans="2:13" ht="15" thickBot="1">
      <c r="H24" s="3759" t="s">
        <v>2378</v>
      </c>
      <c r="I24" s="3759" t="s">
        <v>3582</v>
      </c>
      <c r="J24" s="3761" t="s">
        <v>3583</v>
      </c>
      <c r="K24" s="3762"/>
      <c r="L24" s="3763"/>
      <c r="M24" s="3759" t="s">
        <v>3584</v>
      </c>
    </row>
    <row r="25" spans="2:13" ht="15" thickBot="1">
      <c r="H25" s="3760"/>
      <c r="I25" s="3760"/>
      <c r="J25" s="3491" t="s">
        <v>3008</v>
      </c>
      <c r="K25" s="3492" t="s">
        <v>3585</v>
      </c>
      <c r="L25" s="3492" t="s">
        <v>24</v>
      </c>
      <c r="M25" s="3760"/>
    </row>
    <row r="26" spans="2:13" ht="15.75" thickBot="1">
      <c r="H26" s="3493">
        <v>36892</v>
      </c>
      <c r="I26" s="3494" t="s">
        <v>3586</v>
      </c>
      <c r="J26" s="3495">
        <v>43120</v>
      </c>
      <c r="K26" s="3495">
        <v>2748</v>
      </c>
      <c r="L26" s="3495">
        <v>45868</v>
      </c>
      <c r="M26" s="3494" t="s">
        <v>951</v>
      </c>
    </row>
    <row r="27" spans="2:13" ht="243.75" thickBot="1">
      <c r="H27" s="3493">
        <v>36893</v>
      </c>
      <c r="I27" s="3494" t="s">
        <v>3183</v>
      </c>
      <c r="J27" s="3495">
        <v>118395</v>
      </c>
      <c r="K27" s="3495">
        <v>7731</v>
      </c>
      <c r="L27" s="3495">
        <v>126126</v>
      </c>
      <c r="M27" s="3494" t="s">
        <v>3587</v>
      </c>
    </row>
    <row r="45" spans="9:12" ht="5.25" customHeight="1" thickBot="1"/>
    <row r="46" spans="9:12" ht="14.25" hidden="1" thickBot="1"/>
    <row r="47" spans="9:12" ht="20.25" customHeight="1">
      <c r="I47" s="3764" t="s">
        <v>3582</v>
      </c>
      <c r="J47" s="3766" t="s">
        <v>3583</v>
      </c>
      <c r="K47" s="3767"/>
      <c r="L47" s="3768"/>
    </row>
    <row r="48" spans="9:12" ht="20.25" customHeight="1" thickBot="1">
      <c r="I48" s="3765"/>
      <c r="J48" s="3504" t="s">
        <v>3008</v>
      </c>
      <c r="K48" s="3505" t="s">
        <v>3585</v>
      </c>
      <c r="L48" s="3506" t="s">
        <v>24</v>
      </c>
    </row>
    <row r="49" spans="9:12" ht="36" customHeight="1">
      <c r="I49" s="3502" t="s">
        <v>3586</v>
      </c>
      <c r="J49" s="3500">
        <v>43120</v>
      </c>
      <c r="K49" s="3498">
        <v>2748</v>
      </c>
      <c r="L49" s="3499">
        <v>45868</v>
      </c>
    </row>
    <row r="50" spans="9:12" ht="36" customHeight="1" thickBot="1">
      <c r="I50" s="3503" t="s">
        <v>3183</v>
      </c>
      <c r="J50" s="3501">
        <v>118395</v>
      </c>
      <c r="K50" s="3496">
        <v>7731</v>
      </c>
      <c r="L50" s="3497">
        <v>126126</v>
      </c>
    </row>
  </sheetData>
  <mergeCells count="6">
    <mergeCell ref="H24:H25"/>
    <mergeCell ref="I24:I25"/>
    <mergeCell ref="J24:L24"/>
    <mergeCell ref="M24:M25"/>
    <mergeCell ref="I47:I48"/>
    <mergeCell ref="J47:L47"/>
  </mergeCells>
  <phoneticPr fontId="23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workbookViewId="0">
      <selection activeCell="O44" sqref="O44"/>
    </sheetView>
  </sheetViews>
  <sheetFormatPr defaultRowHeight="14.25"/>
  <cols>
    <col min="1" max="1" width="9" style="3507"/>
    <col min="2" max="2" width="9" style="3507" hidden="1" customWidth="1"/>
    <col min="3" max="3" width="20.5" style="3507" customWidth="1"/>
    <col min="4" max="4" width="23.875" style="3507" customWidth="1"/>
    <col min="5" max="5" width="24.625" style="3516" hidden="1" customWidth="1"/>
    <col min="6" max="6" width="23.5" style="3507" customWidth="1"/>
    <col min="7" max="7" width="12.875" style="3507" hidden="1" customWidth="1"/>
    <col min="8" max="8" width="14.125" style="3507" hidden="1" customWidth="1"/>
    <col min="9" max="9" width="15.375" style="3507" hidden="1" customWidth="1"/>
    <col min="10" max="10" width="16" style="3507" hidden="1" customWidth="1"/>
    <col min="11" max="11" width="16.5" style="3507" hidden="1" customWidth="1"/>
    <col min="12" max="12" width="7.125" style="3507" hidden="1" customWidth="1"/>
    <col min="13" max="13" width="12.75" style="3507" bestFit="1" customWidth="1"/>
    <col min="14" max="15" width="9" style="3507"/>
    <col min="16" max="16" width="9.375" style="3507" bestFit="1" customWidth="1"/>
    <col min="17" max="257" width="9" style="3507"/>
    <col min="258" max="258" width="0" style="3507" hidden="1" customWidth="1"/>
    <col min="259" max="259" width="20.5" style="3507" customWidth="1"/>
    <col min="260" max="260" width="23.875" style="3507" customWidth="1"/>
    <col min="261" max="261" width="0" style="3507" hidden="1" customWidth="1"/>
    <col min="262" max="262" width="23.5" style="3507" customWidth="1"/>
    <col min="263" max="268" width="0" style="3507" hidden="1" customWidth="1"/>
    <col min="269" max="269" width="12.75" style="3507" bestFit="1" customWidth="1"/>
    <col min="270" max="271" width="9" style="3507"/>
    <col min="272" max="272" width="9.375" style="3507" bestFit="1" customWidth="1"/>
    <col min="273" max="513" width="9" style="3507"/>
    <col min="514" max="514" width="0" style="3507" hidden="1" customWidth="1"/>
    <col min="515" max="515" width="20.5" style="3507" customWidth="1"/>
    <col min="516" max="516" width="23.875" style="3507" customWidth="1"/>
    <col min="517" max="517" width="0" style="3507" hidden="1" customWidth="1"/>
    <col min="518" max="518" width="23.5" style="3507" customWidth="1"/>
    <col min="519" max="524" width="0" style="3507" hidden="1" customWidth="1"/>
    <col min="525" max="525" width="12.75" style="3507" bestFit="1" customWidth="1"/>
    <col min="526" max="527" width="9" style="3507"/>
    <col min="528" max="528" width="9.375" style="3507" bestFit="1" customWidth="1"/>
    <col min="529" max="769" width="9" style="3507"/>
    <col min="770" max="770" width="0" style="3507" hidden="1" customWidth="1"/>
    <col min="771" max="771" width="20.5" style="3507" customWidth="1"/>
    <col min="772" max="772" width="23.875" style="3507" customWidth="1"/>
    <col min="773" max="773" width="0" style="3507" hidden="1" customWidth="1"/>
    <col min="774" max="774" width="23.5" style="3507" customWidth="1"/>
    <col min="775" max="780" width="0" style="3507" hidden="1" customWidth="1"/>
    <col min="781" max="781" width="12.75" style="3507" bestFit="1" customWidth="1"/>
    <col min="782" max="783" width="9" style="3507"/>
    <col min="784" max="784" width="9.375" style="3507" bestFit="1" customWidth="1"/>
    <col min="785" max="1025" width="9" style="3507"/>
    <col min="1026" max="1026" width="0" style="3507" hidden="1" customWidth="1"/>
    <col min="1027" max="1027" width="20.5" style="3507" customWidth="1"/>
    <col min="1028" max="1028" width="23.875" style="3507" customWidth="1"/>
    <col min="1029" max="1029" width="0" style="3507" hidden="1" customWidth="1"/>
    <col min="1030" max="1030" width="23.5" style="3507" customWidth="1"/>
    <col min="1031" max="1036" width="0" style="3507" hidden="1" customWidth="1"/>
    <col min="1037" max="1037" width="12.75" style="3507" bestFit="1" customWidth="1"/>
    <col min="1038" max="1039" width="9" style="3507"/>
    <col min="1040" max="1040" width="9.375" style="3507" bestFit="1" customWidth="1"/>
    <col min="1041" max="1281" width="9" style="3507"/>
    <col min="1282" max="1282" width="0" style="3507" hidden="1" customWidth="1"/>
    <col min="1283" max="1283" width="20.5" style="3507" customWidth="1"/>
    <col min="1284" max="1284" width="23.875" style="3507" customWidth="1"/>
    <col min="1285" max="1285" width="0" style="3507" hidden="1" customWidth="1"/>
    <col min="1286" max="1286" width="23.5" style="3507" customWidth="1"/>
    <col min="1287" max="1292" width="0" style="3507" hidden="1" customWidth="1"/>
    <col min="1293" max="1293" width="12.75" style="3507" bestFit="1" customWidth="1"/>
    <col min="1294" max="1295" width="9" style="3507"/>
    <col min="1296" max="1296" width="9.375" style="3507" bestFit="1" customWidth="1"/>
    <col min="1297" max="1537" width="9" style="3507"/>
    <col min="1538" max="1538" width="0" style="3507" hidden="1" customWidth="1"/>
    <col min="1539" max="1539" width="20.5" style="3507" customWidth="1"/>
    <col min="1540" max="1540" width="23.875" style="3507" customWidth="1"/>
    <col min="1541" max="1541" width="0" style="3507" hidden="1" customWidth="1"/>
    <col min="1542" max="1542" width="23.5" style="3507" customWidth="1"/>
    <col min="1543" max="1548" width="0" style="3507" hidden="1" customWidth="1"/>
    <col min="1549" max="1549" width="12.75" style="3507" bestFit="1" customWidth="1"/>
    <col min="1550" max="1551" width="9" style="3507"/>
    <col min="1552" max="1552" width="9.375" style="3507" bestFit="1" customWidth="1"/>
    <col min="1553" max="1793" width="9" style="3507"/>
    <col min="1794" max="1794" width="0" style="3507" hidden="1" customWidth="1"/>
    <col min="1795" max="1795" width="20.5" style="3507" customWidth="1"/>
    <col min="1796" max="1796" width="23.875" style="3507" customWidth="1"/>
    <col min="1797" max="1797" width="0" style="3507" hidden="1" customWidth="1"/>
    <col min="1798" max="1798" width="23.5" style="3507" customWidth="1"/>
    <col min="1799" max="1804" width="0" style="3507" hidden="1" customWidth="1"/>
    <col min="1805" max="1805" width="12.75" style="3507" bestFit="1" customWidth="1"/>
    <col min="1806" max="1807" width="9" style="3507"/>
    <col min="1808" max="1808" width="9.375" style="3507" bestFit="1" customWidth="1"/>
    <col min="1809" max="2049" width="9" style="3507"/>
    <col min="2050" max="2050" width="0" style="3507" hidden="1" customWidth="1"/>
    <col min="2051" max="2051" width="20.5" style="3507" customWidth="1"/>
    <col min="2052" max="2052" width="23.875" style="3507" customWidth="1"/>
    <col min="2053" max="2053" width="0" style="3507" hidden="1" customWidth="1"/>
    <col min="2054" max="2054" width="23.5" style="3507" customWidth="1"/>
    <col min="2055" max="2060" width="0" style="3507" hidden="1" customWidth="1"/>
    <col min="2061" max="2061" width="12.75" style="3507" bestFit="1" customWidth="1"/>
    <col min="2062" max="2063" width="9" style="3507"/>
    <col min="2064" max="2064" width="9.375" style="3507" bestFit="1" customWidth="1"/>
    <col min="2065" max="2305" width="9" style="3507"/>
    <col min="2306" max="2306" width="0" style="3507" hidden="1" customWidth="1"/>
    <col min="2307" max="2307" width="20.5" style="3507" customWidth="1"/>
    <col min="2308" max="2308" width="23.875" style="3507" customWidth="1"/>
    <col min="2309" max="2309" width="0" style="3507" hidden="1" customWidth="1"/>
    <col min="2310" max="2310" width="23.5" style="3507" customWidth="1"/>
    <col min="2311" max="2316" width="0" style="3507" hidden="1" customWidth="1"/>
    <col min="2317" max="2317" width="12.75" style="3507" bestFit="1" customWidth="1"/>
    <col min="2318" max="2319" width="9" style="3507"/>
    <col min="2320" max="2320" width="9.375" style="3507" bestFit="1" customWidth="1"/>
    <col min="2321" max="2561" width="9" style="3507"/>
    <col min="2562" max="2562" width="0" style="3507" hidden="1" customWidth="1"/>
    <col min="2563" max="2563" width="20.5" style="3507" customWidth="1"/>
    <col min="2564" max="2564" width="23.875" style="3507" customWidth="1"/>
    <col min="2565" max="2565" width="0" style="3507" hidden="1" customWidth="1"/>
    <col min="2566" max="2566" width="23.5" style="3507" customWidth="1"/>
    <col min="2567" max="2572" width="0" style="3507" hidden="1" customWidth="1"/>
    <col min="2573" max="2573" width="12.75" style="3507" bestFit="1" customWidth="1"/>
    <col min="2574" max="2575" width="9" style="3507"/>
    <col min="2576" max="2576" width="9.375" style="3507" bestFit="1" customWidth="1"/>
    <col min="2577" max="2817" width="9" style="3507"/>
    <col min="2818" max="2818" width="0" style="3507" hidden="1" customWidth="1"/>
    <col min="2819" max="2819" width="20.5" style="3507" customWidth="1"/>
    <col min="2820" max="2820" width="23.875" style="3507" customWidth="1"/>
    <col min="2821" max="2821" width="0" style="3507" hidden="1" customWidth="1"/>
    <col min="2822" max="2822" width="23.5" style="3507" customWidth="1"/>
    <col min="2823" max="2828" width="0" style="3507" hidden="1" customWidth="1"/>
    <col min="2829" max="2829" width="12.75" style="3507" bestFit="1" customWidth="1"/>
    <col min="2830" max="2831" width="9" style="3507"/>
    <col min="2832" max="2832" width="9.375" style="3507" bestFit="1" customWidth="1"/>
    <col min="2833" max="3073" width="9" style="3507"/>
    <col min="3074" max="3074" width="0" style="3507" hidden="1" customWidth="1"/>
    <col min="3075" max="3075" width="20.5" style="3507" customWidth="1"/>
    <col min="3076" max="3076" width="23.875" style="3507" customWidth="1"/>
    <col min="3077" max="3077" width="0" style="3507" hidden="1" customWidth="1"/>
    <col min="3078" max="3078" width="23.5" style="3507" customWidth="1"/>
    <col min="3079" max="3084" width="0" style="3507" hidden="1" customWidth="1"/>
    <col min="3085" max="3085" width="12.75" style="3507" bestFit="1" customWidth="1"/>
    <col min="3086" max="3087" width="9" style="3507"/>
    <col min="3088" max="3088" width="9.375" style="3507" bestFit="1" customWidth="1"/>
    <col min="3089" max="3329" width="9" style="3507"/>
    <col min="3330" max="3330" width="0" style="3507" hidden="1" customWidth="1"/>
    <col min="3331" max="3331" width="20.5" style="3507" customWidth="1"/>
    <col min="3332" max="3332" width="23.875" style="3507" customWidth="1"/>
    <col min="3333" max="3333" width="0" style="3507" hidden="1" customWidth="1"/>
    <col min="3334" max="3334" width="23.5" style="3507" customWidth="1"/>
    <col min="3335" max="3340" width="0" style="3507" hidden="1" customWidth="1"/>
    <col min="3341" max="3341" width="12.75" style="3507" bestFit="1" customWidth="1"/>
    <col min="3342" max="3343" width="9" style="3507"/>
    <col min="3344" max="3344" width="9.375" style="3507" bestFit="1" customWidth="1"/>
    <col min="3345" max="3585" width="9" style="3507"/>
    <col min="3586" max="3586" width="0" style="3507" hidden="1" customWidth="1"/>
    <col min="3587" max="3587" width="20.5" style="3507" customWidth="1"/>
    <col min="3588" max="3588" width="23.875" style="3507" customWidth="1"/>
    <col min="3589" max="3589" width="0" style="3507" hidden="1" customWidth="1"/>
    <col min="3590" max="3590" width="23.5" style="3507" customWidth="1"/>
    <col min="3591" max="3596" width="0" style="3507" hidden="1" customWidth="1"/>
    <col min="3597" max="3597" width="12.75" style="3507" bestFit="1" customWidth="1"/>
    <col min="3598" max="3599" width="9" style="3507"/>
    <col min="3600" max="3600" width="9.375" style="3507" bestFit="1" customWidth="1"/>
    <col min="3601" max="3841" width="9" style="3507"/>
    <col min="3842" max="3842" width="0" style="3507" hidden="1" customWidth="1"/>
    <col min="3843" max="3843" width="20.5" style="3507" customWidth="1"/>
    <col min="3844" max="3844" width="23.875" style="3507" customWidth="1"/>
    <col min="3845" max="3845" width="0" style="3507" hidden="1" customWidth="1"/>
    <col min="3846" max="3846" width="23.5" style="3507" customWidth="1"/>
    <col min="3847" max="3852" width="0" style="3507" hidden="1" customWidth="1"/>
    <col min="3853" max="3853" width="12.75" style="3507" bestFit="1" customWidth="1"/>
    <col min="3854" max="3855" width="9" style="3507"/>
    <col min="3856" max="3856" width="9.375" style="3507" bestFit="1" customWidth="1"/>
    <col min="3857" max="4097" width="9" style="3507"/>
    <col min="4098" max="4098" width="0" style="3507" hidden="1" customWidth="1"/>
    <col min="4099" max="4099" width="20.5" style="3507" customWidth="1"/>
    <col min="4100" max="4100" width="23.875" style="3507" customWidth="1"/>
    <col min="4101" max="4101" width="0" style="3507" hidden="1" customWidth="1"/>
    <col min="4102" max="4102" width="23.5" style="3507" customWidth="1"/>
    <col min="4103" max="4108" width="0" style="3507" hidden="1" customWidth="1"/>
    <col min="4109" max="4109" width="12.75" style="3507" bestFit="1" customWidth="1"/>
    <col min="4110" max="4111" width="9" style="3507"/>
    <col min="4112" max="4112" width="9.375" style="3507" bestFit="1" customWidth="1"/>
    <col min="4113" max="4353" width="9" style="3507"/>
    <col min="4354" max="4354" width="0" style="3507" hidden="1" customWidth="1"/>
    <col min="4355" max="4355" width="20.5" style="3507" customWidth="1"/>
    <col min="4356" max="4356" width="23.875" style="3507" customWidth="1"/>
    <col min="4357" max="4357" width="0" style="3507" hidden="1" customWidth="1"/>
    <col min="4358" max="4358" width="23.5" style="3507" customWidth="1"/>
    <col min="4359" max="4364" width="0" style="3507" hidden="1" customWidth="1"/>
    <col min="4365" max="4365" width="12.75" style="3507" bestFit="1" customWidth="1"/>
    <col min="4366" max="4367" width="9" style="3507"/>
    <col min="4368" max="4368" width="9.375" style="3507" bestFit="1" customWidth="1"/>
    <col min="4369" max="4609" width="9" style="3507"/>
    <col min="4610" max="4610" width="0" style="3507" hidden="1" customWidth="1"/>
    <col min="4611" max="4611" width="20.5" style="3507" customWidth="1"/>
    <col min="4612" max="4612" width="23.875" style="3507" customWidth="1"/>
    <col min="4613" max="4613" width="0" style="3507" hidden="1" customWidth="1"/>
    <col min="4614" max="4614" width="23.5" style="3507" customWidth="1"/>
    <col min="4615" max="4620" width="0" style="3507" hidden="1" customWidth="1"/>
    <col min="4621" max="4621" width="12.75" style="3507" bestFit="1" customWidth="1"/>
    <col min="4622" max="4623" width="9" style="3507"/>
    <col min="4624" max="4624" width="9.375" style="3507" bestFit="1" customWidth="1"/>
    <col min="4625" max="4865" width="9" style="3507"/>
    <col min="4866" max="4866" width="0" style="3507" hidden="1" customWidth="1"/>
    <col min="4867" max="4867" width="20.5" style="3507" customWidth="1"/>
    <col min="4868" max="4868" width="23.875" style="3507" customWidth="1"/>
    <col min="4869" max="4869" width="0" style="3507" hidden="1" customWidth="1"/>
    <col min="4870" max="4870" width="23.5" style="3507" customWidth="1"/>
    <col min="4871" max="4876" width="0" style="3507" hidden="1" customWidth="1"/>
    <col min="4877" max="4877" width="12.75" style="3507" bestFit="1" customWidth="1"/>
    <col min="4878" max="4879" width="9" style="3507"/>
    <col min="4880" max="4880" width="9.375" style="3507" bestFit="1" customWidth="1"/>
    <col min="4881" max="5121" width="9" style="3507"/>
    <col min="5122" max="5122" width="0" style="3507" hidden="1" customWidth="1"/>
    <col min="5123" max="5123" width="20.5" style="3507" customWidth="1"/>
    <col min="5124" max="5124" width="23.875" style="3507" customWidth="1"/>
    <col min="5125" max="5125" width="0" style="3507" hidden="1" customWidth="1"/>
    <col min="5126" max="5126" width="23.5" style="3507" customWidth="1"/>
    <col min="5127" max="5132" width="0" style="3507" hidden="1" customWidth="1"/>
    <col min="5133" max="5133" width="12.75" style="3507" bestFit="1" customWidth="1"/>
    <col min="5134" max="5135" width="9" style="3507"/>
    <col min="5136" max="5136" width="9.375" style="3507" bestFit="1" customWidth="1"/>
    <col min="5137" max="5377" width="9" style="3507"/>
    <col min="5378" max="5378" width="0" style="3507" hidden="1" customWidth="1"/>
    <col min="5379" max="5379" width="20.5" style="3507" customWidth="1"/>
    <col min="5380" max="5380" width="23.875" style="3507" customWidth="1"/>
    <col min="5381" max="5381" width="0" style="3507" hidden="1" customWidth="1"/>
    <col min="5382" max="5382" width="23.5" style="3507" customWidth="1"/>
    <col min="5383" max="5388" width="0" style="3507" hidden="1" customWidth="1"/>
    <col min="5389" max="5389" width="12.75" style="3507" bestFit="1" customWidth="1"/>
    <col min="5390" max="5391" width="9" style="3507"/>
    <col min="5392" max="5392" width="9.375" style="3507" bestFit="1" customWidth="1"/>
    <col min="5393" max="5633" width="9" style="3507"/>
    <col min="5634" max="5634" width="0" style="3507" hidden="1" customWidth="1"/>
    <col min="5635" max="5635" width="20.5" style="3507" customWidth="1"/>
    <col min="5636" max="5636" width="23.875" style="3507" customWidth="1"/>
    <col min="5637" max="5637" width="0" style="3507" hidden="1" customWidth="1"/>
    <col min="5638" max="5638" width="23.5" style="3507" customWidth="1"/>
    <col min="5639" max="5644" width="0" style="3507" hidden="1" customWidth="1"/>
    <col min="5645" max="5645" width="12.75" style="3507" bestFit="1" customWidth="1"/>
    <col min="5646" max="5647" width="9" style="3507"/>
    <col min="5648" max="5648" width="9.375" style="3507" bestFit="1" customWidth="1"/>
    <col min="5649" max="5889" width="9" style="3507"/>
    <col min="5890" max="5890" width="0" style="3507" hidden="1" customWidth="1"/>
    <col min="5891" max="5891" width="20.5" style="3507" customWidth="1"/>
    <col min="5892" max="5892" width="23.875" style="3507" customWidth="1"/>
    <col min="5893" max="5893" width="0" style="3507" hidden="1" customWidth="1"/>
    <col min="5894" max="5894" width="23.5" style="3507" customWidth="1"/>
    <col min="5895" max="5900" width="0" style="3507" hidden="1" customWidth="1"/>
    <col min="5901" max="5901" width="12.75" style="3507" bestFit="1" customWidth="1"/>
    <col min="5902" max="5903" width="9" style="3507"/>
    <col min="5904" max="5904" width="9.375" style="3507" bestFit="1" customWidth="1"/>
    <col min="5905" max="6145" width="9" style="3507"/>
    <col min="6146" max="6146" width="0" style="3507" hidden="1" customWidth="1"/>
    <col min="6147" max="6147" width="20.5" style="3507" customWidth="1"/>
    <col min="6148" max="6148" width="23.875" style="3507" customWidth="1"/>
    <col min="6149" max="6149" width="0" style="3507" hidden="1" customWidth="1"/>
    <col min="6150" max="6150" width="23.5" style="3507" customWidth="1"/>
    <col min="6151" max="6156" width="0" style="3507" hidden="1" customWidth="1"/>
    <col min="6157" max="6157" width="12.75" style="3507" bestFit="1" customWidth="1"/>
    <col min="6158" max="6159" width="9" style="3507"/>
    <col min="6160" max="6160" width="9.375" style="3507" bestFit="1" customWidth="1"/>
    <col min="6161" max="6401" width="9" style="3507"/>
    <col min="6402" max="6402" width="0" style="3507" hidden="1" customWidth="1"/>
    <col min="6403" max="6403" width="20.5" style="3507" customWidth="1"/>
    <col min="6404" max="6404" width="23.875" style="3507" customWidth="1"/>
    <col min="6405" max="6405" width="0" style="3507" hidden="1" customWidth="1"/>
    <col min="6406" max="6406" width="23.5" style="3507" customWidth="1"/>
    <col min="6407" max="6412" width="0" style="3507" hidden="1" customWidth="1"/>
    <col min="6413" max="6413" width="12.75" style="3507" bestFit="1" customWidth="1"/>
    <col min="6414" max="6415" width="9" style="3507"/>
    <col min="6416" max="6416" width="9.375" style="3507" bestFit="1" customWidth="1"/>
    <col min="6417" max="6657" width="9" style="3507"/>
    <col min="6658" max="6658" width="0" style="3507" hidden="1" customWidth="1"/>
    <col min="6659" max="6659" width="20.5" style="3507" customWidth="1"/>
    <col min="6660" max="6660" width="23.875" style="3507" customWidth="1"/>
    <col min="6661" max="6661" width="0" style="3507" hidden="1" customWidth="1"/>
    <col min="6662" max="6662" width="23.5" style="3507" customWidth="1"/>
    <col min="6663" max="6668" width="0" style="3507" hidden="1" customWidth="1"/>
    <col min="6669" max="6669" width="12.75" style="3507" bestFit="1" customWidth="1"/>
    <col min="6670" max="6671" width="9" style="3507"/>
    <col min="6672" max="6672" width="9.375" style="3507" bestFit="1" customWidth="1"/>
    <col min="6673" max="6913" width="9" style="3507"/>
    <col min="6914" max="6914" width="0" style="3507" hidden="1" customWidth="1"/>
    <col min="6915" max="6915" width="20.5" style="3507" customWidth="1"/>
    <col min="6916" max="6916" width="23.875" style="3507" customWidth="1"/>
    <col min="6917" max="6917" width="0" style="3507" hidden="1" customWidth="1"/>
    <col min="6918" max="6918" width="23.5" style="3507" customWidth="1"/>
    <col min="6919" max="6924" width="0" style="3507" hidden="1" customWidth="1"/>
    <col min="6925" max="6925" width="12.75" style="3507" bestFit="1" customWidth="1"/>
    <col min="6926" max="6927" width="9" style="3507"/>
    <col min="6928" max="6928" width="9.375" style="3507" bestFit="1" customWidth="1"/>
    <col min="6929" max="7169" width="9" style="3507"/>
    <col min="7170" max="7170" width="0" style="3507" hidden="1" customWidth="1"/>
    <col min="7171" max="7171" width="20.5" style="3507" customWidth="1"/>
    <col min="7172" max="7172" width="23.875" style="3507" customWidth="1"/>
    <col min="7173" max="7173" width="0" style="3507" hidden="1" customWidth="1"/>
    <col min="7174" max="7174" width="23.5" style="3507" customWidth="1"/>
    <col min="7175" max="7180" width="0" style="3507" hidden="1" customWidth="1"/>
    <col min="7181" max="7181" width="12.75" style="3507" bestFit="1" customWidth="1"/>
    <col min="7182" max="7183" width="9" style="3507"/>
    <col min="7184" max="7184" width="9.375" style="3507" bestFit="1" customWidth="1"/>
    <col min="7185" max="7425" width="9" style="3507"/>
    <col min="7426" max="7426" width="0" style="3507" hidden="1" customWidth="1"/>
    <col min="7427" max="7427" width="20.5" style="3507" customWidth="1"/>
    <col min="7428" max="7428" width="23.875" style="3507" customWidth="1"/>
    <col min="7429" max="7429" width="0" style="3507" hidden="1" customWidth="1"/>
    <col min="7430" max="7430" width="23.5" style="3507" customWidth="1"/>
    <col min="7431" max="7436" width="0" style="3507" hidden="1" customWidth="1"/>
    <col min="7437" max="7437" width="12.75" style="3507" bestFit="1" customWidth="1"/>
    <col min="7438" max="7439" width="9" style="3507"/>
    <col min="7440" max="7440" width="9.375" style="3507" bestFit="1" customWidth="1"/>
    <col min="7441" max="7681" width="9" style="3507"/>
    <col min="7682" max="7682" width="0" style="3507" hidden="1" customWidth="1"/>
    <col min="7683" max="7683" width="20.5" style="3507" customWidth="1"/>
    <col min="7684" max="7684" width="23.875" style="3507" customWidth="1"/>
    <col min="7685" max="7685" width="0" style="3507" hidden="1" customWidth="1"/>
    <col min="7686" max="7686" width="23.5" style="3507" customWidth="1"/>
    <col min="7687" max="7692" width="0" style="3507" hidden="1" customWidth="1"/>
    <col min="7693" max="7693" width="12.75" style="3507" bestFit="1" customWidth="1"/>
    <col min="7694" max="7695" width="9" style="3507"/>
    <col min="7696" max="7696" width="9.375" style="3507" bestFit="1" customWidth="1"/>
    <col min="7697" max="7937" width="9" style="3507"/>
    <col min="7938" max="7938" width="0" style="3507" hidden="1" customWidth="1"/>
    <col min="7939" max="7939" width="20.5" style="3507" customWidth="1"/>
    <col min="7940" max="7940" width="23.875" style="3507" customWidth="1"/>
    <col min="7941" max="7941" width="0" style="3507" hidden="1" customWidth="1"/>
    <col min="7942" max="7942" width="23.5" style="3507" customWidth="1"/>
    <col min="7943" max="7948" width="0" style="3507" hidden="1" customWidth="1"/>
    <col min="7949" max="7949" width="12.75" style="3507" bestFit="1" customWidth="1"/>
    <col min="7950" max="7951" width="9" style="3507"/>
    <col min="7952" max="7952" width="9.375" style="3507" bestFit="1" customWidth="1"/>
    <col min="7953" max="8193" width="9" style="3507"/>
    <col min="8194" max="8194" width="0" style="3507" hidden="1" customWidth="1"/>
    <col min="8195" max="8195" width="20.5" style="3507" customWidth="1"/>
    <col min="8196" max="8196" width="23.875" style="3507" customWidth="1"/>
    <col min="8197" max="8197" width="0" style="3507" hidden="1" customWidth="1"/>
    <col min="8198" max="8198" width="23.5" style="3507" customWidth="1"/>
    <col min="8199" max="8204" width="0" style="3507" hidden="1" customWidth="1"/>
    <col min="8205" max="8205" width="12.75" style="3507" bestFit="1" customWidth="1"/>
    <col min="8206" max="8207" width="9" style="3507"/>
    <col min="8208" max="8208" width="9.375" style="3507" bestFit="1" customWidth="1"/>
    <col min="8209" max="8449" width="9" style="3507"/>
    <col min="8450" max="8450" width="0" style="3507" hidden="1" customWidth="1"/>
    <col min="8451" max="8451" width="20.5" style="3507" customWidth="1"/>
    <col min="8452" max="8452" width="23.875" style="3507" customWidth="1"/>
    <col min="8453" max="8453" width="0" style="3507" hidden="1" customWidth="1"/>
    <col min="8454" max="8454" width="23.5" style="3507" customWidth="1"/>
    <col min="8455" max="8460" width="0" style="3507" hidden="1" customWidth="1"/>
    <col min="8461" max="8461" width="12.75" style="3507" bestFit="1" customWidth="1"/>
    <col min="8462" max="8463" width="9" style="3507"/>
    <col min="8464" max="8464" width="9.375" style="3507" bestFit="1" customWidth="1"/>
    <col min="8465" max="8705" width="9" style="3507"/>
    <col min="8706" max="8706" width="0" style="3507" hidden="1" customWidth="1"/>
    <col min="8707" max="8707" width="20.5" style="3507" customWidth="1"/>
    <col min="8708" max="8708" width="23.875" style="3507" customWidth="1"/>
    <col min="8709" max="8709" width="0" style="3507" hidden="1" customWidth="1"/>
    <col min="8710" max="8710" width="23.5" style="3507" customWidth="1"/>
    <col min="8711" max="8716" width="0" style="3507" hidden="1" customWidth="1"/>
    <col min="8717" max="8717" width="12.75" style="3507" bestFit="1" customWidth="1"/>
    <col min="8718" max="8719" width="9" style="3507"/>
    <col min="8720" max="8720" width="9.375" style="3507" bestFit="1" customWidth="1"/>
    <col min="8721" max="8961" width="9" style="3507"/>
    <col min="8962" max="8962" width="0" style="3507" hidden="1" customWidth="1"/>
    <col min="8963" max="8963" width="20.5" style="3507" customWidth="1"/>
    <col min="8964" max="8964" width="23.875" style="3507" customWidth="1"/>
    <col min="8965" max="8965" width="0" style="3507" hidden="1" customWidth="1"/>
    <col min="8966" max="8966" width="23.5" style="3507" customWidth="1"/>
    <col min="8967" max="8972" width="0" style="3507" hidden="1" customWidth="1"/>
    <col min="8973" max="8973" width="12.75" style="3507" bestFit="1" customWidth="1"/>
    <col min="8974" max="8975" width="9" style="3507"/>
    <col min="8976" max="8976" width="9.375" style="3507" bestFit="1" customWidth="1"/>
    <col min="8977" max="9217" width="9" style="3507"/>
    <col min="9218" max="9218" width="0" style="3507" hidden="1" customWidth="1"/>
    <col min="9219" max="9219" width="20.5" style="3507" customWidth="1"/>
    <col min="9220" max="9220" width="23.875" style="3507" customWidth="1"/>
    <col min="9221" max="9221" width="0" style="3507" hidden="1" customWidth="1"/>
    <col min="9222" max="9222" width="23.5" style="3507" customWidth="1"/>
    <col min="9223" max="9228" width="0" style="3507" hidden="1" customWidth="1"/>
    <col min="9229" max="9229" width="12.75" style="3507" bestFit="1" customWidth="1"/>
    <col min="9230" max="9231" width="9" style="3507"/>
    <col min="9232" max="9232" width="9.375" style="3507" bestFit="1" customWidth="1"/>
    <col min="9233" max="9473" width="9" style="3507"/>
    <col min="9474" max="9474" width="0" style="3507" hidden="1" customWidth="1"/>
    <col min="9475" max="9475" width="20.5" style="3507" customWidth="1"/>
    <col min="9476" max="9476" width="23.875" style="3507" customWidth="1"/>
    <col min="9477" max="9477" width="0" style="3507" hidden="1" customWidth="1"/>
    <col min="9478" max="9478" width="23.5" style="3507" customWidth="1"/>
    <col min="9479" max="9484" width="0" style="3507" hidden="1" customWidth="1"/>
    <col min="9485" max="9485" width="12.75" style="3507" bestFit="1" customWidth="1"/>
    <col min="9486" max="9487" width="9" style="3507"/>
    <col min="9488" max="9488" width="9.375" style="3507" bestFit="1" customWidth="1"/>
    <col min="9489" max="9729" width="9" style="3507"/>
    <col min="9730" max="9730" width="0" style="3507" hidden="1" customWidth="1"/>
    <col min="9731" max="9731" width="20.5" style="3507" customWidth="1"/>
    <col min="9732" max="9732" width="23.875" style="3507" customWidth="1"/>
    <col min="9733" max="9733" width="0" style="3507" hidden="1" customWidth="1"/>
    <col min="9734" max="9734" width="23.5" style="3507" customWidth="1"/>
    <col min="9735" max="9740" width="0" style="3507" hidden="1" customWidth="1"/>
    <col min="9741" max="9741" width="12.75" style="3507" bestFit="1" customWidth="1"/>
    <col min="9742" max="9743" width="9" style="3507"/>
    <col min="9744" max="9744" width="9.375" style="3507" bestFit="1" customWidth="1"/>
    <col min="9745" max="9985" width="9" style="3507"/>
    <col min="9986" max="9986" width="0" style="3507" hidden="1" customWidth="1"/>
    <col min="9987" max="9987" width="20.5" style="3507" customWidth="1"/>
    <col min="9988" max="9988" width="23.875" style="3507" customWidth="1"/>
    <col min="9989" max="9989" width="0" style="3507" hidden="1" customWidth="1"/>
    <col min="9990" max="9990" width="23.5" style="3507" customWidth="1"/>
    <col min="9991" max="9996" width="0" style="3507" hidden="1" customWidth="1"/>
    <col min="9997" max="9997" width="12.75" style="3507" bestFit="1" customWidth="1"/>
    <col min="9998" max="9999" width="9" style="3507"/>
    <col min="10000" max="10000" width="9.375" style="3507" bestFit="1" customWidth="1"/>
    <col min="10001" max="10241" width="9" style="3507"/>
    <col min="10242" max="10242" width="0" style="3507" hidden="1" customWidth="1"/>
    <col min="10243" max="10243" width="20.5" style="3507" customWidth="1"/>
    <col min="10244" max="10244" width="23.875" style="3507" customWidth="1"/>
    <col min="10245" max="10245" width="0" style="3507" hidden="1" customWidth="1"/>
    <col min="10246" max="10246" width="23.5" style="3507" customWidth="1"/>
    <col min="10247" max="10252" width="0" style="3507" hidden="1" customWidth="1"/>
    <col min="10253" max="10253" width="12.75" style="3507" bestFit="1" customWidth="1"/>
    <col min="10254" max="10255" width="9" style="3507"/>
    <col min="10256" max="10256" width="9.375" style="3507" bestFit="1" customWidth="1"/>
    <col min="10257" max="10497" width="9" style="3507"/>
    <col min="10498" max="10498" width="0" style="3507" hidden="1" customWidth="1"/>
    <col min="10499" max="10499" width="20.5" style="3507" customWidth="1"/>
    <col min="10500" max="10500" width="23.875" style="3507" customWidth="1"/>
    <col min="10501" max="10501" width="0" style="3507" hidden="1" customWidth="1"/>
    <col min="10502" max="10502" width="23.5" style="3507" customWidth="1"/>
    <col min="10503" max="10508" width="0" style="3507" hidden="1" customWidth="1"/>
    <col min="10509" max="10509" width="12.75" style="3507" bestFit="1" customWidth="1"/>
    <col min="10510" max="10511" width="9" style="3507"/>
    <col min="10512" max="10512" width="9.375" style="3507" bestFit="1" customWidth="1"/>
    <col min="10513" max="10753" width="9" style="3507"/>
    <col min="10754" max="10754" width="0" style="3507" hidden="1" customWidth="1"/>
    <col min="10755" max="10755" width="20.5" style="3507" customWidth="1"/>
    <col min="10756" max="10756" width="23.875" style="3507" customWidth="1"/>
    <col min="10757" max="10757" width="0" style="3507" hidden="1" customWidth="1"/>
    <col min="10758" max="10758" width="23.5" style="3507" customWidth="1"/>
    <col min="10759" max="10764" width="0" style="3507" hidden="1" customWidth="1"/>
    <col min="10765" max="10765" width="12.75" style="3507" bestFit="1" customWidth="1"/>
    <col min="10766" max="10767" width="9" style="3507"/>
    <col min="10768" max="10768" width="9.375" style="3507" bestFit="1" customWidth="1"/>
    <col min="10769" max="11009" width="9" style="3507"/>
    <col min="11010" max="11010" width="0" style="3507" hidden="1" customWidth="1"/>
    <col min="11011" max="11011" width="20.5" style="3507" customWidth="1"/>
    <col min="11012" max="11012" width="23.875" style="3507" customWidth="1"/>
    <col min="11013" max="11013" width="0" style="3507" hidden="1" customWidth="1"/>
    <col min="11014" max="11014" width="23.5" style="3507" customWidth="1"/>
    <col min="11015" max="11020" width="0" style="3507" hidden="1" customWidth="1"/>
    <col min="11021" max="11021" width="12.75" style="3507" bestFit="1" customWidth="1"/>
    <col min="11022" max="11023" width="9" style="3507"/>
    <col min="11024" max="11024" width="9.375" style="3507" bestFit="1" customWidth="1"/>
    <col min="11025" max="11265" width="9" style="3507"/>
    <col min="11266" max="11266" width="0" style="3507" hidden="1" customWidth="1"/>
    <col min="11267" max="11267" width="20.5" style="3507" customWidth="1"/>
    <col min="11268" max="11268" width="23.875" style="3507" customWidth="1"/>
    <col min="11269" max="11269" width="0" style="3507" hidden="1" customWidth="1"/>
    <col min="11270" max="11270" width="23.5" style="3507" customWidth="1"/>
    <col min="11271" max="11276" width="0" style="3507" hidden="1" customWidth="1"/>
    <col min="11277" max="11277" width="12.75" style="3507" bestFit="1" customWidth="1"/>
    <col min="11278" max="11279" width="9" style="3507"/>
    <col min="11280" max="11280" width="9.375" style="3507" bestFit="1" customWidth="1"/>
    <col min="11281" max="11521" width="9" style="3507"/>
    <col min="11522" max="11522" width="0" style="3507" hidden="1" customWidth="1"/>
    <col min="11523" max="11523" width="20.5" style="3507" customWidth="1"/>
    <col min="11524" max="11524" width="23.875" style="3507" customWidth="1"/>
    <col min="11525" max="11525" width="0" style="3507" hidden="1" customWidth="1"/>
    <col min="11526" max="11526" width="23.5" style="3507" customWidth="1"/>
    <col min="11527" max="11532" width="0" style="3507" hidden="1" customWidth="1"/>
    <col min="11533" max="11533" width="12.75" style="3507" bestFit="1" customWidth="1"/>
    <col min="11534" max="11535" width="9" style="3507"/>
    <col min="11536" max="11536" width="9.375" style="3507" bestFit="1" customWidth="1"/>
    <col min="11537" max="11777" width="9" style="3507"/>
    <col min="11778" max="11778" width="0" style="3507" hidden="1" customWidth="1"/>
    <col min="11779" max="11779" width="20.5" style="3507" customWidth="1"/>
    <col min="11780" max="11780" width="23.875" style="3507" customWidth="1"/>
    <col min="11781" max="11781" width="0" style="3507" hidden="1" customWidth="1"/>
    <col min="11782" max="11782" width="23.5" style="3507" customWidth="1"/>
    <col min="11783" max="11788" width="0" style="3507" hidden="1" customWidth="1"/>
    <col min="11789" max="11789" width="12.75" style="3507" bestFit="1" customWidth="1"/>
    <col min="11790" max="11791" width="9" style="3507"/>
    <col min="11792" max="11792" width="9.375" style="3507" bestFit="1" customWidth="1"/>
    <col min="11793" max="12033" width="9" style="3507"/>
    <col min="12034" max="12034" width="0" style="3507" hidden="1" customWidth="1"/>
    <col min="12035" max="12035" width="20.5" style="3507" customWidth="1"/>
    <col min="12036" max="12036" width="23.875" style="3507" customWidth="1"/>
    <col min="12037" max="12037" width="0" style="3507" hidden="1" customWidth="1"/>
    <col min="12038" max="12038" width="23.5" style="3507" customWidth="1"/>
    <col min="12039" max="12044" width="0" style="3507" hidden="1" customWidth="1"/>
    <col min="12045" max="12045" width="12.75" style="3507" bestFit="1" customWidth="1"/>
    <col min="12046" max="12047" width="9" style="3507"/>
    <col min="12048" max="12048" width="9.375" style="3507" bestFit="1" customWidth="1"/>
    <col min="12049" max="12289" width="9" style="3507"/>
    <col min="12290" max="12290" width="0" style="3507" hidden="1" customWidth="1"/>
    <col min="12291" max="12291" width="20.5" style="3507" customWidth="1"/>
    <col min="12292" max="12292" width="23.875" style="3507" customWidth="1"/>
    <col min="12293" max="12293" width="0" style="3507" hidden="1" customWidth="1"/>
    <col min="12294" max="12294" width="23.5" style="3507" customWidth="1"/>
    <col min="12295" max="12300" width="0" style="3507" hidden="1" customWidth="1"/>
    <col min="12301" max="12301" width="12.75" style="3507" bestFit="1" customWidth="1"/>
    <col min="12302" max="12303" width="9" style="3507"/>
    <col min="12304" max="12304" width="9.375" style="3507" bestFit="1" customWidth="1"/>
    <col min="12305" max="12545" width="9" style="3507"/>
    <col min="12546" max="12546" width="0" style="3507" hidden="1" customWidth="1"/>
    <col min="12547" max="12547" width="20.5" style="3507" customWidth="1"/>
    <col min="12548" max="12548" width="23.875" style="3507" customWidth="1"/>
    <col min="12549" max="12549" width="0" style="3507" hidden="1" customWidth="1"/>
    <col min="12550" max="12550" width="23.5" style="3507" customWidth="1"/>
    <col min="12551" max="12556" width="0" style="3507" hidden="1" customWidth="1"/>
    <col min="12557" max="12557" width="12.75" style="3507" bestFit="1" customWidth="1"/>
    <col min="12558" max="12559" width="9" style="3507"/>
    <col min="12560" max="12560" width="9.375" style="3507" bestFit="1" customWidth="1"/>
    <col min="12561" max="12801" width="9" style="3507"/>
    <col min="12802" max="12802" width="0" style="3507" hidden="1" customWidth="1"/>
    <col min="12803" max="12803" width="20.5" style="3507" customWidth="1"/>
    <col min="12804" max="12804" width="23.875" style="3507" customWidth="1"/>
    <col min="12805" max="12805" width="0" style="3507" hidden="1" customWidth="1"/>
    <col min="12806" max="12806" width="23.5" style="3507" customWidth="1"/>
    <col min="12807" max="12812" width="0" style="3507" hidden="1" customWidth="1"/>
    <col min="12813" max="12813" width="12.75" style="3507" bestFit="1" customWidth="1"/>
    <col min="12814" max="12815" width="9" style="3507"/>
    <col min="12816" max="12816" width="9.375" style="3507" bestFit="1" customWidth="1"/>
    <col min="12817" max="13057" width="9" style="3507"/>
    <col min="13058" max="13058" width="0" style="3507" hidden="1" customWidth="1"/>
    <col min="13059" max="13059" width="20.5" style="3507" customWidth="1"/>
    <col min="13060" max="13060" width="23.875" style="3507" customWidth="1"/>
    <col min="13061" max="13061" width="0" style="3507" hidden="1" customWidth="1"/>
    <col min="13062" max="13062" width="23.5" style="3507" customWidth="1"/>
    <col min="13063" max="13068" width="0" style="3507" hidden="1" customWidth="1"/>
    <col min="13069" max="13069" width="12.75" style="3507" bestFit="1" customWidth="1"/>
    <col min="13070" max="13071" width="9" style="3507"/>
    <col min="13072" max="13072" width="9.375" style="3507" bestFit="1" customWidth="1"/>
    <col min="13073" max="13313" width="9" style="3507"/>
    <col min="13314" max="13314" width="0" style="3507" hidden="1" customWidth="1"/>
    <col min="13315" max="13315" width="20.5" style="3507" customWidth="1"/>
    <col min="13316" max="13316" width="23.875" style="3507" customWidth="1"/>
    <col min="13317" max="13317" width="0" style="3507" hidden="1" customWidth="1"/>
    <col min="13318" max="13318" width="23.5" style="3507" customWidth="1"/>
    <col min="13319" max="13324" width="0" style="3507" hidden="1" customWidth="1"/>
    <col min="13325" max="13325" width="12.75" style="3507" bestFit="1" customWidth="1"/>
    <col min="13326" max="13327" width="9" style="3507"/>
    <col min="13328" max="13328" width="9.375" style="3507" bestFit="1" customWidth="1"/>
    <col min="13329" max="13569" width="9" style="3507"/>
    <col min="13570" max="13570" width="0" style="3507" hidden="1" customWidth="1"/>
    <col min="13571" max="13571" width="20.5" style="3507" customWidth="1"/>
    <col min="13572" max="13572" width="23.875" style="3507" customWidth="1"/>
    <col min="13573" max="13573" width="0" style="3507" hidden="1" customWidth="1"/>
    <col min="13574" max="13574" width="23.5" style="3507" customWidth="1"/>
    <col min="13575" max="13580" width="0" style="3507" hidden="1" customWidth="1"/>
    <col min="13581" max="13581" width="12.75" style="3507" bestFit="1" customWidth="1"/>
    <col min="13582" max="13583" width="9" style="3507"/>
    <col min="13584" max="13584" width="9.375" style="3507" bestFit="1" customWidth="1"/>
    <col min="13585" max="13825" width="9" style="3507"/>
    <col min="13826" max="13826" width="0" style="3507" hidden="1" customWidth="1"/>
    <col min="13827" max="13827" width="20.5" style="3507" customWidth="1"/>
    <col min="13828" max="13828" width="23.875" style="3507" customWidth="1"/>
    <col min="13829" max="13829" width="0" style="3507" hidden="1" customWidth="1"/>
    <col min="13830" max="13830" width="23.5" style="3507" customWidth="1"/>
    <col min="13831" max="13836" width="0" style="3507" hidden="1" customWidth="1"/>
    <col min="13837" max="13837" width="12.75" style="3507" bestFit="1" customWidth="1"/>
    <col min="13838" max="13839" width="9" style="3507"/>
    <col min="13840" max="13840" width="9.375" style="3507" bestFit="1" customWidth="1"/>
    <col min="13841" max="14081" width="9" style="3507"/>
    <col min="14082" max="14082" width="0" style="3507" hidden="1" customWidth="1"/>
    <col min="14083" max="14083" width="20.5" style="3507" customWidth="1"/>
    <col min="14084" max="14084" width="23.875" style="3507" customWidth="1"/>
    <col min="14085" max="14085" width="0" style="3507" hidden="1" customWidth="1"/>
    <col min="14086" max="14086" width="23.5" style="3507" customWidth="1"/>
    <col min="14087" max="14092" width="0" style="3507" hidden="1" customWidth="1"/>
    <col min="14093" max="14093" width="12.75" style="3507" bestFit="1" customWidth="1"/>
    <col min="14094" max="14095" width="9" style="3507"/>
    <col min="14096" max="14096" width="9.375" style="3507" bestFit="1" customWidth="1"/>
    <col min="14097" max="14337" width="9" style="3507"/>
    <col min="14338" max="14338" width="0" style="3507" hidden="1" customWidth="1"/>
    <col min="14339" max="14339" width="20.5" style="3507" customWidth="1"/>
    <col min="14340" max="14340" width="23.875" style="3507" customWidth="1"/>
    <col min="14341" max="14341" width="0" style="3507" hidden="1" customWidth="1"/>
    <col min="14342" max="14342" width="23.5" style="3507" customWidth="1"/>
    <col min="14343" max="14348" width="0" style="3507" hidden="1" customWidth="1"/>
    <col min="14349" max="14349" width="12.75" style="3507" bestFit="1" customWidth="1"/>
    <col min="14350" max="14351" width="9" style="3507"/>
    <col min="14352" max="14352" width="9.375" style="3507" bestFit="1" customWidth="1"/>
    <col min="14353" max="14593" width="9" style="3507"/>
    <col min="14594" max="14594" width="0" style="3507" hidden="1" customWidth="1"/>
    <col min="14595" max="14595" width="20.5" style="3507" customWidth="1"/>
    <col min="14596" max="14596" width="23.875" style="3507" customWidth="1"/>
    <col min="14597" max="14597" width="0" style="3507" hidden="1" customWidth="1"/>
    <col min="14598" max="14598" width="23.5" style="3507" customWidth="1"/>
    <col min="14599" max="14604" width="0" style="3507" hidden="1" customWidth="1"/>
    <col min="14605" max="14605" width="12.75" style="3507" bestFit="1" customWidth="1"/>
    <col min="14606" max="14607" width="9" style="3507"/>
    <col min="14608" max="14608" width="9.375" style="3507" bestFit="1" customWidth="1"/>
    <col min="14609" max="14849" width="9" style="3507"/>
    <col min="14850" max="14850" width="0" style="3507" hidden="1" customWidth="1"/>
    <col min="14851" max="14851" width="20.5" style="3507" customWidth="1"/>
    <col min="14852" max="14852" width="23.875" style="3507" customWidth="1"/>
    <col min="14853" max="14853" width="0" style="3507" hidden="1" customWidth="1"/>
    <col min="14854" max="14854" width="23.5" style="3507" customWidth="1"/>
    <col min="14855" max="14860" width="0" style="3507" hidden="1" customWidth="1"/>
    <col min="14861" max="14861" width="12.75" style="3507" bestFit="1" customWidth="1"/>
    <col min="14862" max="14863" width="9" style="3507"/>
    <col min="14864" max="14864" width="9.375" style="3507" bestFit="1" customWidth="1"/>
    <col min="14865" max="15105" width="9" style="3507"/>
    <col min="15106" max="15106" width="0" style="3507" hidden="1" customWidth="1"/>
    <col min="15107" max="15107" width="20.5" style="3507" customWidth="1"/>
    <col min="15108" max="15108" width="23.875" style="3507" customWidth="1"/>
    <col min="15109" max="15109" width="0" style="3507" hidden="1" customWidth="1"/>
    <col min="15110" max="15110" width="23.5" style="3507" customWidth="1"/>
    <col min="15111" max="15116" width="0" style="3507" hidden="1" customWidth="1"/>
    <col min="15117" max="15117" width="12.75" style="3507" bestFit="1" customWidth="1"/>
    <col min="15118" max="15119" width="9" style="3507"/>
    <col min="15120" max="15120" width="9.375" style="3507" bestFit="1" customWidth="1"/>
    <col min="15121" max="15361" width="9" style="3507"/>
    <col min="15362" max="15362" width="0" style="3507" hidden="1" customWidth="1"/>
    <col min="15363" max="15363" width="20.5" style="3507" customWidth="1"/>
    <col min="15364" max="15364" width="23.875" style="3507" customWidth="1"/>
    <col min="15365" max="15365" width="0" style="3507" hidden="1" customWidth="1"/>
    <col min="15366" max="15366" width="23.5" style="3507" customWidth="1"/>
    <col min="15367" max="15372" width="0" style="3507" hidden="1" customWidth="1"/>
    <col min="15373" max="15373" width="12.75" style="3507" bestFit="1" customWidth="1"/>
    <col min="15374" max="15375" width="9" style="3507"/>
    <col min="15376" max="15376" width="9.375" style="3507" bestFit="1" customWidth="1"/>
    <col min="15377" max="15617" width="9" style="3507"/>
    <col min="15618" max="15618" width="0" style="3507" hidden="1" customWidth="1"/>
    <col min="15619" max="15619" width="20.5" style="3507" customWidth="1"/>
    <col min="15620" max="15620" width="23.875" style="3507" customWidth="1"/>
    <col min="15621" max="15621" width="0" style="3507" hidden="1" customWidth="1"/>
    <col min="15622" max="15622" width="23.5" style="3507" customWidth="1"/>
    <col min="15623" max="15628" width="0" style="3507" hidden="1" customWidth="1"/>
    <col min="15629" max="15629" width="12.75" style="3507" bestFit="1" customWidth="1"/>
    <col min="15630" max="15631" width="9" style="3507"/>
    <col min="15632" max="15632" width="9.375" style="3507" bestFit="1" customWidth="1"/>
    <col min="15633" max="15873" width="9" style="3507"/>
    <col min="15874" max="15874" width="0" style="3507" hidden="1" customWidth="1"/>
    <col min="15875" max="15875" width="20.5" style="3507" customWidth="1"/>
    <col min="15876" max="15876" width="23.875" style="3507" customWidth="1"/>
    <col min="15877" max="15877" width="0" style="3507" hidden="1" customWidth="1"/>
    <col min="15878" max="15878" width="23.5" style="3507" customWidth="1"/>
    <col min="15879" max="15884" width="0" style="3507" hidden="1" customWidth="1"/>
    <col min="15885" max="15885" width="12.75" style="3507" bestFit="1" customWidth="1"/>
    <col min="15886" max="15887" width="9" style="3507"/>
    <col min="15888" max="15888" width="9.375" style="3507" bestFit="1" customWidth="1"/>
    <col min="15889" max="16129" width="9" style="3507"/>
    <col min="16130" max="16130" width="0" style="3507" hidden="1" customWidth="1"/>
    <col min="16131" max="16131" width="20.5" style="3507" customWidth="1"/>
    <col min="16132" max="16132" width="23.875" style="3507" customWidth="1"/>
    <col min="16133" max="16133" width="0" style="3507" hidden="1" customWidth="1"/>
    <col min="16134" max="16134" width="23.5" style="3507" customWidth="1"/>
    <col min="16135" max="16140" width="0" style="3507" hidden="1" customWidth="1"/>
    <col min="16141" max="16141" width="12.75" style="3507" bestFit="1" customWidth="1"/>
    <col min="16142" max="16143" width="9" style="3507"/>
    <col min="16144" max="16144" width="9.375" style="3507" bestFit="1" customWidth="1"/>
    <col min="16145" max="16384" width="9" style="3507"/>
  </cols>
  <sheetData>
    <row r="1" spans="1:13" ht="21.95" customHeight="1">
      <c r="A1" s="3769" t="s">
        <v>2378</v>
      </c>
      <c r="B1" s="3769" t="s">
        <v>3598</v>
      </c>
      <c r="C1" s="3769" t="s">
        <v>3599</v>
      </c>
      <c r="D1" s="3769" t="s">
        <v>3600</v>
      </c>
      <c r="E1" s="3775" t="s">
        <v>3601</v>
      </c>
      <c r="F1" s="3769" t="s">
        <v>3602</v>
      </c>
      <c r="G1" s="3769" t="s">
        <v>3603</v>
      </c>
      <c r="H1" s="3770" t="s">
        <v>3604</v>
      </c>
      <c r="I1" s="3770"/>
      <c r="J1" s="3770"/>
      <c r="K1" s="3771" t="s">
        <v>3605</v>
      </c>
      <c r="L1" s="3771"/>
    </row>
    <row r="2" spans="1:13" ht="9" customHeight="1">
      <c r="A2" s="3769"/>
      <c r="B2" s="3769"/>
      <c r="C2" s="3769"/>
      <c r="D2" s="3769"/>
      <c r="E2" s="3775"/>
      <c r="F2" s="3769"/>
      <c r="G2" s="3769"/>
      <c r="H2" s="3508" t="s">
        <v>3606</v>
      </c>
      <c r="I2" s="3508" t="s">
        <v>3607</v>
      </c>
      <c r="J2" s="3508" t="s">
        <v>3608</v>
      </c>
      <c r="K2" s="3509" t="s">
        <v>3609</v>
      </c>
      <c r="L2" s="3509" t="s">
        <v>3610</v>
      </c>
    </row>
    <row r="3" spans="1:13" ht="22.5" customHeight="1">
      <c r="A3" s="3510">
        <v>1</v>
      </c>
      <c r="B3" s="3511">
        <f>'[3]1'!$B$2</f>
        <v>0</v>
      </c>
      <c r="C3" s="3511" t="str">
        <f>'[3]1'!$B$1</f>
        <v>1办公楼</v>
      </c>
      <c r="D3" s="3511">
        <f>'[3]1'!$G$2</f>
        <v>2680.4</v>
      </c>
      <c r="E3" s="3512" t="str">
        <f>'[3]1'!$A$102</f>
        <v>建筑面积合计</v>
      </c>
      <c r="F3" s="3513">
        <f>'[3]1'!C30</f>
        <v>4241600.9768979996</v>
      </c>
      <c r="G3" s="3511">
        <f>'[3]1'!$B$129</f>
        <v>0</v>
      </c>
      <c r="H3" s="3514">
        <f>'[3]1'!$G$78</f>
        <v>0</v>
      </c>
      <c r="I3" s="3514">
        <f>'[3]1'!$C$79</f>
        <v>1200000</v>
      </c>
      <c r="J3" s="3508">
        <f>'[3]1'!$B$131</f>
        <v>9906321</v>
      </c>
      <c r="K3" s="3515">
        <f>'[3]1'!$C$142</f>
        <v>4185200</v>
      </c>
      <c r="L3" s="3509">
        <f>'[3]1'!$B$195</f>
        <v>23998256.119999997</v>
      </c>
      <c r="M3" s="3507">
        <f>ROUND(F3/D3,2)</f>
        <v>1582.45</v>
      </c>
    </row>
    <row r="4" spans="1:13" ht="22.5" customHeight="1">
      <c r="A4" s="3510">
        <v>2</v>
      </c>
      <c r="B4" s="3511">
        <f>'[3]2'!B2</f>
        <v>0</v>
      </c>
      <c r="C4" s="3511" t="str">
        <f>'[3]2'!$B$1</f>
        <v>2食堂</v>
      </c>
      <c r="D4" s="3511">
        <f>'[3]2'!$G$2</f>
        <v>1268.0999999999999</v>
      </c>
      <c r="E4" s="3512">
        <f>'[3]2'!$B$101</f>
        <v>0</v>
      </c>
      <c r="F4" s="3513">
        <f>'[3]2'!C30</f>
        <v>1400286.7439999999</v>
      </c>
      <c r="G4" s="3511" t="str">
        <f>'[3]2'!$B$128</f>
        <v/>
      </c>
      <c r="H4" s="3514">
        <f>'[3]2'!$G$78</f>
        <v>267</v>
      </c>
      <c r="I4" s="3514">
        <f>'[3]2'!$C$79</f>
        <v>1602000</v>
      </c>
      <c r="J4" s="3508">
        <f>'[3]2'!$B$130</f>
        <v>0</v>
      </c>
      <c r="K4" s="3515">
        <f>'[3]2'!$C$141</f>
        <v>1268.0999999999999</v>
      </c>
      <c r="L4" s="3509">
        <f>'[3]2'!$B$193</f>
        <v>0</v>
      </c>
      <c r="M4" s="3507">
        <f t="shared" ref="M4:M38" si="0">ROUND(F4/D4,2)</f>
        <v>1104.24</v>
      </c>
    </row>
    <row r="5" spans="1:13" ht="22.5" customHeight="1">
      <c r="A5" s="3510">
        <v>3</v>
      </c>
      <c r="B5" s="3511" t="e">
        <f>#REF!</f>
        <v>#REF!</v>
      </c>
      <c r="C5" s="3511" t="str">
        <f>'[3]3'!B1</f>
        <v>3浴室</v>
      </c>
      <c r="D5" s="3511">
        <f>'[3]3'!C8</f>
        <v>399.6</v>
      </c>
      <c r="E5" s="3512" t="e">
        <f>#REF!</f>
        <v>#REF!</v>
      </c>
      <c r="F5" s="3513">
        <f>'[3]3'!C30</f>
        <v>441254.304</v>
      </c>
      <c r="G5" s="3511" t="e">
        <f>#REF!</f>
        <v>#REF!</v>
      </c>
      <c r="H5" s="3514" t="e">
        <f>#REF!</f>
        <v>#REF!</v>
      </c>
      <c r="I5" s="3514" t="e">
        <f>#REF!</f>
        <v>#REF!</v>
      </c>
      <c r="J5" s="3508" t="e">
        <f>#REF!</f>
        <v>#REF!</v>
      </c>
      <c r="K5" s="3515" t="e">
        <f>#REF!</f>
        <v>#REF!</v>
      </c>
      <c r="L5" s="3509" t="e">
        <f>#REF!</f>
        <v>#REF!</v>
      </c>
      <c r="M5" s="3507">
        <f t="shared" si="0"/>
        <v>1104.24</v>
      </c>
    </row>
    <row r="6" spans="1:13" ht="22.5" customHeight="1">
      <c r="A6" s="3510">
        <v>4</v>
      </c>
      <c r="B6" s="3511" t="e">
        <f>#REF!</f>
        <v>#REF!</v>
      </c>
      <c r="C6" s="3511" t="str">
        <f>'[3]4'!B1</f>
        <v>4宿舍楼</v>
      </c>
      <c r="D6" s="3511">
        <f>'[3]4'!C8</f>
        <v>4101</v>
      </c>
      <c r="E6" s="3512" t="e">
        <f>#REF!</f>
        <v>#REF!</v>
      </c>
      <c r="F6" s="3513">
        <f>'[3]4'!C30</f>
        <v>5433241.0175999999</v>
      </c>
      <c r="G6" s="3511" t="e">
        <f>#REF!</f>
        <v>#REF!</v>
      </c>
      <c r="H6" s="3514" t="e">
        <f>#REF!</f>
        <v>#REF!</v>
      </c>
      <c r="I6" s="3514" t="e">
        <f>#REF!</f>
        <v>#REF!</v>
      </c>
      <c r="J6" s="3508" t="e">
        <f>#REF!</f>
        <v>#REF!</v>
      </c>
      <c r="K6" s="3515" t="e">
        <f>#REF!</f>
        <v>#REF!</v>
      </c>
      <c r="L6" s="3509" t="e">
        <f>#REF!</f>
        <v>#REF!</v>
      </c>
      <c r="M6" s="3507">
        <f t="shared" si="0"/>
        <v>1324.86</v>
      </c>
    </row>
    <row r="7" spans="1:13" ht="22.5" customHeight="1">
      <c r="A7" s="3510">
        <v>5</v>
      </c>
      <c r="B7" s="3511" t="e">
        <f>#REF!</f>
        <v>#REF!</v>
      </c>
      <c r="C7" s="3511" t="str">
        <f>'[3]5'!B1</f>
        <v>5仓库</v>
      </c>
      <c r="D7" s="3511">
        <f>'[3]5'!C8</f>
        <v>13.2</v>
      </c>
      <c r="E7" s="3512" t="e">
        <f>#REF!</f>
        <v>#REF!</v>
      </c>
      <c r="F7" s="3513">
        <f>'[3]5'!C30</f>
        <v>11274</v>
      </c>
      <c r="G7" s="3511" t="e">
        <f>#REF!</f>
        <v>#REF!</v>
      </c>
      <c r="H7" s="3514" t="e">
        <f>#REF!</f>
        <v>#REF!</v>
      </c>
      <c r="I7" s="3514" t="e">
        <f>#REF!</f>
        <v>#REF!</v>
      </c>
      <c r="J7" s="3508" t="e">
        <f>#REF!</f>
        <v>#REF!</v>
      </c>
      <c r="K7" s="3515" t="e">
        <f>#REF!</f>
        <v>#REF!</v>
      </c>
      <c r="L7" s="3509" t="e">
        <f>#REF!</f>
        <v>#REF!</v>
      </c>
      <c r="M7" s="3507">
        <f t="shared" si="0"/>
        <v>854.09</v>
      </c>
    </row>
    <row r="8" spans="1:13" ht="22.5" customHeight="1">
      <c r="A8" s="3510">
        <v>6</v>
      </c>
      <c r="B8" s="3511" t="e">
        <f>#REF!</f>
        <v>#REF!</v>
      </c>
      <c r="C8" s="3511" t="str">
        <f>'[3]6'!B1</f>
        <v>6销售办公室</v>
      </c>
      <c r="D8" s="3511">
        <f>'[3]6'!C8</f>
        <v>65.099999999999994</v>
      </c>
      <c r="E8" s="3512" t="e">
        <f>#REF!</f>
        <v>#REF!</v>
      </c>
      <c r="F8" s="3513">
        <f>'[3]6'!C30</f>
        <v>44225</v>
      </c>
      <c r="G8" s="3511" t="e">
        <f>#REF!</f>
        <v>#REF!</v>
      </c>
      <c r="H8" s="3514" t="e">
        <f>#REF!</f>
        <v>#REF!</v>
      </c>
      <c r="I8" s="3514" t="e">
        <f>#REF!</f>
        <v>#REF!</v>
      </c>
      <c r="J8" s="3508" t="e">
        <f>#REF!</f>
        <v>#REF!</v>
      </c>
      <c r="K8" s="3515" t="e">
        <f>#REF!</f>
        <v>#REF!</v>
      </c>
      <c r="L8" s="3509" t="e">
        <f>#REF!</f>
        <v>#REF!</v>
      </c>
      <c r="M8" s="3507">
        <f t="shared" si="0"/>
        <v>679.34</v>
      </c>
    </row>
    <row r="9" spans="1:13" ht="22.5" customHeight="1">
      <c r="A9" s="3510">
        <v>7</v>
      </c>
      <c r="B9" s="3511" t="e">
        <f>#REF!</f>
        <v>#REF!</v>
      </c>
      <c r="C9" s="3511" t="str">
        <f>'[3]7'!B1</f>
        <v>7销售办公室</v>
      </c>
      <c r="D9" s="3511">
        <f>'[3]7'!C8</f>
        <v>57.5</v>
      </c>
      <c r="E9" s="3512" t="e">
        <f>#REF!</f>
        <v>#REF!</v>
      </c>
      <c r="F9" s="3513">
        <f>'[3]7'!C30</f>
        <v>39181</v>
      </c>
      <c r="G9" s="3511" t="e">
        <f>#REF!</f>
        <v>#REF!</v>
      </c>
      <c r="H9" s="3514" t="e">
        <f>#REF!</f>
        <v>#REF!</v>
      </c>
      <c r="I9" s="3514" t="e">
        <f>#REF!</f>
        <v>#REF!</v>
      </c>
      <c r="J9" s="3508" t="e">
        <f>#REF!</f>
        <v>#REF!</v>
      </c>
      <c r="K9" s="3515" t="e">
        <f>#REF!</f>
        <v>#REF!</v>
      </c>
      <c r="L9" s="3509" t="e">
        <f>#REF!</f>
        <v>#REF!</v>
      </c>
      <c r="M9" s="3507">
        <f t="shared" si="0"/>
        <v>681.41</v>
      </c>
    </row>
    <row r="10" spans="1:13" ht="22.5" customHeight="1">
      <c r="A10" s="3510">
        <v>8</v>
      </c>
      <c r="B10" s="3511" t="e">
        <f>#REF!</f>
        <v>#REF!</v>
      </c>
      <c r="C10" s="3511" t="str">
        <f>'[3]8'!B1</f>
        <v>8销售办公室</v>
      </c>
      <c r="D10" s="3511">
        <f>'[3]8'!C8</f>
        <v>40.5</v>
      </c>
      <c r="E10" s="3512" t="e">
        <f>#REF!</f>
        <v>#REF!</v>
      </c>
      <c r="F10" s="3513">
        <f>'[3]8'!C30</f>
        <v>27511</v>
      </c>
      <c r="G10" s="3511" t="e">
        <f>#REF!</f>
        <v>#REF!</v>
      </c>
      <c r="H10" s="3514" t="e">
        <f>#REF!</f>
        <v>#REF!</v>
      </c>
      <c r="I10" s="3514" t="e">
        <f>#REF!</f>
        <v>#REF!</v>
      </c>
      <c r="J10" s="3508" t="e">
        <f>#REF!</f>
        <v>#REF!</v>
      </c>
      <c r="K10" s="3515" t="e">
        <f>#REF!</f>
        <v>#REF!</v>
      </c>
      <c r="L10" s="3509" t="e">
        <f>#REF!</f>
        <v>#REF!</v>
      </c>
      <c r="M10" s="3507">
        <f t="shared" si="0"/>
        <v>679.28</v>
      </c>
    </row>
    <row r="11" spans="1:13" ht="22.5" customHeight="1">
      <c r="A11" s="3510">
        <v>9</v>
      </c>
      <c r="B11" s="3511" t="e">
        <f>#REF!</f>
        <v>#REF!</v>
      </c>
      <c r="C11" s="3511" t="str">
        <f>'[3]9'!B1</f>
        <v>9销售办公室</v>
      </c>
      <c r="D11" s="3511">
        <f>'[3]9'!C8</f>
        <v>68.400000000000006</v>
      </c>
      <c r="E11" s="3512" t="e">
        <f>#REF!</f>
        <v>#REF!</v>
      </c>
      <c r="F11" s="3513">
        <f>'[3]9'!C30</f>
        <v>46523</v>
      </c>
      <c r="G11" s="3511" t="e">
        <f>#REF!</f>
        <v>#REF!</v>
      </c>
      <c r="H11" s="3514" t="e">
        <f>#REF!</f>
        <v>#REF!</v>
      </c>
      <c r="I11" s="3514" t="e">
        <f>#REF!</f>
        <v>#REF!</v>
      </c>
      <c r="J11" s="3508" t="e">
        <f>#REF!</f>
        <v>#REF!</v>
      </c>
      <c r="K11" s="3515" t="e">
        <f>#REF!</f>
        <v>#REF!</v>
      </c>
      <c r="L11" s="3509" t="e">
        <f>#REF!</f>
        <v>#REF!</v>
      </c>
      <c r="M11" s="3507">
        <f t="shared" si="0"/>
        <v>680.16</v>
      </c>
    </row>
    <row r="12" spans="1:13" ht="22.5" customHeight="1">
      <c r="A12" s="3510">
        <v>10</v>
      </c>
      <c r="B12" s="3511" t="e">
        <f>#REF!</f>
        <v>#REF!</v>
      </c>
      <c r="C12" s="3511" t="str">
        <f>'[3]10'!B1</f>
        <v>10（小车库）</v>
      </c>
      <c r="D12" s="3511">
        <f>'[3]10'!C8</f>
        <v>222.5</v>
      </c>
      <c r="E12" s="3512" t="e">
        <f>#REF!</f>
        <v>#REF!</v>
      </c>
      <c r="F12" s="3513">
        <f>'[3]10'!C30</f>
        <v>151260</v>
      </c>
      <c r="G12" s="3511" t="e">
        <f>#REF!</f>
        <v>#REF!</v>
      </c>
      <c r="H12" s="3514" t="e">
        <f>#REF!</f>
        <v>#REF!</v>
      </c>
      <c r="I12" s="3514" t="e">
        <f>#REF!</f>
        <v>#REF!</v>
      </c>
      <c r="J12" s="3508" t="e">
        <f>#REF!</f>
        <v>#REF!</v>
      </c>
      <c r="K12" s="3515" t="e">
        <f>#REF!</f>
        <v>#REF!</v>
      </c>
      <c r="L12" s="3509" t="e">
        <f>#REF!</f>
        <v>#REF!</v>
      </c>
      <c r="M12" s="3507">
        <f t="shared" si="0"/>
        <v>679.82</v>
      </c>
    </row>
    <row r="13" spans="1:13" ht="26.1" customHeight="1">
      <c r="A13" s="3510">
        <v>11</v>
      </c>
      <c r="C13" s="3511" t="str">
        <f>'[3]11'!B1</f>
        <v>12休息室</v>
      </c>
      <c r="D13" s="3511">
        <f>'[3]11'!C8</f>
        <v>58.4</v>
      </c>
      <c r="F13" s="3513">
        <f>'[3]11'!C30</f>
        <v>49631</v>
      </c>
      <c r="M13" s="3507">
        <f t="shared" si="0"/>
        <v>849.85</v>
      </c>
    </row>
    <row r="14" spans="1:13" ht="24" customHeight="1">
      <c r="A14" s="3510">
        <v>12</v>
      </c>
      <c r="C14" s="3511">
        <f>'[3]12'!B1</f>
        <v>13</v>
      </c>
      <c r="D14" s="3511">
        <f>'[3]12'!C8</f>
        <v>60.2</v>
      </c>
      <c r="F14" s="3513">
        <f>'[3]12'!C30</f>
        <v>42615</v>
      </c>
      <c r="M14" s="3507">
        <f t="shared" si="0"/>
        <v>707.89</v>
      </c>
    </row>
    <row r="15" spans="1:13" ht="26.1" customHeight="1">
      <c r="A15" s="3510">
        <v>13</v>
      </c>
      <c r="C15" s="3511" t="str">
        <f>'[3]13'!B1</f>
        <v>14大车库</v>
      </c>
      <c r="D15" s="3511">
        <f>'[3]13'!C8</f>
        <v>836.6</v>
      </c>
      <c r="F15" s="3513">
        <f>'[3]13'!C30</f>
        <v>710552</v>
      </c>
      <c r="M15" s="3507">
        <f t="shared" si="0"/>
        <v>849.33</v>
      </c>
    </row>
    <row r="16" spans="1:13" ht="24" customHeight="1">
      <c r="A16" s="3510">
        <v>14</v>
      </c>
      <c r="C16" s="3511" t="str">
        <f>'[3]14'!B1</f>
        <v>15包材库</v>
      </c>
      <c r="D16" s="3511">
        <f>'[3]14'!C8</f>
        <v>1792.5</v>
      </c>
      <c r="F16" s="3513">
        <f>'[3]14'!C30</f>
        <v>1522322</v>
      </c>
      <c r="M16" s="3507">
        <f t="shared" si="0"/>
        <v>849.27</v>
      </c>
    </row>
    <row r="17" spans="1:13" ht="23.1" customHeight="1">
      <c r="A17" s="3510">
        <v>15</v>
      </c>
      <c r="C17" s="3511" t="str">
        <f>'[3]15'!B1</f>
        <v>16水泵房</v>
      </c>
      <c r="D17" s="3511">
        <f>'[3]15'!C8</f>
        <v>179</v>
      </c>
      <c r="F17" s="3513">
        <f>'[3]15'!C30</f>
        <v>152152</v>
      </c>
      <c r="M17" s="3507">
        <f t="shared" si="0"/>
        <v>850.01</v>
      </c>
    </row>
    <row r="18" spans="1:13" ht="23.1" customHeight="1">
      <c r="A18" s="3510">
        <v>16</v>
      </c>
      <c r="C18" s="3511" t="str">
        <f>'[3]16'!B1</f>
        <v>17包装+酒库</v>
      </c>
      <c r="D18" s="3511">
        <f>'[3]16'!C8</f>
        <v>11252.1</v>
      </c>
      <c r="F18" s="3513">
        <f>'[3]16'!C30</f>
        <v>10352214</v>
      </c>
      <c r="M18" s="3507">
        <f t="shared" si="0"/>
        <v>920.03</v>
      </c>
    </row>
    <row r="19" spans="1:13" ht="26.1" customHeight="1">
      <c r="A19" s="3510">
        <v>17</v>
      </c>
      <c r="C19" s="3511" t="str">
        <f>'[3]17'!B1</f>
        <v>18配电室</v>
      </c>
      <c r="D19" s="3511">
        <f>'[3]17'!C8</f>
        <v>310.89999999999998</v>
      </c>
      <c r="F19" s="3513">
        <f>'[3]17'!C30</f>
        <v>264018</v>
      </c>
      <c r="M19" s="3507">
        <f t="shared" si="0"/>
        <v>849.21</v>
      </c>
    </row>
    <row r="20" spans="1:13" ht="26.1" customHeight="1">
      <c r="A20" s="3510">
        <v>18</v>
      </c>
      <c r="C20" s="3511" t="str">
        <f>'[3]18'!B1</f>
        <v>19发芽</v>
      </c>
      <c r="D20" s="3511">
        <f>'[3]18'!C8</f>
        <v>6069.2</v>
      </c>
      <c r="F20" s="3513">
        <f>'[3]18'!C30</f>
        <v>5583833.5734479995</v>
      </c>
      <c r="M20" s="3507">
        <f t="shared" si="0"/>
        <v>920.03</v>
      </c>
    </row>
    <row r="21" spans="1:13" ht="24" customHeight="1">
      <c r="A21" s="3510">
        <v>19</v>
      </c>
      <c r="C21" s="3511" t="str">
        <f>'[3]19'!B1</f>
        <v>20空压冷冻</v>
      </c>
      <c r="D21" s="3511">
        <f>'[3]19'!C8</f>
        <v>1510.6</v>
      </c>
      <c r="F21" s="3513">
        <f>'[3]19'!C30</f>
        <v>1389825</v>
      </c>
      <c r="M21" s="3507">
        <f t="shared" si="0"/>
        <v>920.05</v>
      </c>
    </row>
    <row r="22" spans="1:13" ht="26.1" customHeight="1">
      <c r="A22" s="3510">
        <v>20</v>
      </c>
      <c r="C22" s="3511" t="str">
        <f>'[3]20'!B1</f>
        <v>21加工间</v>
      </c>
      <c r="D22" s="3511">
        <f>'[3]20'!C8</f>
        <v>9213.2000000000007</v>
      </c>
      <c r="F22" s="3513">
        <f>'[3]20'!C30</f>
        <v>8476338.5827840008</v>
      </c>
      <c r="M22" s="3507">
        <f t="shared" si="0"/>
        <v>920.02</v>
      </c>
    </row>
    <row r="23" spans="1:13" ht="21.95" customHeight="1">
      <c r="A23" s="3510">
        <v>21</v>
      </c>
      <c r="C23" s="3511" t="str">
        <f>'[3]21'!B1</f>
        <v>22工程部</v>
      </c>
      <c r="D23" s="3511">
        <f>'[3]21'!C8</f>
        <v>1452.1</v>
      </c>
      <c r="F23" s="3513">
        <f>'[3]21'!C30</f>
        <v>1336023.7727199998</v>
      </c>
      <c r="M23" s="3507">
        <f t="shared" si="0"/>
        <v>920.06</v>
      </c>
    </row>
    <row r="24" spans="1:13" ht="21.95" customHeight="1">
      <c r="A24" s="3510">
        <v>22</v>
      </c>
      <c r="C24" s="3511">
        <f>'[3]22'!B1</f>
        <v>23</v>
      </c>
      <c r="D24" s="3511">
        <f>'[3]22'!C8</f>
        <v>3265</v>
      </c>
      <c r="F24" s="3513">
        <f>'[3]22'!C30</f>
        <v>2772815.6159999999</v>
      </c>
      <c r="M24" s="3507">
        <f t="shared" si="0"/>
        <v>849.25</v>
      </c>
    </row>
    <row r="25" spans="1:13" ht="21.95" customHeight="1">
      <c r="A25" s="3510">
        <v>23</v>
      </c>
      <c r="C25" s="3511" t="str">
        <f>'[3]23'!B1</f>
        <v>24卸麦间（铁路）</v>
      </c>
      <c r="D25" s="3511">
        <f>'[3]23'!C8</f>
        <v>2300.5</v>
      </c>
      <c r="F25" s="3513">
        <f>'[3]23'!C30</f>
        <v>3516714</v>
      </c>
      <c r="M25" s="3507">
        <f t="shared" si="0"/>
        <v>1528.67</v>
      </c>
    </row>
    <row r="26" spans="1:13" ht="24" customHeight="1">
      <c r="A26" s="3510">
        <v>24</v>
      </c>
      <c r="C26" s="3511" t="str">
        <f>'[3]24'!B1</f>
        <v>27化工库</v>
      </c>
      <c r="D26" s="3511">
        <f>'[3]24'!C8</f>
        <v>256.60000000000002</v>
      </c>
      <c r="F26" s="3513">
        <f>'[3]24'!C30</f>
        <v>217942</v>
      </c>
      <c r="M26" s="3507">
        <f t="shared" si="0"/>
        <v>849.35</v>
      </c>
    </row>
    <row r="27" spans="1:13" ht="24" customHeight="1">
      <c r="A27" s="3510">
        <v>25</v>
      </c>
      <c r="C27" s="3511">
        <f>'[3]25'!B1</f>
        <v>28</v>
      </c>
      <c r="D27" s="3511">
        <f>'[3]25'!C8</f>
        <v>109.7</v>
      </c>
      <c r="F27" s="3513">
        <f>'[3]25'!C30</f>
        <v>100915.16915</v>
      </c>
      <c r="M27" s="3507">
        <f t="shared" si="0"/>
        <v>919.92</v>
      </c>
    </row>
    <row r="28" spans="1:13" ht="23.1" customHeight="1">
      <c r="A28" s="3510">
        <v>26</v>
      </c>
      <c r="C28" s="3511">
        <f>'[3]26'!B1</f>
        <v>29</v>
      </c>
      <c r="D28" s="3511">
        <f>'[3]26'!C8</f>
        <v>140.19999999999999</v>
      </c>
      <c r="F28" s="3513">
        <f>'[3]26'!C30</f>
        <v>129348</v>
      </c>
      <c r="M28" s="3507">
        <f t="shared" si="0"/>
        <v>922.6</v>
      </c>
    </row>
    <row r="29" spans="1:13" ht="24" customHeight="1">
      <c r="A29" s="3510">
        <v>27</v>
      </c>
      <c r="C29" s="3511">
        <f>'[3]27'!B1</f>
        <v>30</v>
      </c>
      <c r="D29" s="3511">
        <f>'[3]27'!C8</f>
        <v>90.2</v>
      </c>
      <c r="F29" s="3513">
        <f>'[3]27'!C30</f>
        <v>76646</v>
      </c>
      <c r="M29" s="3507">
        <f t="shared" si="0"/>
        <v>849.73</v>
      </c>
    </row>
    <row r="30" spans="1:13" ht="24" customHeight="1">
      <c r="A30" s="3510">
        <v>28</v>
      </c>
      <c r="C30" s="3511">
        <f>'[3]28'!B1</f>
        <v>31</v>
      </c>
      <c r="D30" s="3511">
        <f>'[3]28'!C8</f>
        <v>175.8</v>
      </c>
      <c r="F30" s="3513">
        <f>'[3]28'!C30</f>
        <v>161849</v>
      </c>
      <c r="M30" s="3507">
        <f t="shared" si="0"/>
        <v>920.64</v>
      </c>
    </row>
    <row r="31" spans="1:13" ht="24" customHeight="1">
      <c r="A31" s="3517">
        <v>29</v>
      </c>
      <c r="C31" s="3518">
        <f>'[3]29'!B1</f>
        <v>32</v>
      </c>
      <c r="D31" s="3511">
        <f>'[3]29'!C8</f>
        <v>174.2</v>
      </c>
      <c r="F31" s="3519">
        <f>'[3]29'!C30</f>
        <v>160303</v>
      </c>
      <c r="M31" s="3507">
        <f t="shared" si="0"/>
        <v>920.22</v>
      </c>
    </row>
    <row r="32" spans="1:13" ht="24.95" customHeight="1">
      <c r="A32" s="3517">
        <v>30</v>
      </c>
      <c r="C32" s="3518" t="str">
        <f>'[3]30'!B1</f>
        <v>33机修车间</v>
      </c>
      <c r="D32" s="3511">
        <f>'[3]30'!C8</f>
        <v>1001.7</v>
      </c>
      <c r="F32" s="3519">
        <f>'[3]30'!C30</f>
        <v>850722</v>
      </c>
      <c r="M32" s="3507">
        <f t="shared" si="0"/>
        <v>849.28</v>
      </c>
    </row>
    <row r="33" spans="1:16" ht="24" customHeight="1">
      <c r="A33" s="3517">
        <v>31</v>
      </c>
      <c r="C33" s="3518" t="str">
        <f>'[3]31'!B1</f>
        <v>34备件库</v>
      </c>
      <c r="D33" s="3511">
        <f>'[3]31'!C8</f>
        <v>822.6</v>
      </c>
      <c r="F33" s="3519">
        <f>'[3]31'!C30</f>
        <v>698624</v>
      </c>
      <c r="M33" s="3507">
        <f t="shared" si="0"/>
        <v>849.29</v>
      </c>
    </row>
    <row r="34" spans="1:16" ht="23.1" customHeight="1">
      <c r="A34" s="3517">
        <v>32</v>
      </c>
      <c r="C34" s="3518" t="str">
        <f>'[3]32'!B1</f>
        <v>35锅炉房</v>
      </c>
      <c r="D34" s="3511">
        <f>'[3]32'!C8</f>
        <v>1847.9</v>
      </c>
      <c r="F34" s="3519">
        <f>'[3]32'!C30</f>
        <v>1700130.4590200002</v>
      </c>
      <c r="M34" s="3507">
        <f t="shared" si="0"/>
        <v>920.03</v>
      </c>
      <c r="P34" s="3513"/>
    </row>
    <row r="35" spans="1:16" ht="23.1" customHeight="1">
      <c r="A35" s="3517">
        <v>33</v>
      </c>
      <c r="C35" s="3518" t="str">
        <f>'[3]33'!B1</f>
        <v>36糖化</v>
      </c>
      <c r="D35" s="3511">
        <f>'[3]33'!C8</f>
        <v>5042.6000000000004</v>
      </c>
      <c r="F35" s="3519">
        <f>'[3]33'!C30</f>
        <v>4639321.0905600004</v>
      </c>
      <c r="M35" s="3507">
        <f t="shared" si="0"/>
        <v>920.03</v>
      </c>
    </row>
    <row r="36" spans="1:16" ht="24" customHeight="1">
      <c r="A36" s="3517">
        <v>34</v>
      </c>
      <c r="C36" s="3518" t="str">
        <f>'[3]34'!B1</f>
        <v>37办公楼</v>
      </c>
      <c r="D36" s="3511">
        <f>'[3]34'!C8</f>
        <v>2200.3000000000002</v>
      </c>
      <c r="F36" s="3519">
        <f>'[3]34'!C30</f>
        <v>2024332.3276800003</v>
      </c>
      <c r="M36" s="3507">
        <f t="shared" si="0"/>
        <v>920.03</v>
      </c>
    </row>
    <row r="37" spans="1:16" ht="24" customHeight="1">
      <c r="A37" s="3517">
        <v>35</v>
      </c>
      <c r="C37" s="3518" t="str">
        <f>'[3]35'!B1</f>
        <v>37办公楼（地下室）</v>
      </c>
      <c r="D37" s="3511">
        <f>'[3]35'!C8</f>
        <v>1023.2</v>
      </c>
      <c r="F37" s="3519">
        <f>'[3]35'!C30</f>
        <v>941399.96904000011</v>
      </c>
      <c r="M37" s="3507">
        <f t="shared" si="0"/>
        <v>920.05</v>
      </c>
    </row>
    <row r="38" spans="1:16" ht="23.1" customHeight="1">
      <c r="A38" s="3517">
        <v>36</v>
      </c>
      <c r="C38" s="3518" t="str">
        <f>'[3]36'!B1</f>
        <v>38叉车修理间</v>
      </c>
      <c r="D38" s="3511">
        <f>'[3]36'!C8</f>
        <v>371.9</v>
      </c>
      <c r="F38" s="3519">
        <f>'[3]36'!C30</f>
        <v>342232</v>
      </c>
      <c r="M38" s="3507">
        <f t="shared" si="0"/>
        <v>920.23</v>
      </c>
    </row>
    <row r="39" spans="1:16" ht="32.1" customHeight="1">
      <c r="A39" s="3772" t="s">
        <v>24</v>
      </c>
      <c r="B39" s="3773"/>
      <c r="C39" s="3774"/>
      <c r="D39" s="3511">
        <f>SUM(D3:D38)</f>
        <v>60473.499999999985</v>
      </c>
      <c r="F39" s="3519">
        <f>SUM(F3:F38)</f>
        <v>60049176.602899998</v>
      </c>
    </row>
    <row r="40" spans="1:16" ht="27" customHeight="1">
      <c r="A40" s="3520">
        <v>37</v>
      </c>
      <c r="C40" s="3521" t="str">
        <f>'[3]37'!B1</f>
        <v>13地磅房（中衡）</v>
      </c>
      <c r="D40" s="3511">
        <f>'[3]37'!C8</f>
        <v>234.44</v>
      </c>
      <c r="F40" s="3519">
        <f>'[3]37'!C30</f>
        <v>215746</v>
      </c>
      <c r="M40" s="3507">
        <f>ROUND(F40/D40,2)</f>
        <v>920.26</v>
      </c>
    </row>
    <row r="41" spans="1:16" ht="27" customHeight="1">
      <c r="A41" s="3522">
        <v>38</v>
      </c>
      <c r="C41" s="3518" t="str">
        <f>'[3]38'!B1</f>
        <v>26卸煤间</v>
      </c>
      <c r="D41" s="3511">
        <f>'[3]38'!C8</f>
        <v>1073</v>
      </c>
      <c r="F41" s="3519">
        <f>'[3]38'!C30</f>
        <v>1093516.1891999999</v>
      </c>
      <c r="M41" s="3507">
        <f t="shared" ref="M41:M45" si="1">ROUND(F41/D41,2)</f>
        <v>1019.12</v>
      </c>
    </row>
    <row r="42" spans="1:16" ht="24.95" customHeight="1">
      <c r="A42" s="3522">
        <v>39</v>
      </c>
      <c r="C42" s="3518" t="str">
        <f>'[3]39'!B1</f>
        <v>14瓶箱厕所</v>
      </c>
      <c r="D42" s="3511">
        <f>'[3]39'!C8</f>
        <v>38.75</v>
      </c>
      <c r="F42" s="3519">
        <f>'[3]39'!C30</f>
        <v>35710</v>
      </c>
      <c r="M42" s="3507">
        <f t="shared" si="1"/>
        <v>921.55</v>
      </c>
    </row>
    <row r="43" spans="1:16" ht="24" customHeight="1">
      <c r="A43" s="3522">
        <v>40</v>
      </c>
      <c r="C43" s="3518" t="str">
        <f>'[3]40'!B1</f>
        <v>12油库及附属设施</v>
      </c>
      <c r="D43" s="3511">
        <f>'[3]40'!C8</f>
        <v>210.25</v>
      </c>
      <c r="F43" s="3519">
        <f>'[3]40'!C30</f>
        <v>193408</v>
      </c>
      <c r="M43" s="3507">
        <f t="shared" si="1"/>
        <v>919.9</v>
      </c>
    </row>
    <row r="44" spans="1:16" ht="24.95" customHeight="1">
      <c r="A44" s="3522">
        <v>41</v>
      </c>
      <c r="C44" s="3518" t="str">
        <f>'[3]41'!B1</f>
        <v>37污水处理厂</v>
      </c>
      <c r="D44" s="3511">
        <f>'[3]41'!C8</f>
        <v>607</v>
      </c>
      <c r="F44" s="3519">
        <f>'[3]41'!C30</f>
        <v>670143</v>
      </c>
      <c r="M44" s="3507">
        <f t="shared" si="1"/>
        <v>1104.02</v>
      </c>
    </row>
    <row r="45" spans="1:16" ht="26.1" customHeight="1">
      <c r="A45" s="3522">
        <v>42</v>
      </c>
      <c r="C45" s="3518" t="str">
        <f>'[3]42'!B1</f>
        <v>18营业室</v>
      </c>
      <c r="D45" s="3518">
        <f>'[3]42'!C8</f>
        <v>78.430000000000007</v>
      </c>
      <c r="F45" s="3519">
        <f>'[3]42'!C30</f>
        <v>79922</v>
      </c>
      <c r="M45" s="3507">
        <f t="shared" si="1"/>
        <v>1019.02</v>
      </c>
    </row>
    <row r="46" spans="1:16" ht="30" customHeight="1">
      <c r="A46" s="3772" t="s">
        <v>24</v>
      </c>
      <c r="B46" s="3773"/>
      <c r="C46" s="3774"/>
      <c r="D46" s="3511">
        <f>SUM(D40:D45)</f>
        <v>2241.87</v>
      </c>
      <c r="E46" s="3511"/>
      <c r="F46" s="3519">
        <f>SUM(F40:F45)</f>
        <v>2288445.1891999999</v>
      </c>
    </row>
    <row r="47" spans="1:16" ht="27" customHeight="1">
      <c r="A47" s="3523">
        <v>43</v>
      </c>
      <c r="C47" s="3521" t="str">
        <f>'[3]43'!B1</f>
        <v>1易拉罐暂存库</v>
      </c>
      <c r="D47" s="3524">
        <f>'[3]43'!C8</f>
        <v>2790</v>
      </c>
      <c r="F47" s="3519">
        <f>'[3]43'!C30</f>
        <v>2155934</v>
      </c>
    </row>
    <row r="48" spans="1:16" ht="30" customHeight="1">
      <c r="A48" s="3525">
        <v>44</v>
      </c>
      <c r="C48" s="3518" t="str">
        <f>'[3]44'!B1</f>
        <v>2成品麦芽暂存库</v>
      </c>
      <c r="D48" s="3511">
        <f>'[3]44'!C8</f>
        <v>9890</v>
      </c>
      <c r="F48" s="3519">
        <f>'[3]44'!C30</f>
        <v>7642139</v>
      </c>
    </row>
    <row r="49" spans="1:6" ht="27.95" customHeight="1">
      <c r="A49" s="3525">
        <v>45</v>
      </c>
      <c r="C49" s="3518" t="str">
        <f>'[3]45'!B1</f>
        <v>3酒库大棚</v>
      </c>
      <c r="D49" s="3511">
        <f>'[3]45'!C8</f>
        <v>2486</v>
      </c>
      <c r="F49" s="3519">
        <f>'[3]45'!C30</f>
        <v>1921038</v>
      </c>
    </row>
    <row r="50" spans="1:6" ht="30" customHeight="1">
      <c r="A50" s="3525">
        <v>46</v>
      </c>
      <c r="C50" s="3518" t="str">
        <f>'[3]46'!B1</f>
        <v>4冷冻简易房</v>
      </c>
      <c r="D50" s="3518">
        <f>'[3]46'!C8</f>
        <v>154.56</v>
      </c>
      <c r="F50" s="3519">
        <f>'[3]46'!C30</f>
        <v>119419</v>
      </c>
    </row>
    <row r="51" spans="1:6" ht="30" customHeight="1">
      <c r="A51" s="3525">
        <v>47</v>
      </c>
      <c r="B51" s="3526"/>
      <c r="C51" s="3511" t="str">
        <f>'[3]47'!B1</f>
        <v>5易拉罐空罐库</v>
      </c>
      <c r="D51" s="3511">
        <f>'[3]47'!C8</f>
        <v>356.25</v>
      </c>
      <c r="E51" s="3527"/>
      <c r="F51" s="3513">
        <f>'[3]47'!C30</f>
        <v>275341</v>
      </c>
    </row>
    <row r="52" spans="1:6" ht="27" customHeight="1">
      <c r="A52" s="3525">
        <v>48</v>
      </c>
      <c r="B52" s="3526"/>
      <c r="C52" s="3511" t="str">
        <f>'[3]48'!B1</f>
        <v>6易拉罐杀菌机房</v>
      </c>
      <c r="D52" s="3511">
        <f>'[3]48'!C8</f>
        <v>184.1</v>
      </c>
      <c r="E52" s="3527"/>
      <c r="F52" s="3513">
        <f>'[3]48'!C30</f>
        <v>142331</v>
      </c>
    </row>
    <row r="53" spans="1:6" ht="30" customHeight="1">
      <c r="A53" s="3525">
        <v>49</v>
      </c>
      <c r="B53" s="3526"/>
      <c r="C53" s="3511" t="str">
        <f>'[3]49'!B1</f>
        <v>7洗瓶场（棚，未封）</v>
      </c>
      <c r="D53" s="3511">
        <f>'[3]49'!C8</f>
        <v>1071.6500000000001</v>
      </c>
      <c r="E53" s="3527"/>
      <c r="F53" s="3513">
        <f>'[3]49'!C30</f>
        <v>345039</v>
      </c>
    </row>
    <row r="54" spans="1:6" ht="27" customHeight="1">
      <c r="A54" s="3525">
        <v>50</v>
      </c>
      <c r="B54" s="3526"/>
      <c r="C54" s="3511" t="str">
        <f>'[3]50'!B1</f>
        <v>8扎啤空桶库</v>
      </c>
      <c r="D54" s="3511">
        <f>'[3]50'!C8</f>
        <v>205.86</v>
      </c>
      <c r="E54" s="3527"/>
      <c r="F54" s="3513">
        <f>'[3]50'!C30</f>
        <v>159145</v>
      </c>
    </row>
    <row r="55" spans="1:6" ht="27" customHeight="1">
      <c r="A55" s="3525">
        <v>51</v>
      </c>
      <c r="B55" s="3526"/>
      <c r="C55" s="3511" t="str">
        <f>'[3]51'!B1</f>
        <v>9扎啤车间</v>
      </c>
      <c r="D55" s="3511">
        <f>'[3]51'!C8</f>
        <v>369.66</v>
      </c>
      <c r="E55" s="3527"/>
      <c r="F55" s="3513">
        <f>'[3]51'!C30</f>
        <v>238022</v>
      </c>
    </row>
    <row r="56" spans="1:6" ht="27" customHeight="1">
      <c r="A56" s="3525">
        <v>52</v>
      </c>
      <c r="B56" s="3526"/>
      <c r="C56" s="3511" t="str">
        <f>'[3]52'!B1</f>
        <v>10扎啤成品库</v>
      </c>
      <c r="D56" s="3511">
        <f>'[3]52'!C8</f>
        <v>178.12</v>
      </c>
      <c r="E56" s="3527"/>
      <c r="F56" s="3513">
        <f>'[3]52'!C30</f>
        <v>137608</v>
      </c>
    </row>
    <row r="57" spans="1:6" ht="27.95" customHeight="1">
      <c r="A57" s="3525">
        <v>53</v>
      </c>
      <c r="B57" s="3526"/>
      <c r="C57" s="3511" t="str">
        <f>'[3]53'!B1</f>
        <v>11（5升桶生产车间）</v>
      </c>
      <c r="D57" s="3511">
        <f>'[3]53'!C8</f>
        <v>1288.56</v>
      </c>
      <c r="E57" s="3527"/>
      <c r="F57" s="3513">
        <f>'[3]53'!C30</f>
        <v>995730</v>
      </c>
    </row>
    <row r="58" spans="1:6" ht="27" customHeight="1">
      <c r="A58" s="3525">
        <v>54</v>
      </c>
      <c r="B58" s="3526"/>
      <c r="C58" s="3511" t="str">
        <f>'[3]54'!B1</f>
        <v>12油库及附属设施</v>
      </c>
      <c r="D58" s="3511">
        <f>'[3]54'!C8</f>
        <v>111</v>
      </c>
      <c r="E58" s="3527"/>
      <c r="F58" s="3513">
        <f>'[3]54'!C30</f>
        <v>71520</v>
      </c>
    </row>
    <row r="59" spans="1:6" ht="26.1" customHeight="1">
      <c r="A59" s="3525">
        <v>55</v>
      </c>
      <c r="B59" s="3526"/>
      <c r="C59" s="3511" t="str">
        <f>'[3]55'!B1</f>
        <v>15销售办公房</v>
      </c>
      <c r="D59" s="3511">
        <f>'[3]55'!C8</f>
        <v>298.2</v>
      </c>
      <c r="E59" s="3527"/>
      <c r="F59" s="3513">
        <f>'[3]55'!C30</f>
        <v>192094</v>
      </c>
    </row>
    <row r="60" spans="1:6" ht="27" customHeight="1">
      <c r="A60" s="3525">
        <v>56</v>
      </c>
      <c r="B60" s="3526"/>
      <c r="C60" s="3511" t="str">
        <f>'[3]56'!B1</f>
        <v>16警队休息室</v>
      </c>
      <c r="D60" s="3511">
        <f>'[3]56'!C8</f>
        <v>103.68</v>
      </c>
      <c r="E60" s="3527"/>
      <c r="F60" s="3513">
        <f>'[3]56'!C30</f>
        <v>66809</v>
      </c>
    </row>
    <row r="61" spans="1:6" ht="27" customHeight="1">
      <c r="A61" s="3525">
        <v>57</v>
      </c>
      <c r="B61" s="3526"/>
      <c r="C61" s="3511" t="str">
        <f>'[3]57'!B1</f>
        <v>17绿化队休息室</v>
      </c>
      <c r="D61" s="3511">
        <f>'[3]57'!C8</f>
        <v>178.2</v>
      </c>
      <c r="E61" s="3527"/>
      <c r="F61" s="3513">
        <f>'[3]57'!C30</f>
        <v>114715</v>
      </c>
    </row>
    <row r="62" spans="1:6" ht="24" customHeight="1">
      <c r="A62" s="3525">
        <v>58</v>
      </c>
      <c r="B62" s="3526"/>
      <c r="C62" s="3511" t="str">
        <f>'[3]58'!B1</f>
        <v>19基建库房</v>
      </c>
      <c r="D62" s="3511">
        <f>'[3]58'!C8</f>
        <v>316.62</v>
      </c>
      <c r="E62" s="3527"/>
      <c r="F62" s="3513">
        <f>'[3]58'!C30</f>
        <v>203907</v>
      </c>
    </row>
    <row r="63" spans="1:6" ht="26.1" customHeight="1">
      <c r="A63" s="3525">
        <v>59</v>
      </c>
      <c r="B63" s="3526"/>
      <c r="C63" s="3511" t="str">
        <f>'[3]59'!B1</f>
        <v>20西门岗</v>
      </c>
      <c r="D63" s="3511">
        <f>'[3]59'!C8</f>
        <v>16.32</v>
      </c>
      <c r="E63" s="3527"/>
      <c r="F63" s="3513">
        <f>'[3]59'!C30</f>
        <v>10535</v>
      </c>
    </row>
    <row r="64" spans="1:6" ht="27" customHeight="1">
      <c r="A64" s="3525">
        <v>60</v>
      </c>
      <c r="B64" s="3526"/>
      <c r="C64" s="3511" t="str">
        <f>'[3]60'!B1</f>
        <v>21传达室</v>
      </c>
      <c r="D64" s="3511">
        <f>'[3]60'!C8</f>
        <v>64.599999999999994</v>
      </c>
      <c r="E64" s="3527"/>
      <c r="F64" s="3513">
        <f>'[3]60'!C30</f>
        <v>41635</v>
      </c>
    </row>
    <row r="65" spans="1:6" ht="26.1" customHeight="1">
      <c r="A65" s="3525">
        <v>61</v>
      </c>
      <c r="B65" s="3526"/>
      <c r="C65" s="3511" t="str">
        <f>'[3]61'!B1</f>
        <v>22自行车棚（内）</v>
      </c>
      <c r="D65" s="3511">
        <f>'[3]61'!C8</f>
        <v>191.7</v>
      </c>
      <c r="E65" s="3527"/>
      <c r="F65" s="3513">
        <f>'[3]61'!C30</f>
        <v>148104</v>
      </c>
    </row>
    <row r="66" spans="1:6" ht="24" customHeight="1">
      <c r="A66" s="3525">
        <v>62</v>
      </c>
      <c r="B66" s="3526"/>
      <c r="C66" s="3511" t="str">
        <f>'[3]62'!B1</f>
        <v>23扎啤临时库房</v>
      </c>
      <c r="D66" s="3511">
        <f>'[3]62'!C8</f>
        <v>247.5</v>
      </c>
      <c r="E66" s="3527"/>
      <c r="F66" s="3513">
        <f>'[3]62'!C30</f>
        <v>191238</v>
      </c>
    </row>
    <row r="67" spans="1:6" ht="26.1" customHeight="1">
      <c r="A67" s="3525">
        <v>63</v>
      </c>
      <c r="B67" s="3526"/>
      <c r="C67" s="3511" t="str">
        <f>'[3]63'!B1</f>
        <v>24包材库办公室</v>
      </c>
      <c r="D67" s="3511">
        <f>'[3]63'!C8</f>
        <v>39.69</v>
      </c>
      <c r="E67" s="3527"/>
      <c r="F67" s="3513">
        <f>'[3]63'!C30</f>
        <v>25629</v>
      </c>
    </row>
    <row r="68" spans="1:6" ht="26.1" customHeight="1">
      <c r="A68" s="3525">
        <v>64</v>
      </c>
      <c r="B68" s="3526"/>
      <c r="C68" s="3511" t="str">
        <f>'[3]64'!B1</f>
        <v>25酒糟干燥车间</v>
      </c>
      <c r="D68" s="3511">
        <f>'[3]64'!C8</f>
        <v>624.24</v>
      </c>
      <c r="E68" s="3527"/>
      <c r="F68" s="3513">
        <f>'[3]64'!C30</f>
        <v>482932</v>
      </c>
    </row>
    <row r="69" spans="1:6" ht="24.95" customHeight="1">
      <c r="A69" s="3525">
        <v>65</v>
      </c>
      <c r="B69" s="3526"/>
      <c r="C69" s="3511" t="str">
        <f>'[3]65'!B1</f>
        <v>27铁道值班室</v>
      </c>
      <c r="D69" s="3511">
        <f>'[3]65'!C8</f>
        <v>121</v>
      </c>
      <c r="E69" s="3527"/>
      <c r="F69" s="3513">
        <f>'[3]65'!C30</f>
        <v>77939</v>
      </c>
    </row>
    <row r="70" spans="1:6" ht="30" customHeight="1">
      <c r="A70" s="3525">
        <v>66</v>
      </c>
      <c r="B70" s="3526"/>
      <c r="C70" s="3511" t="str">
        <f>'[3]66'!B1</f>
        <v>28浴室旁地泵房东</v>
      </c>
      <c r="D70" s="3511">
        <f>'[3]66'!C8</f>
        <v>29.61</v>
      </c>
      <c r="E70" s="3527"/>
      <c r="F70" s="3513">
        <f>'[3]66'!C30</f>
        <v>19120</v>
      </c>
    </row>
    <row r="71" spans="1:6" ht="23.1" customHeight="1">
      <c r="A71" s="3525">
        <v>67</v>
      </c>
      <c r="B71" s="3526"/>
      <c r="C71" s="3511" t="str">
        <f>'[3]67'!B1</f>
        <v>29浴室旁地泵房西</v>
      </c>
      <c r="D71" s="3511">
        <f>'[3]67'!C8</f>
        <v>29.61</v>
      </c>
      <c r="E71" s="3527"/>
      <c r="F71" s="3513">
        <f>'[3]67'!C30</f>
        <v>19120</v>
      </c>
    </row>
    <row r="72" spans="1:6" ht="27" customHeight="1">
      <c r="A72" s="3525">
        <v>68</v>
      </c>
      <c r="B72" s="3526"/>
      <c r="C72" s="3511" t="str">
        <f>'[3]68'!B1</f>
        <v>30包装休息室</v>
      </c>
      <c r="D72" s="3511">
        <f>'[3]68'!C8</f>
        <v>282</v>
      </c>
      <c r="E72" s="3527"/>
      <c r="F72" s="3513">
        <f>'[3]68'!C30</f>
        <v>217940</v>
      </c>
    </row>
    <row r="73" spans="1:6" ht="23.1" customHeight="1">
      <c r="A73" s="3525">
        <v>69</v>
      </c>
      <c r="B73" s="3526"/>
      <c r="C73" s="3511" t="str">
        <f>'[3]69'!B1</f>
        <v>31硅土压力间</v>
      </c>
      <c r="D73" s="3511">
        <f>'[3]69'!C8</f>
        <v>34.5</v>
      </c>
      <c r="E73" s="3527"/>
      <c r="F73" s="3513">
        <f>'[3]69'!C30</f>
        <v>26709</v>
      </c>
    </row>
    <row r="74" spans="1:6" ht="21.95" customHeight="1">
      <c r="A74" s="3525">
        <v>70</v>
      </c>
      <c r="B74" s="3526"/>
      <c r="C74" s="3511" t="str">
        <f>'[3]70'!B1</f>
        <v>32销售办公室对面</v>
      </c>
      <c r="D74" s="3511">
        <f>'[3]70'!C8</f>
        <v>90</v>
      </c>
      <c r="E74" s="3527"/>
      <c r="F74" s="3513">
        <f>'[3]70'!C30</f>
        <v>58042</v>
      </c>
    </row>
    <row r="75" spans="1:6" ht="27.95" customHeight="1">
      <c r="A75" s="3525">
        <v>71</v>
      </c>
      <c r="B75" s="3526"/>
      <c r="C75" s="3511" t="str">
        <f>'[3]71'!B1</f>
        <v>33临建</v>
      </c>
      <c r="D75" s="3511">
        <f>'[3]71'!C8</f>
        <v>105.4</v>
      </c>
      <c r="E75" s="3527"/>
      <c r="F75" s="3513">
        <f>'[3]71'!C30</f>
        <v>67924</v>
      </c>
    </row>
    <row r="76" spans="1:6" ht="27.95" customHeight="1">
      <c r="A76" s="3772" t="s">
        <v>24</v>
      </c>
      <c r="B76" s="3773"/>
      <c r="C76" s="3774"/>
      <c r="D76" s="3511">
        <f>SUM(D47:D75)</f>
        <v>21858.630000000005</v>
      </c>
      <c r="E76" s="3527"/>
      <c r="F76" s="3513">
        <f>SUM(F47:F75)</f>
        <v>16167658</v>
      </c>
    </row>
  </sheetData>
  <mergeCells count="12">
    <mergeCell ref="A76:C76"/>
    <mergeCell ref="A1:A2"/>
    <mergeCell ref="B1:B2"/>
    <mergeCell ref="C1:C2"/>
    <mergeCell ref="D1:D2"/>
    <mergeCell ref="G1:G2"/>
    <mergeCell ref="H1:J1"/>
    <mergeCell ref="K1:L1"/>
    <mergeCell ref="A39:C39"/>
    <mergeCell ref="A46:C46"/>
    <mergeCell ref="E1:E2"/>
    <mergeCell ref="F1:F2"/>
  </mergeCells>
  <phoneticPr fontId="237" type="noConversion"/>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0" workbookViewId="0">
      <selection activeCell="E42" sqref="E4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182153.37</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2765</v>
      </c>
      <c r="T1" s="2961" t="s">
        <v>2786</v>
      </c>
      <c r="U1" s="2961" t="s">
        <v>2787</v>
      </c>
      <c r="V1" s="2961" t="s">
        <v>2788</v>
      </c>
      <c r="W1" s="2190"/>
      <c r="X1" s="2190"/>
      <c r="Y1" s="2190"/>
      <c r="Z1" s="2190"/>
      <c r="AA1" s="2190"/>
      <c r="AB1" s="2190"/>
      <c r="AC1" s="2191"/>
    </row>
    <row r="2" spans="1:39" ht="15.75">
      <c r="A2" s="1406" t="s">
        <v>919</v>
      </c>
      <c r="B2" s="1038">
        <f ca="1">C26</f>
        <v>43061</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 ca="1">ROUND($C$5*$C$18*$C$19*$C$20*S2*$C$24,0)</f>
        <v>3961</v>
      </c>
      <c r="U2" s="2951"/>
      <c r="V2" s="2962">
        <f ca="1">ROUND(T2*U2/10000,0)</f>
        <v>0</v>
      </c>
      <c r="W2" s="2190"/>
      <c r="X2" s="2190"/>
      <c r="Y2" s="2190"/>
      <c r="Z2" s="2190"/>
      <c r="AA2" s="2190"/>
      <c r="AB2" s="2190"/>
      <c r="AC2" s="2191"/>
    </row>
    <row r="3" spans="1:39" ht="15.75">
      <c r="A3" s="1411" t="s">
        <v>1687</v>
      </c>
      <c r="B3" s="1038">
        <f ca="1">ROUND(B2*10000/D1,0)</f>
        <v>2364</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ca="1" si="0">ROUND($C$5*$C$18*$C$19*$C$20*S3*$C$24,0)</f>
        <v>2843</v>
      </c>
      <c r="U3" s="2951"/>
      <c r="V3" s="2962">
        <f t="shared" ref="V3:V16" ca="1" si="1">ROUND(T3*U3/10000,0)</f>
        <v>0</v>
      </c>
      <c r="W3" s="2190"/>
      <c r="X3" s="2190"/>
      <c r="Y3" s="2190"/>
      <c r="Z3" s="2190"/>
      <c r="AA3" s="2190"/>
      <c r="AB3" s="2190"/>
      <c r="AC3" s="2191"/>
    </row>
    <row r="4" spans="1:39" ht="28.5">
      <c r="A4" s="1892" t="s">
        <v>2282</v>
      </c>
      <c r="B4" s="2478">
        <f ca="1">ROUND(B2*10000/F1,0)</f>
        <v>2364</v>
      </c>
      <c r="C4" s="1895" t="s">
        <v>2256</v>
      </c>
      <c r="D4" s="1895">
        <f ca="1">ROUND(B2/(F1/666.67),0)</f>
        <v>158</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ca="1" si="0"/>
        <v>2294</v>
      </c>
      <c r="U4" s="2951"/>
      <c r="V4" s="2962">
        <f t="shared" ca="1" si="1"/>
        <v>0</v>
      </c>
      <c r="W4" s="2190"/>
      <c r="X4" s="2190"/>
      <c r="Y4" s="2190"/>
      <c r="Z4" s="2190"/>
      <c r="AA4" s="2190"/>
      <c r="AB4" s="2190"/>
      <c r="AC4" s="2191"/>
    </row>
    <row r="5" spans="1:39" s="1421" customFormat="1" ht="15.75"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ca="1" si="0"/>
        <v>1840</v>
      </c>
      <c r="U5" s="2951"/>
      <c r="V5" s="2962">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ca="1" si="0"/>
        <v>1567</v>
      </c>
      <c r="U6" s="2951"/>
      <c r="V6" s="2962">
        <f t="shared" ca="1" si="1"/>
        <v>0</v>
      </c>
      <c r="W6" s="2190"/>
      <c r="X6" s="2190"/>
      <c r="Y6" s="2190"/>
      <c r="Z6" s="2190"/>
      <c r="AA6" s="2190"/>
      <c r="AB6" s="2190"/>
      <c r="AC6" s="2192"/>
      <c r="AD6" s="1419"/>
      <c r="AE6" s="1419"/>
      <c r="AF6" s="1419"/>
      <c r="AG6" s="1419"/>
      <c r="AH6" s="1419"/>
      <c r="AI6" s="1419"/>
      <c r="AJ6" s="1420"/>
    </row>
    <row r="7" spans="1:39" ht="24">
      <c r="A7" s="3777"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ca="1" si="0"/>
        <v>1378</v>
      </c>
      <c r="U7" s="2951"/>
      <c r="V7" s="2962">
        <f t="shared" ca="1" si="1"/>
        <v>0</v>
      </c>
      <c r="W7" s="2960" t="s">
        <v>2767</v>
      </c>
      <c r="X7" s="2952" t="str">
        <f>G2</f>
        <v>六级</v>
      </c>
      <c r="Y7" s="2952" t="s">
        <v>2768</v>
      </c>
      <c r="Z7" s="2953">
        <f>G3</f>
        <v>1</v>
      </c>
      <c r="AA7" s="2193"/>
      <c r="AB7" s="2193"/>
      <c r="AC7" s="2194"/>
      <c r="AD7" s="2954"/>
      <c r="AE7" s="2954"/>
      <c r="AF7" s="2954"/>
      <c r="AG7" s="2954"/>
      <c r="AH7" s="2954"/>
      <c r="AI7" s="2954"/>
      <c r="AJ7" s="2955"/>
    </row>
    <row r="8" spans="1:39" ht="15">
      <c r="A8" s="3778"/>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ca="1" si="0"/>
        <v>0</v>
      </c>
      <c r="U8" s="2951"/>
      <c r="V8" s="2962">
        <f t="shared" ca="1" si="1"/>
        <v>0</v>
      </c>
      <c r="W8" s="3787" t="s">
        <v>2785</v>
      </c>
      <c r="X8" s="3788"/>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78"/>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ca="1" si="0"/>
        <v>0</v>
      </c>
      <c r="U9" s="2951"/>
      <c r="V9" s="2962">
        <f t="shared" ca="1" si="1"/>
        <v>0</v>
      </c>
      <c r="W9" s="3786"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78"/>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ca="1" si="0"/>
        <v>0</v>
      </c>
      <c r="U10" s="2951"/>
      <c r="V10" s="2962">
        <f t="shared" ca="1" si="1"/>
        <v>0</v>
      </c>
      <c r="W10" s="3786"/>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78"/>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ca="1" si="0"/>
        <v>0</v>
      </c>
      <c r="U11" s="2951"/>
      <c r="V11" s="2962">
        <f t="shared" ca="1" si="1"/>
        <v>0</v>
      </c>
      <c r="W11" s="3786"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777"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ca="1" si="0"/>
        <v>0</v>
      </c>
      <c r="U12" s="2951"/>
      <c r="V12" s="2962">
        <f t="shared" ca="1" si="1"/>
        <v>0</v>
      </c>
      <c r="W12" s="3786"/>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79"/>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ca="1" si="0"/>
        <v>0</v>
      </c>
      <c r="U13" s="2951"/>
      <c r="V13" s="2962">
        <f t="shared" ca="1" si="1"/>
        <v>0</v>
      </c>
      <c r="W13" s="3786"/>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779"/>
      <c r="B14" s="1451"/>
      <c r="C14" s="1452"/>
      <c r="D14" s="1453"/>
      <c r="E14" s="1453"/>
      <c r="F14" s="1454"/>
      <c r="G14" s="1455" t="s">
        <v>948</v>
      </c>
      <c r="H14" s="1456"/>
      <c r="I14" s="1457"/>
      <c r="J14" s="1458"/>
      <c r="K14" s="1401"/>
      <c r="L14" s="2190"/>
      <c r="M14" s="2190"/>
      <c r="N14" s="2190"/>
      <c r="O14" s="2190"/>
      <c r="P14" s="2190"/>
      <c r="Q14" s="2190"/>
      <c r="R14" s="2962">
        <v>13</v>
      </c>
      <c r="S14" s="2951"/>
      <c r="T14" s="2962">
        <f t="shared" ca="1" si="0"/>
        <v>0</v>
      </c>
      <c r="U14" s="2951"/>
      <c r="V14" s="2962">
        <f t="shared" ca="1" si="1"/>
        <v>0</v>
      </c>
      <c r="W14" s="2190"/>
      <c r="X14" s="2190"/>
      <c r="Y14" s="2190"/>
      <c r="Z14" s="2190"/>
      <c r="AA14" s="2190"/>
      <c r="AB14" s="2190"/>
      <c r="AC14" s="2191"/>
    </row>
    <row r="15" spans="1:39" ht="13.5" customHeight="1" thickBot="1">
      <c r="A15" s="3780"/>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f t="shared" ca="1" si="0"/>
        <v>0</v>
      </c>
      <c r="U15" s="2951"/>
      <c r="V15" s="2962">
        <f t="shared" ca="1" si="1"/>
        <v>0</v>
      </c>
      <c r="W15" s="2190"/>
      <c r="X15" s="2190"/>
      <c r="Y15" s="2190"/>
      <c r="Z15" s="2190"/>
      <c r="AA15" s="2190"/>
      <c r="AB15" s="2190"/>
      <c r="AC15" s="2191"/>
    </row>
    <row r="16" spans="1:39" ht="24">
      <c r="A16" s="3777"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ca="1" si="0"/>
        <v>0</v>
      </c>
      <c r="U16" s="2951"/>
      <c r="V16" s="2962">
        <f t="shared" ca="1" si="1"/>
        <v>0</v>
      </c>
      <c r="W16" s="2193"/>
      <c r="X16" s="2193"/>
      <c r="Y16" s="2193"/>
      <c r="Z16" s="2193"/>
      <c r="AA16" s="2193"/>
      <c r="AB16" s="2193"/>
      <c r="AC16" s="2194"/>
    </row>
    <row r="17" spans="1:40" ht="13.5" thickBot="1">
      <c r="A17" s="3778"/>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f>ROUND(IF(H19="按公示增长率计算",SUMPRODUCT((地价!A3:A22=YEAR(G19)&amp;"-"&amp;ROUNDUP(MONTH(G19)/3,0))*(地价!X2:AB2=E2)*(地价!X3:AB22)),IF(H19="地价指数",M20/M19,(1+I19)^O19)),4)</f>
        <v>1.2557</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f ca="1">ROUND(POWER(1+G20,J20-I20)*(POWER(1+G20,I20)-1)/(POWER(1+G20,J20)-1),4)</f>
        <v>0.79549999999999998</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289</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f ca="1">E29+SUM(E33:E39)</f>
        <v>43061</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 ca="1">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 ca="1">ROUND(C5*C18*C19*C20*C21*C24,0)</f>
        <v>2364</v>
      </c>
      <c r="D29" s="1504">
        <f>'数据-基础表'!A3</f>
        <v>182153.37</v>
      </c>
      <c r="E29" s="1850">
        <f ca="1">ROUND(C29*D29/10000,0)</f>
        <v>43061</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f ca="1">ROUND(IF(E2="工业",C29*M39,C29*M38),0)</f>
        <v>355</v>
      </c>
      <c r="D30" s="1510"/>
      <c r="E30" s="1850">
        <f ca="1">ROUND(C30*D30/10000,0)</f>
        <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83" t="s">
        <v>2962</v>
      </c>
      <c r="B33" s="1524" t="s">
        <v>999</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84"/>
      <c r="B34" s="1445" t="s">
        <v>1000</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84"/>
      <c r="B35" s="1445" t="s">
        <v>1001</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85"/>
      <c r="B36" s="1445" t="s">
        <v>1002</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f ca="1">ROUND(C5*C19*C20*C24*F37,0)</f>
        <v>532</v>
      </c>
      <c r="D37" s="1537"/>
      <c r="E37" s="1048">
        <f t="shared" ca="1" si="7"/>
        <v>0</v>
      </c>
      <c r="F37" s="1063">
        <f>SUMIF(修正!A45:A56,G2,修正!F45:F56)</f>
        <v>0.25</v>
      </c>
      <c r="G37" s="1048">
        <f t="shared" ca="1" si="6"/>
        <v>133</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f ca="1">ROUND(C5*C19*C20*C24*F38,0)</f>
        <v>532</v>
      </c>
      <c r="D38" s="1537"/>
      <c r="E38" s="1048">
        <f t="shared" ca="1" si="7"/>
        <v>0</v>
      </c>
      <c r="F38" s="1063">
        <f>SUMIF(修正!A45:A56,G2,修正!G45:G56)</f>
        <v>0.25</v>
      </c>
      <c r="G38" s="1048">
        <f t="shared" ca="1" si="6"/>
        <v>133</v>
      </c>
      <c r="H38" s="1048">
        <f t="shared" si="8"/>
        <v>0</v>
      </c>
      <c r="I38" s="1048">
        <f t="shared" ca="1"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f ca="1">ROUND(C5*C19*C20*C24*F39,0)</f>
        <v>425</v>
      </c>
      <c r="D39" s="1538"/>
      <c r="E39" s="1051">
        <f t="shared" ca="1"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2938</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估价对象位于海淀区，区域工业成熟度一般，产业集聚程度一般</v>
      </c>
      <c r="C80" s="1050" t="s">
        <v>3184</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3186</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4.25">
      <c r="A83" s="1067" t="s">
        <v>1034</v>
      </c>
      <c r="B83" s="2433" t="str">
        <f>估价对象房地状况!G22</f>
        <v>城市支路</v>
      </c>
      <c r="C83" s="1050" t="s">
        <v>3499</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24">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24">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75"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781" t="s">
        <v>1633</v>
      </c>
      <c r="B90" s="3781"/>
      <c r="C90" s="3781"/>
      <c r="D90" s="3781"/>
      <c r="E90" s="3781"/>
      <c r="F90" s="3781"/>
      <c r="G90" s="3781"/>
      <c r="H90" s="3781"/>
      <c r="I90" s="3781"/>
      <c r="J90" s="3781"/>
      <c r="K90" s="2475"/>
      <c r="L90" s="2475"/>
      <c r="M90" s="2475"/>
      <c r="N90" s="2475"/>
    </row>
    <row r="91" spans="1:40">
      <c r="A91" s="3782" t="s">
        <v>1443</v>
      </c>
      <c r="B91" s="3782" t="s">
        <v>1634</v>
      </c>
      <c r="C91" s="1140" t="s">
        <v>1635</v>
      </c>
      <c r="D91" s="1141"/>
      <c r="E91" s="1141"/>
      <c r="F91" s="1141"/>
      <c r="G91" s="1141"/>
      <c r="H91" s="1141"/>
      <c r="I91" s="1141"/>
      <c r="J91" s="1142"/>
      <c r="K91" s="1134"/>
      <c r="L91" s="1134"/>
      <c r="M91" s="1134"/>
      <c r="N91" s="1134"/>
    </row>
    <row r="92" spans="1:40">
      <c r="A92" s="3782"/>
      <c r="B92" s="3782"/>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789"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9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9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9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9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9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9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9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89"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790"/>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790"/>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790"/>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790"/>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790"/>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790"/>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790"/>
      <c r="B108" s="379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91"/>
      <c r="B109" s="3793"/>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776" t="s">
        <v>1639</v>
      </c>
      <c r="B110" s="3776"/>
      <c r="C110" s="3776"/>
      <c r="D110" s="3776"/>
      <c r="E110" s="3776"/>
      <c r="F110" s="3776"/>
      <c r="G110" s="3776"/>
      <c r="H110" s="3776"/>
      <c r="I110" s="3776"/>
      <c r="J110" s="3776"/>
      <c r="K110" s="2473"/>
      <c r="L110" s="2473"/>
      <c r="M110" s="2473"/>
      <c r="N110" s="2473"/>
    </row>
    <row r="112" spans="1:14" ht="12.75" thickBot="1"/>
    <row r="113" spans="1:13" ht="25.5"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7"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782" t="s">
        <v>1007</v>
      </c>
      <c r="B18" s="1154" t="s">
        <v>1446</v>
      </c>
      <c r="C18" s="1131" t="s">
        <v>1447</v>
      </c>
      <c r="D18" s="1132"/>
      <c r="E18" s="1154">
        <v>1</v>
      </c>
      <c r="F18" s="1133" t="s">
        <v>1448</v>
      </c>
      <c r="G18" s="1134"/>
      <c r="H18" s="1105"/>
      <c r="I18" s="1105"/>
    </row>
    <row r="19" spans="1:9" s="1599" customFormat="1" ht="19.5" customHeight="1">
      <c r="A19" s="3782"/>
      <c r="B19" s="3782" t="s">
        <v>1449</v>
      </c>
      <c r="C19" s="1131" t="s">
        <v>1450</v>
      </c>
      <c r="D19" s="1132"/>
      <c r="E19" s="1154">
        <v>0.9</v>
      </c>
      <c r="F19" s="1133" t="s">
        <v>1451</v>
      </c>
      <c r="G19" s="1134"/>
      <c r="H19" s="1105"/>
      <c r="I19" s="1105"/>
    </row>
    <row r="20" spans="1:9" s="1599" customFormat="1" ht="19.5" customHeight="1">
      <c r="A20" s="3782"/>
      <c r="B20" s="3782"/>
      <c r="C20" s="1131" t="s">
        <v>1452</v>
      </c>
      <c r="D20" s="1132"/>
      <c r="E20" s="1154">
        <v>1.1000000000000001</v>
      </c>
      <c r="F20" s="1133" t="s">
        <v>1453</v>
      </c>
      <c r="G20" s="1134"/>
      <c r="H20" s="1105"/>
      <c r="I20" s="1105"/>
    </row>
    <row r="21" spans="1:9" s="1599" customFormat="1" ht="19.5" customHeight="1">
      <c r="A21" s="3782"/>
      <c r="B21" s="3782"/>
      <c r="C21" s="1131" t="s">
        <v>1454</v>
      </c>
      <c r="D21" s="1132"/>
      <c r="E21" s="1154">
        <v>0.8</v>
      </c>
      <c r="F21" s="1133" t="s">
        <v>1455</v>
      </c>
      <c r="G21" s="1134"/>
      <c r="H21" s="1105"/>
      <c r="I21" s="1105"/>
    </row>
    <row r="22" spans="1:9" s="1599" customFormat="1" ht="19.5" customHeight="1">
      <c r="A22" s="3782"/>
      <c r="B22" s="3782"/>
      <c r="C22" s="1131" t="s">
        <v>1456</v>
      </c>
      <c r="D22" s="1132"/>
      <c r="E22" s="1154">
        <v>0.5</v>
      </c>
      <c r="F22" s="1133"/>
      <c r="G22" s="1134"/>
      <c r="H22" s="1105"/>
      <c r="I22" s="1105"/>
    </row>
    <row r="23" spans="1:9" s="1599" customFormat="1" ht="19.5" customHeight="1">
      <c r="A23" s="3782" t="s">
        <v>1029</v>
      </c>
      <c r="B23" s="1154" t="s">
        <v>1446</v>
      </c>
      <c r="C23" s="1131" t="s">
        <v>1457</v>
      </c>
      <c r="D23" s="1132"/>
      <c r="E23" s="1154">
        <v>1</v>
      </c>
      <c r="F23" s="1133" t="s">
        <v>1458</v>
      </c>
      <c r="G23" s="1134"/>
      <c r="H23" s="1105"/>
      <c r="I23" s="1105"/>
    </row>
    <row r="24" spans="1:9" s="1599" customFormat="1" ht="19.5" customHeight="1">
      <c r="A24" s="3782"/>
      <c r="B24" s="3782" t="s">
        <v>1449</v>
      </c>
      <c r="C24" s="1131" t="s">
        <v>1459</v>
      </c>
      <c r="D24" s="1132"/>
      <c r="E24" s="1154">
        <v>0.5</v>
      </c>
      <c r="F24" s="1133"/>
      <c r="G24" s="1134"/>
      <c r="H24" s="1105"/>
      <c r="I24" s="1105"/>
    </row>
    <row r="25" spans="1:9" s="1599" customFormat="1" ht="19.5" customHeight="1">
      <c r="A25" s="3782"/>
      <c r="B25" s="3782"/>
      <c r="C25" s="1131" t="s">
        <v>1460</v>
      </c>
      <c r="D25" s="1132"/>
      <c r="E25" s="1154">
        <v>1.1000000000000001</v>
      </c>
      <c r="F25" s="1133"/>
      <c r="G25" s="1134"/>
      <c r="H25" s="1105"/>
      <c r="I25" s="1105"/>
    </row>
    <row r="26" spans="1:9" s="1599" customFormat="1" ht="19.5" customHeight="1">
      <c r="A26" s="3782"/>
      <c r="B26" s="3782"/>
      <c r="C26" s="1131" t="s">
        <v>1461</v>
      </c>
      <c r="D26" s="1132"/>
      <c r="E26" s="1154">
        <v>1.1000000000000001</v>
      </c>
      <c r="F26" s="1133"/>
      <c r="G26" s="1134"/>
      <c r="H26" s="1105"/>
      <c r="I26" s="1105"/>
    </row>
    <row r="27" spans="1:9" s="1599" customFormat="1" ht="19.5" customHeight="1">
      <c r="A27" s="3782"/>
      <c r="B27" s="3782"/>
      <c r="C27" s="1131" t="s">
        <v>1462</v>
      </c>
      <c r="D27" s="1132"/>
      <c r="E27" s="1154">
        <v>0.9</v>
      </c>
      <c r="F27" s="1133" t="s">
        <v>1463</v>
      </c>
      <c r="G27" s="1134"/>
      <c r="H27" s="1105"/>
      <c r="I27" s="1105"/>
    </row>
    <row r="28" spans="1:9" s="1599" customFormat="1" ht="19.5" customHeight="1">
      <c r="A28" s="3782"/>
      <c r="B28" s="3782"/>
      <c r="C28" s="1131" t="s">
        <v>1464</v>
      </c>
      <c r="D28" s="1132"/>
      <c r="E28" s="1154">
        <v>0.9</v>
      </c>
      <c r="F28" s="1133" t="s">
        <v>1465</v>
      </c>
      <c r="G28" s="1134"/>
      <c r="H28" s="1105"/>
      <c r="I28" s="1105"/>
    </row>
    <row r="29" spans="1:9" s="1599" customFormat="1" ht="19.5" customHeight="1">
      <c r="A29" s="3782"/>
      <c r="B29" s="3782"/>
      <c r="C29" s="1131" t="s">
        <v>1466</v>
      </c>
      <c r="D29" s="1132"/>
      <c r="E29" s="1154">
        <v>0.9</v>
      </c>
      <c r="F29" s="1133" t="s">
        <v>1467</v>
      </c>
      <c r="G29" s="1134"/>
      <c r="H29" s="1105"/>
      <c r="I29" s="1105"/>
    </row>
    <row r="30" spans="1:9" s="1599" customFormat="1" ht="19.5" customHeight="1">
      <c r="A30" s="3782"/>
      <c r="B30" s="3782"/>
      <c r="C30" s="1131" t="s">
        <v>1468</v>
      </c>
      <c r="D30" s="1132"/>
      <c r="E30" s="1154">
        <v>0.9</v>
      </c>
      <c r="F30" s="1133" t="s">
        <v>1469</v>
      </c>
      <c r="G30" s="1134"/>
      <c r="H30" s="1105"/>
      <c r="I30" s="1105"/>
    </row>
    <row r="31" spans="1:9" s="1599" customFormat="1" ht="19.5" customHeight="1">
      <c r="A31" s="3782"/>
      <c r="B31" s="3782"/>
      <c r="C31" s="1131" t="s">
        <v>1470</v>
      </c>
      <c r="D31" s="1132"/>
      <c r="E31" s="1154">
        <v>0.8</v>
      </c>
      <c r="F31" s="1133" t="s">
        <v>1471</v>
      </c>
      <c r="G31" s="1134"/>
      <c r="H31" s="1105"/>
      <c r="I31" s="1105"/>
    </row>
    <row r="32" spans="1:9" s="1599" customFormat="1" ht="19.5" customHeight="1">
      <c r="A32" s="3782"/>
      <c r="B32" s="3782"/>
      <c r="C32" s="1131" t="s">
        <v>1472</v>
      </c>
      <c r="D32" s="1132"/>
      <c r="E32" s="1154">
        <v>0.8</v>
      </c>
      <c r="F32" s="1133" t="s">
        <v>1473</v>
      </c>
      <c r="G32" s="1134"/>
      <c r="H32" s="1105"/>
      <c r="I32" s="1105"/>
    </row>
    <row r="33" spans="1:9" s="1599" customFormat="1" ht="19.5" customHeight="1">
      <c r="A33" s="3782" t="s">
        <v>1474</v>
      </c>
      <c r="B33" s="1154" t="s">
        <v>1446</v>
      </c>
      <c r="C33" s="1131" t="s">
        <v>1475</v>
      </c>
      <c r="D33" s="1132"/>
      <c r="E33" s="1154">
        <v>1</v>
      </c>
      <c r="F33" s="1133" t="s">
        <v>1476</v>
      </c>
      <c r="G33" s="1134"/>
      <c r="H33" s="1105"/>
      <c r="I33" s="1105"/>
    </row>
    <row r="34" spans="1:9" s="1599" customFormat="1" ht="19.5" customHeight="1">
      <c r="A34" s="3782"/>
      <c r="B34" s="1154" t="s">
        <v>1449</v>
      </c>
      <c r="C34" s="1131" t="s">
        <v>1477</v>
      </c>
      <c r="D34" s="1132"/>
      <c r="E34" s="1154">
        <v>1.5</v>
      </c>
      <c r="F34" s="1133" t="s">
        <v>1478</v>
      </c>
      <c r="G34" s="1134"/>
      <c r="H34" s="1105"/>
      <c r="I34" s="1105"/>
    </row>
    <row r="35" spans="1:9" s="1599" customFormat="1" ht="19.5" customHeight="1">
      <c r="A35" s="3782" t="s">
        <v>1432</v>
      </c>
      <c r="B35" s="1154" t="s">
        <v>1446</v>
      </c>
      <c r="C35" s="1131" t="s">
        <v>1479</v>
      </c>
      <c r="D35" s="1132"/>
      <c r="E35" s="1154">
        <v>1</v>
      </c>
      <c r="F35" s="1133" t="s">
        <v>1480</v>
      </c>
      <c r="G35" s="1134"/>
      <c r="H35" s="1105"/>
      <c r="I35" s="1105"/>
    </row>
    <row r="36" spans="1:9" s="1599" customFormat="1" ht="19.5" customHeight="1">
      <c r="A36" s="3782"/>
      <c r="B36" s="3782" t="s">
        <v>1449</v>
      </c>
      <c r="C36" s="1131" t="s">
        <v>1481</v>
      </c>
      <c r="D36" s="1132"/>
      <c r="E36" s="1154">
        <v>1</v>
      </c>
      <c r="F36" s="1133" t="s">
        <v>1482</v>
      </c>
      <c r="G36" s="1134"/>
      <c r="H36" s="1105"/>
      <c r="I36" s="1105"/>
    </row>
    <row r="37" spans="1:9" s="1599" customFormat="1" ht="19.5" customHeight="1">
      <c r="A37" s="3782"/>
      <c r="B37" s="3782"/>
      <c r="C37" s="1131" t="s">
        <v>1483</v>
      </c>
      <c r="D37" s="1132"/>
      <c r="E37" s="1154">
        <v>1.5</v>
      </c>
      <c r="F37" s="1133" t="s">
        <v>1484</v>
      </c>
      <c r="G37" s="1134"/>
      <c r="H37" s="1105"/>
      <c r="I37" s="1105"/>
    </row>
    <row r="38" spans="1:9" s="1599" customFormat="1" ht="19.5" customHeight="1">
      <c r="A38" s="3782"/>
      <c r="B38" s="3782"/>
      <c r="C38" s="1131" t="s">
        <v>1485</v>
      </c>
      <c r="D38" s="1132"/>
      <c r="E38" s="1154">
        <v>1</v>
      </c>
      <c r="F38" s="1133" t="s">
        <v>1486</v>
      </c>
      <c r="G38" s="1134"/>
      <c r="H38" s="1105"/>
      <c r="I38" s="1105"/>
    </row>
    <row r="39" spans="1:9" s="1599" customFormat="1" ht="19.5" customHeight="1">
      <c r="A39" s="3782"/>
      <c r="B39" s="3782"/>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782" t="s">
        <v>1501</v>
      </c>
      <c r="C61" s="1068" t="s">
        <v>1502</v>
      </c>
      <c r="D61" s="1068" t="s">
        <v>1503</v>
      </c>
      <c r="E61" s="1139">
        <v>0.5</v>
      </c>
      <c r="F61" s="1154">
        <v>80</v>
      </c>
      <c r="H61" s="1105">
        <f>SUMIF(C59:C119,基准地价!C8,E59:E119)</f>
        <v>0</v>
      </c>
    </row>
    <row r="62" spans="1:8" s="1105" customFormat="1" ht="24">
      <c r="A62" s="1154">
        <v>2</v>
      </c>
      <c r="B62" s="3782"/>
      <c r="C62" s="1068" t="s">
        <v>1504</v>
      </c>
      <c r="D62" s="1068" t="s">
        <v>1505</v>
      </c>
      <c r="E62" s="1139">
        <v>0.5</v>
      </c>
      <c r="F62" s="1154">
        <v>80</v>
      </c>
    </row>
    <row r="63" spans="1:8" s="1105" customFormat="1" ht="36">
      <c r="A63" s="1154">
        <v>3</v>
      </c>
      <c r="B63" s="3782"/>
      <c r="C63" s="1068" t="s">
        <v>1506</v>
      </c>
      <c r="D63" s="1068" t="s">
        <v>1507</v>
      </c>
      <c r="E63" s="1139">
        <v>0.5</v>
      </c>
      <c r="F63" s="1154">
        <v>80</v>
      </c>
    </row>
    <row r="64" spans="1:8" s="1105" customFormat="1" ht="36">
      <c r="A64" s="1154">
        <v>4</v>
      </c>
      <c r="B64" s="3782"/>
      <c r="C64" s="1068" t="s">
        <v>1508</v>
      </c>
      <c r="D64" s="1068" t="s">
        <v>1509</v>
      </c>
      <c r="E64" s="1139">
        <v>0.4</v>
      </c>
      <c r="F64" s="1154">
        <v>60</v>
      </c>
    </row>
    <row r="65" spans="1:6" s="1105" customFormat="1" ht="36">
      <c r="A65" s="1154">
        <v>5</v>
      </c>
      <c r="B65" s="3782"/>
      <c r="C65" s="1068" t="s">
        <v>1510</v>
      </c>
      <c r="D65" s="1068" t="s">
        <v>1511</v>
      </c>
      <c r="E65" s="1139">
        <v>0.2</v>
      </c>
      <c r="F65" s="1154">
        <v>30</v>
      </c>
    </row>
    <row r="66" spans="1:6" s="1105" customFormat="1" ht="36">
      <c r="A66" s="1154">
        <v>6</v>
      </c>
      <c r="B66" s="3782"/>
      <c r="C66" s="1068" t="s">
        <v>1512</v>
      </c>
      <c r="D66" s="1068" t="s">
        <v>1513</v>
      </c>
      <c r="E66" s="1139">
        <v>0.3</v>
      </c>
      <c r="F66" s="1154">
        <v>50</v>
      </c>
    </row>
    <row r="67" spans="1:6" s="1105" customFormat="1" ht="36">
      <c r="A67" s="1154">
        <v>7</v>
      </c>
      <c r="B67" s="3782"/>
      <c r="C67" s="1068" t="s">
        <v>1514</v>
      </c>
      <c r="D67" s="1068" t="s">
        <v>1515</v>
      </c>
      <c r="E67" s="1139">
        <v>0.2</v>
      </c>
      <c r="F67" s="1154">
        <v>30</v>
      </c>
    </row>
    <row r="68" spans="1:6" s="1105" customFormat="1" ht="36">
      <c r="A68" s="1154">
        <v>8</v>
      </c>
      <c r="B68" s="3782"/>
      <c r="C68" s="1068" t="s">
        <v>1516</v>
      </c>
      <c r="D68" s="1068" t="s">
        <v>1517</v>
      </c>
      <c r="E68" s="1139">
        <v>0.2</v>
      </c>
      <c r="F68" s="1154">
        <v>30</v>
      </c>
    </row>
    <row r="69" spans="1:6" s="1105" customFormat="1" ht="36">
      <c r="A69" s="1154">
        <v>9</v>
      </c>
      <c r="B69" s="3782"/>
      <c r="C69" s="1068" t="s">
        <v>1518</v>
      </c>
      <c r="D69" s="1068" t="s">
        <v>1519</v>
      </c>
      <c r="E69" s="1139">
        <v>0.2</v>
      </c>
      <c r="F69" s="1154">
        <v>30</v>
      </c>
    </row>
    <row r="70" spans="1:6" s="1105" customFormat="1" ht="48">
      <c r="A70" s="1154">
        <v>10</v>
      </c>
      <c r="B70" s="3782"/>
      <c r="C70" s="1068" t="s">
        <v>1520</v>
      </c>
      <c r="D70" s="1068" t="s">
        <v>1521</v>
      </c>
      <c r="E70" s="1139">
        <v>0.2</v>
      </c>
      <c r="F70" s="1154">
        <v>30</v>
      </c>
    </row>
    <row r="71" spans="1:6" s="1105" customFormat="1" ht="48">
      <c r="A71" s="1154">
        <v>11</v>
      </c>
      <c r="B71" s="3782"/>
      <c r="C71" s="1068" t="s">
        <v>1522</v>
      </c>
      <c r="D71" s="1068" t="s">
        <v>1523</v>
      </c>
      <c r="E71" s="1139">
        <v>0.2</v>
      </c>
      <c r="F71" s="1154">
        <v>30</v>
      </c>
    </row>
    <row r="72" spans="1:6" s="1105" customFormat="1" ht="36">
      <c r="A72" s="1154">
        <v>12</v>
      </c>
      <c r="B72" s="3782"/>
      <c r="C72" s="1068" t="s">
        <v>1524</v>
      </c>
      <c r="D72" s="1068" t="s">
        <v>1525</v>
      </c>
      <c r="E72" s="1139">
        <v>0.5</v>
      </c>
      <c r="F72" s="1154">
        <v>80</v>
      </c>
    </row>
    <row r="73" spans="1:6" s="1105" customFormat="1" ht="24">
      <c r="A73" s="1154">
        <v>13</v>
      </c>
      <c r="B73" s="3782"/>
      <c r="C73" s="1068" t="s">
        <v>1526</v>
      </c>
      <c r="D73" s="1068" t="s">
        <v>1527</v>
      </c>
      <c r="E73" s="1139">
        <v>0.4</v>
      </c>
      <c r="F73" s="1154">
        <v>60</v>
      </c>
    </row>
    <row r="74" spans="1:6" s="1105" customFormat="1" ht="24">
      <c r="A74" s="1154">
        <v>14</v>
      </c>
      <c r="B74" s="3782"/>
      <c r="C74" s="1068" t="s">
        <v>1528</v>
      </c>
      <c r="D74" s="1068" t="s">
        <v>1529</v>
      </c>
      <c r="E74" s="1139">
        <v>0.2</v>
      </c>
      <c r="F74" s="1154">
        <v>30</v>
      </c>
    </row>
    <row r="75" spans="1:6" s="1105" customFormat="1" ht="24">
      <c r="A75" s="1154">
        <v>15</v>
      </c>
      <c r="B75" s="3782"/>
      <c r="C75" s="1068" t="s">
        <v>1530</v>
      </c>
      <c r="D75" s="1068" t="s">
        <v>1531</v>
      </c>
      <c r="E75" s="1139">
        <v>0.2</v>
      </c>
      <c r="F75" s="1154">
        <v>30</v>
      </c>
    </row>
    <row r="76" spans="1:6" s="1105" customFormat="1" ht="24">
      <c r="A76" s="1154">
        <v>16</v>
      </c>
      <c r="B76" s="3782" t="s">
        <v>1532</v>
      </c>
      <c r="C76" s="1068" t="s">
        <v>1533</v>
      </c>
      <c r="D76" s="1068" t="s">
        <v>1534</v>
      </c>
      <c r="E76" s="1139">
        <v>0.5</v>
      </c>
      <c r="F76" s="1154">
        <v>80</v>
      </c>
    </row>
    <row r="77" spans="1:6" s="1105" customFormat="1" ht="24">
      <c r="A77" s="1154">
        <v>17</v>
      </c>
      <c r="B77" s="3782"/>
      <c r="C77" s="1068" t="s">
        <v>1535</v>
      </c>
      <c r="D77" s="1068" t="s">
        <v>1536</v>
      </c>
      <c r="E77" s="1139">
        <v>0.5</v>
      </c>
      <c r="F77" s="1154">
        <v>80</v>
      </c>
    </row>
    <row r="78" spans="1:6" s="1105" customFormat="1" ht="24">
      <c r="A78" s="1154">
        <v>18</v>
      </c>
      <c r="B78" s="3782"/>
      <c r="C78" s="1068" t="s">
        <v>1537</v>
      </c>
      <c r="D78" s="1068" t="s">
        <v>1538</v>
      </c>
      <c r="E78" s="1139">
        <v>0.2</v>
      </c>
      <c r="F78" s="1154">
        <v>30</v>
      </c>
    </row>
    <row r="79" spans="1:6" s="1105" customFormat="1" ht="24">
      <c r="A79" s="1154">
        <v>19</v>
      </c>
      <c r="B79" s="3782"/>
      <c r="C79" s="1068" t="s">
        <v>1539</v>
      </c>
      <c r="D79" s="1068" t="s">
        <v>1540</v>
      </c>
      <c r="E79" s="1139">
        <v>0.5</v>
      </c>
      <c r="F79" s="1154">
        <v>80</v>
      </c>
    </row>
    <row r="80" spans="1:6" s="1105" customFormat="1" ht="36">
      <c r="A80" s="1154">
        <v>20</v>
      </c>
      <c r="B80" s="3782"/>
      <c r="C80" s="1068" t="s">
        <v>1541</v>
      </c>
      <c r="D80" s="1068" t="s">
        <v>1542</v>
      </c>
      <c r="E80" s="1139">
        <v>0.2</v>
      </c>
      <c r="F80" s="1154">
        <v>30</v>
      </c>
    </row>
    <row r="81" spans="1:6" s="1105" customFormat="1" ht="36">
      <c r="A81" s="1154">
        <v>21</v>
      </c>
      <c r="B81" s="3782"/>
      <c r="C81" s="1068" t="s">
        <v>1543</v>
      </c>
      <c r="D81" s="1068" t="s">
        <v>1544</v>
      </c>
      <c r="E81" s="1139">
        <v>0.2</v>
      </c>
      <c r="F81" s="1154">
        <v>30</v>
      </c>
    </row>
    <row r="82" spans="1:6" s="1105" customFormat="1" ht="48">
      <c r="A82" s="1154">
        <v>22</v>
      </c>
      <c r="B82" s="3782"/>
      <c r="C82" s="1068" t="s">
        <v>1545</v>
      </c>
      <c r="D82" s="1068" t="s">
        <v>1546</v>
      </c>
      <c r="E82" s="1139">
        <v>0.2</v>
      </c>
      <c r="F82" s="1154">
        <v>30</v>
      </c>
    </row>
    <row r="83" spans="1:6" s="1105" customFormat="1" ht="48">
      <c r="A83" s="1154">
        <v>23</v>
      </c>
      <c r="B83" s="3782"/>
      <c r="C83" s="1068" t="s">
        <v>1547</v>
      </c>
      <c r="D83" s="1068" t="s">
        <v>1548</v>
      </c>
      <c r="E83" s="1139">
        <v>0.2</v>
      </c>
      <c r="F83" s="1154">
        <v>30</v>
      </c>
    </row>
    <row r="84" spans="1:6" s="1105" customFormat="1" ht="36">
      <c r="A84" s="1154">
        <v>24</v>
      </c>
      <c r="B84" s="3782"/>
      <c r="C84" s="1068" t="s">
        <v>1549</v>
      </c>
      <c r="D84" s="1068" t="s">
        <v>1550</v>
      </c>
      <c r="E84" s="1139">
        <v>0.2</v>
      </c>
      <c r="F84" s="1154">
        <v>30</v>
      </c>
    </row>
    <row r="85" spans="1:6" s="1105" customFormat="1" ht="36">
      <c r="A85" s="1154">
        <v>25</v>
      </c>
      <c r="B85" s="3782"/>
      <c r="C85" s="1068" t="s">
        <v>1551</v>
      </c>
      <c r="D85" s="1068" t="s">
        <v>1552</v>
      </c>
      <c r="E85" s="1139">
        <v>0.5</v>
      </c>
      <c r="F85" s="1154">
        <v>80</v>
      </c>
    </row>
    <row r="86" spans="1:6" s="1105" customFormat="1" ht="36">
      <c r="A86" s="1154">
        <v>26</v>
      </c>
      <c r="B86" s="3782"/>
      <c r="C86" s="1068" t="s">
        <v>1553</v>
      </c>
      <c r="D86" s="1068" t="s">
        <v>1554</v>
      </c>
      <c r="E86" s="1139">
        <v>0.2</v>
      </c>
      <c r="F86" s="1154">
        <v>30</v>
      </c>
    </row>
    <row r="87" spans="1:6" s="1105" customFormat="1" ht="36">
      <c r="A87" s="1154">
        <v>27</v>
      </c>
      <c r="B87" s="3782"/>
      <c r="C87" s="1068" t="s">
        <v>1555</v>
      </c>
      <c r="D87" s="1068" t="s">
        <v>1556</v>
      </c>
      <c r="E87" s="1139">
        <v>0.2</v>
      </c>
      <c r="F87" s="1154">
        <v>30</v>
      </c>
    </row>
    <row r="88" spans="1:6" s="1105" customFormat="1" ht="36">
      <c r="A88" s="1154">
        <v>28</v>
      </c>
      <c r="B88" s="3782"/>
      <c r="C88" s="1068" t="s">
        <v>1557</v>
      </c>
      <c r="D88" s="1068" t="s">
        <v>1558</v>
      </c>
      <c r="E88" s="1139">
        <v>0.2</v>
      </c>
      <c r="F88" s="1154">
        <v>30</v>
      </c>
    </row>
    <row r="89" spans="1:6" s="1105" customFormat="1" ht="24">
      <c r="A89" s="1154">
        <v>29</v>
      </c>
      <c r="B89" s="3782"/>
      <c r="C89" s="1068" t="s">
        <v>1559</v>
      </c>
      <c r="D89" s="1068" t="s">
        <v>1560</v>
      </c>
      <c r="E89" s="1139">
        <v>0.2</v>
      </c>
      <c r="F89" s="1154">
        <v>30</v>
      </c>
    </row>
    <row r="90" spans="1:6" s="1105" customFormat="1" ht="24">
      <c r="A90" s="1154">
        <v>30</v>
      </c>
      <c r="B90" s="3782"/>
      <c r="C90" s="1068" t="s">
        <v>1561</v>
      </c>
      <c r="D90" s="1068" t="s">
        <v>1562</v>
      </c>
      <c r="E90" s="1139">
        <v>0.2</v>
      </c>
      <c r="F90" s="1154">
        <v>30</v>
      </c>
    </row>
    <row r="91" spans="1:6" s="1105" customFormat="1" ht="36">
      <c r="A91" s="1154">
        <v>31</v>
      </c>
      <c r="B91" s="3782"/>
      <c r="C91" s="1068" t="s">
        <v>1563</v>
      </c>
      <c r="D91" s="1068" t="s">
        <v>1564</v>
      </c>
      <c r="E91" s="1139">
        <v>0.2</v>
      </c>
      <c r="F91" s="1154">
        <v>30</v>
      </c>
    </row>
    <row r="92" spans="1:6" s="1105" customFormat="1" ht="24">
      <c r="A92" s="1154">
        <v>32</v>
      </c>
      <c r="B92" s="3782" t="s">
        <v>1565</v>
      </c>
      <c r="C92" s="1154" t="s">
        <v>1566</v>
      </c>
      <c r="D92" s="1068" t="s">
        <v>1567</v>
      </c>
      <c r="E92" s="1139">
        <v>0.2</v>
      </c>
      <c r="F92" s="1154">
        <v>30</v>
      </c>
    </row>
    <row r="93" spans="1:6" s="1105" customFormat="1" ht="36">
      <c r="A93" s="1154">
        <v>33</v>
      </c>
      <c r="B93" s="3782"/>
      <c r="C93" s="1154" t="s">
        <v>1568</v>
      </c>
      <c r="D93" s="1068" t="s">
        <v>1569</v>
      </c>
      <c r="E93" s="1139">
        <v>0.2</v>
      </c>
      <c r="F93" s="1154">
        <v>30</v>
      </c>
    </row>
    <row r="94" spans="1:6" s="1105" customFormat="1" ht="48">
      <c r="A94" s="1154">
        <v>34</v>
      </c>
      <c r="B94" s="3782"/>
      <c r="C94" s="1154" t="s">
        <v>1570</v>
      </c>
      <c r="D94" s="1068" t="s">
        <v>1571</v>
      </c>
      <c r="E94" s="1139">
        <v>0.2</v>
      </c>
      <c r="F94" s="1154">
        <v>30</v>
      </c>
    </row>
    <row r="95" spans="1:6" s="1105" customFormat="1" ht="36">
      <c r="A95" s="1154">
        <v>35</v>
      </c>
      <c r="B95" s="3782"/>
      <c r="C95" s="1154" t="s">
        <v>1572</v>
      </c>
      <c r="D95" s="1068" t="s">
        <v>1573</v>
      </c>
      <c r="E95" s="1139">
        <v>0.2</v>
      </c>
      <c r="F95" s="1154">
        <v>30</v>
      </c>
    </row>
    <row r="96" spans="1:6" s="1105" customFormat="1" ht="48">
      <c r="A96" s="1154">
        <v>36</v>
      </c>
      <c r="B96" s="3782"/>
      <c r="C96" s="1068" t="s">
        <v>1574</v>
      </c>
      <c r="D96" s="1068" t="s">
        <v>1575</v>
      </c>
      <c r="E96" s="1139">
        <v>0.2</v>
      </c>
      <c r="F96" s="1154">
        <v>30</v>
      </c>
    </row>
    <row r="97" spans="1:6" s="1105" customFormat="1" ht="36">
      <c r="A97" s="1154">
        <v>37</v>
      </c>
      <c r="B97" s="3782"/>
      <c r="C97" s="1154" t="s">
        <v>1576</v>
      </c>
      <c r="D97" s="1068" t="s">
        <v>1577</v>
      </c>
      <c r="E97" s="1139">
        <v>0.2</v>
      </c>
      <c r="F97" s="1154">
        <v>30</v>
      </c>
    </row>
    <row r="98" spans="1:6" s="1105" customFormat="1" ht="36">
      <c r="A98" s="1154">
        <v>38</v>
      </c>
      <c r="B98" s="3782"/>
      <c r="C98" s="1154" t="s">
        <v>1578</v>
      </c>
      <c r="D98" s="1068" t="s">
        <v>1579</v>
      </c>
      <c r="E98" s="1139">
        <v>0.2</v>
      </c>
      <c r="F98" s="1154">
        <v>30</v>
      </c>
    </row>
    <row r="99" spans="1:6" s="1105" customFormat="1" ht="36">
      <c r="A99" s="1154">
        <v>39</v>
      </c>
      <c r="B99" s="3782" t="s">
        <v>1580</v>
      </c>
      <c r="C99" s="1154" t="s">
        <v>1581</v>
      </c>
      <c r="D99" s="1068" t="s">
        <v>1582</v>
      </c>
      <c r="E99" s="1139">
        <v>0.3</v>
      </c>
      <c r="F99" s="1154">
        <v>50</v>
      </c>
    </row>
    <row r="100" spans="1:6" s="1105" customFormat="1" ht="24">
      <c r="A100" s="1154">
        <v>40</v>
      </c>
      <c r="B100" s="3782"/>
      <c r="C100" s="1154" t="s">
        <v>1583</v>
      </c>
      <c r="D100" s="1068" t="s">
        <v>1584</v>
      </c>
      <c r="E100" s="1139">
        <v>0.2</v>
      </c>
      <c r="F100" s="1154">
        <v>30</v>
      </c>
    </row>
    <row r="101" spans="1:6" s="1105" customFormat="1" ht="36">
      <c r="A101" s="1154">
        <v>41</v>
      </c>
      <c r="B101" s="3782"/>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782" t="s">
        <v>1595</v>
      </c>
      <c r="C105" s="1154" t="s">
        <v>1596</v>
      </c>
      <c r="D105" s="1068" t="s">
        <v>1597</v>
      </c>
      <c r="E105" s="1139">
        <v>0.2</v>
      </c>
      <c r="F105" s="1154">
        <v>30</v>
      </c>
    </row>
    <row r="106" spans="1:6" s="1105" customFormat="1" ht="36">
      <c r="A106" s="1154">
        <v>46</v>
      </c>
      <c r="B106" s="3782"/>
      <c r="C106" s="1154" t="s">
        <v>1598</v>
      </c>
      <c r="D106" s="1068" t="s">
        <v>1599</v>
      </c>
      <c r="E106" s="1139">
        <v>0.2</v>
      </c>
      <c r="F106" s="1154">
        <v>30</v>
      </c>
    </row>
    <row r="107" spans="1:6" s="1105" customFormat="1" ht="36">
      <c r="A107" s="1154">
        <v>47</v>
      </c>
      <c r="B107" s="3782" t="s">
        <v>1600</v>
      </c>
      <c r="C107" s="1154" t="s">
        <v>1601</v>
      </c>
      <c r="D107" s="1068" t="s">
        <v>1602</v>
      </c>
      <c r="E107" s="1139">
        <v>0.3</v>
      </c>
      <c r="F107" s="1154">
        <v>50</v>
      </c>
    </row>
    <row r="108" spans="1:6" s="1105" customFormat="1" ht="36">
      <c r="A108" s="1154">
        <v>48</v>
      </c>
      <c r="B108" s="3782"/>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782" t="s">
        <v>1611</v>
      </c>
      <c r="C111" s="1154" t="s">
        <v>1612</v>
      </c>
      <c r="D111" s="1068" t="s">
        <v>1613</v>
      </c>
      <c r="E111" s="1139">
        <v>0.2</v>
      </c>
      <c r="F111" s="1154">
        <v>30</v>
      </c>
    </row>
    <row r="112" spans="1:6" s="1105" customFormat="1" ht="24">
      <c r="A112" s="1154">
        <v>52</v>
      </c>
      <c r="B112" s="3782"/>
      <c r="C112" s="1154" t="s">
        <v>1614</v>
      </c>
      <c r="D112" s="1068" t="s">
        <v>1615</v>
      </c>
      <c r="E112" s="1139">
        <v>0.2</v>
      </c>
      <c r="F112" s="1154">
        <v>30</v>
      </c>
    </row>
    <row r="113" spans="1:14" s="1105" customFormat="1" ht="24">
      <c r="A113" s="1154">
        <v>53</v>
      </c>
      <c r="B113" s="3782"/>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782" t="s">
        <v>1624</v>
      </c>
      <c r="C116" s="1154" t="s">
        <v>1625</v>
      </c>
      <c r="D116" s="1068" t="s">
        <v>1626</v>
      </c>
      <c r="E116" s="1139">
        <v>0.2</v>
      </c>
      <c r="F116" s="1154">
        <v>30</v>
      </c>
    </row>
    <row r="117" spans="1:14" ht="36">
      <c r="A117" s="1154">
        <v>57</v>
      </c>
      <c r="B117" s="3782"/>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781" t="s">
        <v>1633</v>
      </c>
      <c r="B121" s="3781"/>
      <c r="C121" s="3781"/>
      <c r="D121" s="3781"/>
      <c r="E121" s="3781"/>
      <c r="F121" s="3781"/>
      <c r="G121" s="3781"/>
      <c r="H121" s="3781"/>
      <c r="I121" s="3781"/>
      <c r="J121" s="378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8"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94" t="s">
        <v>1039</v>
      </c>
      <c r="B1" s="3794"/>
      <c r="C1" s="3794"/>
      <c r="D1" s="3794"/>
      <c r="E1" s="3794"/>
      <c r="F1" s="379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795" t="s">
        <v>1052</v>
      </c>
      <c r="B2" s="3795"/>
      <c r="C2" s="3795"/>
      <c r="D2" s="3795"/>
      <c r="E2" s="3795"/>
      <c r="F2" s="379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79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79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2040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8"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98" t="s">
        <v>2081</v>
      </c>
      <c r="B1" s="3798"/>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56.25">
      <c r="A7" s="1796"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2018年5月31日</v>
      </c>
    </row>
    <row r="12" spans="1:4" ht="18.75">
      <c r="A12" s="1798" t="s">
        <v>2027</v>
      </c>
    </row>
    <row r="13" spans="1:4" ht="18.75">
      <c r="A13" s="1792" t="s">
        <v>2941</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本次估价对象为出让国有建设用地使用权，《国有土地使用证》[]证载土地终止日期为工业2045年6月28日。截至估价期日，出让国有建设用地使用权剩余土地使用年限为。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2950</v>
      </c>
      <c r="B1" s="3131"/>
      <c r="C1" s="3131"/>
      <c r="D1" s="3131"/>
      <c r="E1" s="3131"/>
      <c r="F1" s="3131"/>
    </row>
    <row r="2" spans="1:6" ht="14.25">
      <c r="A2" s="3132" t="s">
        <v>2944</v>
      </c>
      <c r="B2" s="3133">
        <f ca="1">SUMIF(B7:B14,"&lt;&gt;#ref!",B7:B14)</f>
        <v>43061</v>
      </c>
      <c r="C2" s="3132" t="s">
        <v>2945</v>
      </c>
      <c r="D2" s="3131"/>
      <c r="E2" s="3131"/>
      <c r="F2" s="3131"/>
    </row>
    <row r="3" spans="1:6" ht="14.25">
      <c r="A3" s="3132" t="s">
        <v>2947</v>
      </c>
      <c r="B3" s="3133" t="e">
        <f ca="1">ROUND(B2*10000/E3,0)</f>
        <v>#REF!</v>
      </c>
      <c r="C3" s="3132" t="s">
        <v>2080</v>
      </c>
      <c r="D3" s="3132" t="s">
        <v>2946</v>
      </c>
      <c r="E3" s="3133" t="e">
        <f ca="1">SUM(E7:E14)</f>
        <v>#REF!</v>
      </c>
      <c r="F3" s="3131"/>
    </row>
    <row r="4" spans="1:6" ht="14.25">
      <c r="A4" s="3132" t="s">
        <v>2954</v>
      </c>
      <c r="B4" s="3133" t="e">
        <f ca="1">ROUND(B2*10000/E4,0)</f>
        <v>#REF!</v>
      </c>
      <c r="C4" s="3132" t="s">
        <v>2080</v>
      </c>
      <c r="D4" s="3132" t="s">
        <v>2955</v>
      </c>
      <c r="E4" s="3133" t="e">
        <f ca="1">SUM(F7:F14)</f>
        <v>#REF!</v>
      </c>
      <c r="F4" s="3131"/>
    </row>
    <row r="5" spans="1:6" ht="14.25">
      <c r="A5" s="3134"/>
      <c r="B5" s="1882"/>
      <c r="C5" s="1882"/>
      <c r="D5" s="1882"/>
      <c r="E5" s="1882"/>
      <c r="F5" s="3131"/>
    </row>
    <row r="6" spans="1:6" ht="28.5">
      <c r="A6" s="3135" t="s">
        <v>2951</v>
      </c>
      <c r="B6" s="3132" t="s">
        <v>2948</v>
      </c>
      <c r="C6" s="3133"/>
      <c r="D6" s="1882"/>
      <c r="E6" s="3132" t="s">
        <v>2949</v>
      </c>
      <c r="F6" s="3132" t="s">
        <v>2953</v>
      </c>
    </row>
    <row r="7" spans="1:6" ht="14.25">
      <c r="A7" s="260" t="s">
        <v>2952</v>
      </c>
      <c r="B7" s="3136">
        <f ca="1">SUMIF(INDIRECT("'"&amp;A7&amp;"'"&amp;"!A:A"),"总价",INDIRECT("'"&amp;A7&amp;"'"&amp;"!B:B"))</f>
        <v>43061</v>
      </c>
      <c r="C7" s="3132" t="s">
        <v>2945</v>
      </c>
      <c r="D7" s="1882"/>
      <c r="E7" s="3137">
        <f ca="1">SUMIF(INDIRECT("'"&amp;A7&amp;"'"&amp;"!C:C"),"建筑面积",INDIRECT("'"&amp;A7&amp;"'"&amp;"!D:D"))</f>
        <v>182153.37</v>
      </c>
      <c r="F7" s="3137">
        <f ca="1">SUMIF(INDIRECT("'"&amp;A7&amp;"'"&amp;"!E:E"),"土地面积",INDIRECT("'"&amp;A7&amp;"'"&amp;"!F:F"))</f>
        <v>182153.37</v>
      </c>
    </row>
    <row r="8" spans="1:6" ht="14.25">
      <c r="A8" s="260"/>
      <c r="B8" s="3136" t="e">
        <f t="shared" ref="B8:B14" ca="1" si="0">SUMIF(INDIRECT("'"&amp;A8&amp;"'"&amp;"!A:A"),"总价",INDIRECT("'"&amp;A8&amp;"'"&amp;"!B:B"))</f>
        <v>#REF!</v>
      </c>
      <c r="C8" s="3132" t="s">
        <v>2945</v>
      </c>
      <c r="D8" s="1882"/>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2945</v>
      </c>
      <c r="D9" s="1882"/>
      <c r="E9" s="3137" t="e">
        <f t="shared" ca="1" si="1"/>
        <v>#REF!</v>
      </c>
      <c r="F9" s="3137" t="e">
        <f t="shared" ca="1" si="2"/>
        <v>#REF!</v>
      </c>
    </row>
    <row r="10" spans="1:6" ht="14.25">
      <c r="A10" s="260"/>
      <c r="B10" s="3136" t="e">
        <f t="shared" ca="1" si="0"/>
        <v>#REF!</v>
      </c>
      <c r="C10" s="3132" t="s">
        <v>2945</v>
      </c>
      <c r="D10" s="1882"/>
      <c r="E10" s="3137" t="e">
        <f t="shared" ca="1" si="1"/>
        <v>#REF!</v>
      </c>
      <c r="F10" s="3137" t="e">
        <f t="shared" ca="1" si="2"/>
        <v>#REF!</v>
      </c>
    </row>
    <row r="11" spans="1:6" ht="14.25">
      <c r="A11" s="260"/>
      <c r="B11" s="3136" t="e">
        <f t="shared" ca="1" si="0"/>
        <v>#REF!</v>
      </c>
      <c r="C11" s="3132" t="s">
        <v>2945</v>
      </c>
      <c r="D11" s="1882"/>
      <c r="E11" s="3137" t="e">
        <f t="shared" ca="1" si="1"/>
        <v>#REF!</v>
      </c>
      <c r="F11" s="3137" t="e">
        <f t="shared" ca="1" si="2"/>
        <v>#REF!</v>
      </c>
    </row>
    <row r="12" spans="1:6" ht="14.25">
      <c r="A12" s="260"/>
      <c r="B12" s="3136" t="e">
        <f t="shared" ca="1" si="0"/>
        <v>#REF!</v>
      </c>
      <c r="C12" s="3132" t="s">
        <v>2945</v>
      </c>
      <c r="D12" s="1882"/>
      <c r="E12" s="3137" t="e">
        <f t="shared" ca="1" si="1"/>
        <v>#REF!</v>
      </c>
      <c r="F12" s="3137" t="e">
        <f t="shared" ca="1" si="2"/>
        <v>#REF!</v>
      </c>
    </row>
    <row r="13" spans="1:6" ht="14.25">
      <c r="A13" s="260"/>
      <c r="B13" s="3136" t="e">
        <f t="shared" ca="1" si="0"/>
        <v>#REF!</v>
      </c>
      <c r="C13" s="3132" t="s">
        <v>2945</v>
      </c>
      <c r="D13" s="1882"/>
      <c r="E13" s="3137" t="e">
        <f t="shared" ca="1" si="1"/>
        <v>#REF!</v>
      </c>
      <c r="F13" s="3137" t="e">
        <f t="shared" ca="1" si="2"/>
        <v>#REF!</v>
      </c>
    </row>
    <row r="14" spans="1:6" ht="14.25">
      <c r="A14" s="3130"/>
      <c r="B14" s="3136" t="e">
        <f t="shared" ca="1" si="0"/>
        <v>#REF!</v>
      </c>
      <c r="C14" s="3132" t="s">
        <v>2945</v>
      </c>
      <c r="D14" s="1882"/>
      <c r="E14" s="3137" t="e">
        <f t="shared" ca="1" si="1"/>
        <v>#REF!</v>
      </c>
      <c r="F14" s="3137" t="e">
        <f t="shared" ca="1" si="2"/>
        <v>#REF!</v>
      </c>
    </row>
  </sheetData>
  <sheetProtection password="C66D" sheet="1" objects="1" scenarios="1"/>
  <phoneticPr fontId="23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2377</v>
      </c>
      <c r="F1" s="2413">
        <f ca="1">J54</f>
        <v>0</v>
      </c>
      <c r="G1" s="774">
        <f>MATCH(C1,'数据-取费表'!A6:A16,0)+5</f>
        <v>13</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800" t="s">
        <v>2466</v>
      </c>
      <c r="C8" s="1826">
        <f ca="1">ROUND(F8*F10*F9*(1-F11)/10000,0)</f>
        <v>0</v>
      </c>
      <c r="D8" s="1823" t="s">
        <v>2537</v>
      </c>
      <c r="E8" s="61" t="s">
        <v>636</v>
      </c>
      <c r="F8" s="785">
        <f ca="1">INDIRECT("'数据-取费表'!u"&amp;$G$1)</f>
        <v>0</v>
      </c>
      <c r="G8" s="1592"/>
      <c r="H8" s="2529" t="s">
        <v>1824</v>
      </c>
      <c r="I8" s="3800" t="s">
        <v>2466</v>
      </c>
      <c r="J8" s="783">
        <f ca="1">ROUND(M8*M10*M9*(1-M11)/10000,0)</f>
        <v>0</v>
      </c>
      <c r="K8" s="341" t="s">
        <v>2537</v>
      </c>
      <c r="L8" s="784" t="s">
        <v>1738</v>
      </c>
      <c r="M8" s="785">
        <f ca="1">INDIRECT("'数据-取费表'!z"&amp;$G$1)</f>
        <v>0</v>
      </c>
    </row>
    <row r="9" spans="1:25" ht="18" customHeight="1">
      <c r="A9" s="2525"/>
      <c r="B9" s="3801"/>
      <c r="C9" s="1827"/>
      <c r="D9" s="1824"/>
      <c r="E9" s="61" t="s">
        <v>637</v>
      </c>
      <c r="F9" s="785">
        <f ca="1">IF(INDIRECT("'数据-取费表'!ah"&amp;$G$1)="",INDIRECT("'数据-取费表'!k"&amp;$G$1),INDIRECT("'数据-取费表'!ah"&amp;$G$1))</f>
        <v>0</v>
      </c>
      <c r="G9" s="1592"/>
      <c r="H9" s="2514"/>
      <c r="I9" s="3801"/>
      <c r="J9" s="788"/>
      <c r="K9" s="789"/>
      <c r="L9" s="784" t="s">
        <v>1739</v>
      </c>
      <c r="M9" s="785">
        <f ca="1">F9</f>
        <v>0</v>
      </c>
    </row>
    <row r="10" spans="1:25" ht="18" customHeight="1">
      <c r="A10" s="2518"/>
      <c r="B10" s="3802"/>
      <c r="C10" s="1827"/>
      <c r="D10" s="1824"/>
      <c r="E10" s="61" t="s">
        <v>638</v>
      </c>
      <c r="F10" s="785">
        <f ca="1">INDIRECT("'数据-取费表'!ai"&amp;$G$1)</f>
        <v>0</v>
      </c>
      <c r="G10" s="1592"/>
      <c r="H10" s="2514"/>
      <c r="I10" s="3802"/>
      <c r="J10" s="788"/>
      <c r="K10" s="789"/>
      <c r="L10" s="784" t="s">
        <v>1740</v>
      </c>
      <c r="M10" s="785">
        <f ca="1">INDIRECT("'数据-取费表'!ai"&amp;$G$1)</f>
        <v>0</v>
      </c>
    </row>
    <row r="11" spans="1:25" ht="18" customHeight="1">
      <c r="A11" s="786"/>
      <c r="B11" s="3803"/>
      <c r="C11" s="1827"/>
      <c r="D11" s="1824"/>
      <c r="E11" s="61" t="s">
        <v>639</v>
      </c>
      <c r="F11" s="794">
        <f ca="1">INDIRECT("'数据-取费表'!w"&amp;$G$1)</f>
        <v>0</v>
      </c>
      <c r="G11" s="1592"/>
      <c r="H11" s="2530"/>
      <c r="I11" s="3802"/>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2975</v>
      </c>
      <c r="E12" s="2523" t="s">
        <v>2467</v>
      </c>
      <c r="F12" s="2646"/>
      <c r="G12" s="1592"/>
      <c r="H12" s="2586" t="s">
        <v>1825</v>
      </c>
      <c r="I12" s="2591" t="s">
        <v>2462</v>
      </c>
      <c r="J12" s="783">
        <f ca="1">ROUND(IF(M12="押一",J8/12*M13,IF(M12="押二",J8/12*2*M13,IF(M12="押三",J8/12*3*M13,J13*M13))),0)</f>
        <v>0</v>
      </c>
      <c r="K12" s="2526" t="s">
        <v>2975</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单利计息。建造成本、管理费用、销售费用产生的利息。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5.0000000000000001E-4</v>
      </c>
      <c r="D26" s="2596" t="str">
        <f>IF(F25&lt;=1,"销售费用×利率×(建设周期÷2)","销售费用×((1+利率)^(建设周期÷2)-1)")</f>
        <v>销售费用×利率×(建设周期÷2)</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2824</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0.04</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2825</v>
      </c>
      <c r="C31" s="2569">
        <f ca="1">ROUND((C21+C22+C25+C28)/(1-F23-C26-C29-C30),0)</f>
        <v>0</v>
      </c>
      <c r="D31" s="2570"/>
      <c r="E31" s="2571"/>
      <c r="F31" s="2572"/>
      <c r="G31" s="1593"/>
      <c r="H31" s="823" t="s">
        <v>1872</v>
      </c>
      <c r="I31" s="3037"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1.5</v>
      </c>
      <c r="G36" s="2063"/>
      <c r="H36" s="2066"/>
      <c r="I36" s="3799"/>
      <c r="J36" s="2080"/>
      <c r="K36" s="2081"/>
      <c r="L36" s="2080"/>
      <c r="M36" s="2080"/>
    </row>
    <row r="37" spans="1:18" ht="18" customHeight="1">
      <c r="A37" s="815"/>
      <c r="B37" s="793"/>
      <c r="C37" s="69"/>
      <c r="D37" s="816"/>
      <c r="E37" s="784" t="s">
        <v>673</v>
      </c>
      <c r="F37" s="785">
        <f ca="1">INDIRECT("'数据-取费表'!r"&amp;$G$1)</f>
        <v>0</v>
      </c>
      <c r="G37" s="2063"/>
      <c r="H37" s="2066"/>
      <c r="I37" s="3799"/>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2963</v>
      </c>
      <c r="F43" s="3151">
        <f ca="1">INDIRECT("'数据-取费表'!j"&amp;$G$1)</f>
        <v>7.0000000000000007E-2</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2">
        <f ca="1">ROUND(-PV(F45,F46,C44,0),0)</f>
        <v>0</v>
      </c>
      <c r="D45" s="1358" t="s">
        <v>715</v>
      </c>
      <c r="E45" s="806" t="s">
        <v>716</v>
      </c>
      <c r="F45" s="830">
        <f ca="1">INDIRECT("'数据-取费表'!h"&amp;$G$1)</f>
        <v>3.5000000000000003E-2</v>
      </c>
      <c r="G45" s="2063"/>
      <c r="H45" s="2063"/>
      <c r="I45" s="2063"/>
      <c r="J45" s="2063"/>
      <c r="K45" s="2084"/>
      <c r="L45" s="2063"/>
      <c r="M45" s="2063"/>
    </row>
    <row r="46" spans="1:18" ht="18" customHeight="1" thickBot="1">
      <c r="A46" s="831"/>
      <c r="B46" s="1359"/>
      <c r="C46" s="1360"/>
      <c r="D46" s="1361"/>
      <c r="E46" s="3152"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47"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27.09</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804"/>
      <c r="L54" s="3805"/>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4" t="s">
        <v>2358</v>
      </c>
      <c r="J56" s="3148"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47" t="s">
        <v>1678</v>
      </c>
      <c r="K57" s="2384" t="s">
        <v>2365</v>
      </c>
      <c r="L57" s="2393">
        <f ca="1">IF(L49&lt;J52,"——",L49-J52)</f>
        <v>27.09</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49"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26" t="s">
        <v>2942</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27">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28">
        <v>0</v>
      </c>
      <c r="O65" s="2429" t="s">
        <v>2418</v>
      </c>
      <c r="P65" s="1592"/>
      <c r="Q65" s="1604"/>
      <c r="R65" s="1592"/>
    </row>
    <row r="66" spans="1:18" s="2060" customFormat="1" ht="15.75" thickBot="1">
      <c r="A66" s="2097"/>
      <c r="B66" s="2098"/>
      <c r="C66" s="2098"/>
      <c r="I66" s="2410" t="s">
        <v>2375</v>
      </c>
      <c r="J66" s="2411">
        <v>40</v>
      </c>
      <c r="K66" s="2411">
        <v>30</v>
      </c>
      <c r="L66" s="2411">
        <v>50</v>
      </c>
      <c r="M66" s="3127">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7.0000000000000007E-2</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7" type="noConversion"/>
  <conditionalFormatting sqref="C13">
    <cfRule type="expression" dxfId="156" priority="6">
      <formula>$F$12="自定义"</formula>
    </cfRule>
  </conditionalFormatting>
  <conditionalFormatting sqref="J13">
    <cfRule type="expression" dxfId="155" priority="5">
      <formula>$M$10="自定义"</formula>
    </cfRule>
  </conditionalFormatting>
  <conditionalFormatting sqref="K56">
    <cfRule type="expression" dxfId="154" priority="3">
      <formula>$L$48&gt;$J$51</formula>
    </cfRule>
  </conditionalFormatting>
  <conditionalFormatting sqref="I56">
    <cfRule type="expression" dxfId="153" priority="4">
      <formula>$J$51&gt;$L$48</formula>
    </cfRule>
  </conditionalFormatting>
  <conditionalFormatting sqref="I61">
    <cfRule type="expression" dxfId="152" priority="2">
      <formula>$J$51&gt;$L$48</formula>
    </cfRule>
  </conditionalFormatting>
  <conditionalFormatting sqref="K61">
    <cfRule type="expression" dxfId="15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2981</v>
      </c>
      <c r="D1" s="3153" t="s">
        <v>951</v>
      </c>
      <c r="E1" s="2412" t="s">
        <v>2377</v>
      </c>
      <c r="F1" s="2413">
        <f ca="1">J53</f>
        <v>27.09</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23846</v>
      </c>
      <c r="C2" s="2058"/>
      <c r="D2" s="2056"/>
      <c r="E2" s="2057"/>
      <c r="F2" s="2057"/>
      <c r="G2" s="1590"/>
      <c r="H2" s="2058"/>
      <c r="I2" s="2058"/>
      <c r="J2" s="2058"/>
      <c r="K2" s="2059"/>
      <c r="L2" s="2058"/>
      <c r="M2" s="2058"/>
    </row>
    <row r="3" spans="1:33" ht="18" customHeight="1" thickBot="1">
      <c r="A3" s="833" t="s">
        <v>1727</v>
      </c>
      <c r="B3" s="834">
        <f ca="1">IF(ISERROR(B2*10000/F43),0,ROUND(B2*10000/F43,0))</f>
        <v>10982</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1506</v>
      </c>
      <c r="D5" s="2521" t="s">
        <v>2464</v>
      </c>
      <c r="E5" s="2515"/>
      <c r="F5" s="2516"/>
      <c r="G5" s="1592"/>
      <c r="H5" s="781">
        <v>1</v>
      </c>
      <c r="I5" s="782" t="s">
        <v>2461</v>
      </c>
      <c r="J5" s="55">
        <f ca="1">J6+J10+J12</f>
        <v>0</v>
      </c>
      <c r="K5" s="2521" t="s">
        <v>2464</v>
      </c>
      <c r="L5" s="2515"/>
      <c r="M5" s="2516"/>
    </row>
    <row r="6" spans="1:33" ht="18" customHeight="1">
      <c r="A6" s="1831" t="s">
        <v>1824</v>
      </c>
      <c r="B6" s="3800" t="s">
        <v>2466</v>
      </c>
      <c r="C6" s="783">
        <f ca="1">ROUND(F6*F8*F7*(1-F9)/10000,0)</f>
        <v>1506</v>
      </c>
      <c r="D6" s="2522" t="s">
        <v>2465</v>
      </c>
      <c r="E6" s="784" t="s">
        <v>1738</v>
      </c>
      <c r="F6" s="785">
        <f ca="1">INDIRECT("'数据-取费表'!u"&amp;$G$1)</f>
        <v>2</v>
      </c>
      <c r="G6" s="1592"/>
      <c r="H6" s="2529" t="s">
        <v>2471</v>
      </c>
      <c r="I6" s="3800" t="s">
        <v>2466</v>
      </c>
      <c r="J6" s="783">
        <f ca="1">ROUND(M6*M8*M7*(1-M9)/10000,0)</f>
        <v>0</v>
      </c>
      <c r="K6" s="341" t="s">
        <v>1737</v>
      </c>
      <c r="L6" s="784" t="s">
        <v>1738</v>
      </c>
      <c r="M6" s="785">
        <f ca="1">INDIRECT("'数据-取费表'!z"&amp;$G$1)</f>
        <v>0</v>
      </c>
    </row>
    <row r="7" spans="1:33" ht="18" customHeight="1">
      <c r="A7" s="2525"/>
      <c r="B7" s="3801"/>
      <c r="C7" s="788"/>
      <c r="D7" s="789"/>
      <c r="E7" s="784" t="s">
        <v>1739</v>
      </c>
      <c r="F7" s="785">
        <f ca="1">IF(INDIRECT("'数据-取费表'!ah"&amp;$G$1)="",INDIRECT("'数据-取费表'!k"&amp;$G$1),INDIRECT("'数据-取费表'!ah"&amp;$G$1))</f>
        <v>21713.300000000003</v>
      </c>
      <c r="G7" s="1592"/>
      <c r="H7" s="2514"/>
      <c r="I7" s="3801"/>
      <c r="J7" s="788"/>
      <c r="K7" s="789"/>
      <c r="L7" s="784" t="s">
        <v>1739</v>
      </c>
      <c r="M7" s="785">
        <f ca="1">F7</f>
        <v>21713.300000000003</v>
      </c>
    </row>
    <row r="8" spans="1:33" ht="18" customHeight="1">
      <c r="A8" s="2518"/>
      <c r="B8" s="3802"/>
      <c r="C8" s="788"/>
      <c r="D8" s="789"/>
      <c r="E8" s="784" t="s">
        <v>1740</v>
      </c>
      <c r="F8" s="785">
        <f ca="1">INDIRECT("'数据-取费表'!ai"&amp;$G$1)</f>
        <v>365</v>
      </c>
      <c r="G8" s="1592"/>
      <c r="H8" s="2514"/>
      <c r="I8" s="3802"/>
      <c r="J8" s="788"/>
      <c r="K8" s="789"/>
      <c r="L8" s="784" t="s">
        <v>1740</v>
      </c>
      <c r="M8" s="785">
        <f ca="1">INDIRECT("'数据-取费表'!ai"&amp;$G$1)</f>
        <v>365</v>
      </c>
    </row>
    <row r="9" spans="1:33" ht="18" customHeight="1">
      <c r="A9" s="786"/>
      <c r="B9" s="3803"/>
      <c r="C9" s="788"/>
      <c r="D9" s="789"/>
      <c r="E9" s="784" t="s">
        <v>1741</v>
      </c>
      <c r="F9" s="794">
        <f ca="1">INDIRECT("'数据-取费表'!w"&amp;$G$1)</f>
        <v>0.05</v>
      </c>
      <c r="G9" s="1592"/>
      <c r="H9" s="2530"/>
      <c r="I9" s="3802"/>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2975</v>
      </c>
      <c r="E10" s="2523" t="s">
        <v>2467</v>
      </c>
      <c r="F10" s="2646"/>
      <c r="G10" s="1592"/>
      <c r="H10" s="2586" t="s">
        <v>2472</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2435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2606</v>
      </c>
      <c r="D14" s="1980" t="s">
        <v>1745</v>
      </c>
      <c r="E14" s="1981"/>
      <c r="F14" s="805"/>
      <c r="G14" s="1592"/>
      <c r="H14" s="1649" t="s">
        <v>1830</v>
      </c>
      <c r="I14" s="2232" t="s">
        <v>2828</v>
      </c>
      <c r="J14" s="53">
        <f ca="1">C29</f>
        <v>4058</v>
      </c>
      <c r="K14" s="26"/>
      <c r="L14" s="801"/>
      <c r="M14" s="802"/>
    </row>
    <row r="15" spans="1:33" s="2065" customFormat="1" ht="18" customHeight="1" thickBot="1">
      <c r="A15" s="1648" t="s">
        <v>1885</v>
      </c>
      <c r="B15" s="784" t="s">
        <v>646</v>
      </c>
      <c r="C15" s="53">
        <f ca="1">ROUND(C14*F15,0)</f>
        <v>78</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351</v>
      </c>
      <c r="K16" s="1822" t="s">
        <v>1750</v>
      </c>
      <c r="L16" s="2511"/>
      <c r="M16" s="2516"/>
    </row>
    <row r="17" spans="1:33" s="2065" customFormat="1" ht="18" customHeight="1">
      <c r="A17" s="1648" t="s">
        <v>1887</v>
      </c>
      <c r="B17" s="784" t="s">
        <v>652</v>
      </c>
      <c r="C17" s="53">
        <f ca="1">ROUND(F17*(F43+INDIRECT("'数据-取费表'!S"&amp;$G$1))/10000,0)</f>
        <v>434</v>
      </c>
      <c r="D17" s="784" t="s">
        <v>1751</v>
      </c>
      <c r="E17" s="784" t="s">
        <v>1752</v>
      </c>
      <c r="F17" s="56">
        <f>'数据-取费表'!B35</f>
        <v>200</v>
      </c>
      <c r="G17" s="1593"/>
      <c r="H17" s="1649" t="s">
        <v>1830</v>
      </c>
      <c r="I17" s="784" t="s">
        <v>655</v>
      </c>
      <c r="J17" s="53">
        <f ca="1">ROUND(IF(项目基本情况!B11="自然人",J5*M17,J18+J19+J20),0)</f>
        <v>351</v>
      </c>
      <c r="K17" s="2510" t="s">
        <v>1753</v>
      </c>
      <c r="L17" s="2509"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3157</v>
      </c>
      <c r="D19" s="261" t="s">
        <v>1757</v>
      </c>
      <c r="E19" s="1983"/>
      <c r="F19" s="56"/>
      <c r="G19" s="1592"/>
      <c r="H19" s="1648" t="s">
        <v>1885</v>
      </c>
      <c r="I19" s="784" t="s">
        <v>1758</v>
      </c>
      <c r="J19" s="53">
        <f ca="1">IF(K19="按租金收入计税",ROUND(J5*M19,1),ROUND(C29*F33*0.7,1))</f>
        <v>340.9</v>
      </c>
      <c r="K19" s="811" t="s">
        <v>664</v>
      </c>
      <c r="L19" s="784" t="s">
        <v>1747</v>
      </c>
      <c r="M19" s="809">
        <f>IF(K19="按租金收入计税",'数据-取费表'!B51,'数据-取费表'!B50)</f>
        <v>1.2E-2</v>
      </c>
    </row>
    <row r="20" spans="1:33" s="2065" customFormat="1" ht="18" customHeight="1">
      <c r="A20" s="1649" t="s">
        <v>1889</v>
      </c>
      <c r="B20" s="784" t="s">
        <v>665</v>
      </c>
      <c r="C20" s="53">
        <f ca="1">ROUND(C19*F20,0)</f>
        <v>63</v>
      </c>
      <c r="D20" s="812" t="s">
        <v>1759</v>
      </c>
      <c r="E20" s="784" t="s">
        <v>1747</v>
      </c>
      <c r="F20" s="809">
        <f>'数据-取费表'!B37</f>
        <v>0.02</v>
      </c>
      <c r="G20" s="1593"/>
      <c r="H20" s="1651" t="s">
        <v>1880</v>
      </c>
      <c r="I20" s="341" t="s">
        <v>1760</v>
      </c>
      <c r="J20" s="54">
        <f ca="1">ROUND(M20*M21/10000,0)</f>
        <v>10</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65403.040000000001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76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2824</v>
      </c>
      <c r="J25" s="792">
        <f ca="1">J5-J16</f>
        <v>-351</v>
      </c>
      <c r="K25" s="2573" t="s">
        <v>1777</v>
      </c>
      <c r="L25" s="2574"/>
      <c r="M25" s="2575"/>
    </row>
    <row r="26" spans="1:33" ht="18" customHeight="1">
      <c r="A26" s="1648" t="s">
        <v>1831</v>
      </c>
      <c r="B26" s="784" t="s">
        <v>2441</v>
      </c>
      <c r="C26" s="53">
        <f ca="1">ROUND((C19+C20)*F26,0)</f>
        <v>451</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4058</v>
      </c>
      <c r="D29" s="2570"/>
      <c r="E29" s="2571"/>
      <c r="F29" s="2572"/>
      <c r="G29" s="1593"/>
      <c r="H29" s="823" t="s">
        <v>1787</v>
      </c>
      <c r="I29" s="824" t="s">
        <v>1788</v>
      </c>
      <c r="J29" s="825">
        <f ca="1">ROUND(J26/(1+F40)^F41,0)</f>
        <v>0</v>
      </c>
      <c r="K29" s="826" t="s">
        <v>1789</v>
      </c>
      <c r="L29" s="827"/>
      <c r="M29" s="828">
        <f ca="1">INDIRECT("'数据-取费表'!k"&amp;$G$1)</f>
        <v>21713.300000000003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271</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270.8</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180.7</v>
      </c>
      <c r="D33" s="811" t="s">
        <v>3024</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9.8000000000000007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65403.040000000001</v>
      </c>
      <c r="G35" s="2063"/>
      <c r="H35" s="2066"/>
      <c r="I35" s="837" t="s">
        <v>1814</v>
      </c>
      <c r="J35" s="838">
        <f ca="1">ROUND(C13*J36,0)</f>
        <v>170</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2824</v>
      </c>
      <c r="C39" s="792">
        <f ca="1">C5-C30</f>
        <v>1235</v>
      </c>
      <c r="D39" s="2573" t="s">
        <v>1806</v>
      </c>
      <c r="E39" s="2574"/>
      <c r="F39" s="2575"/>
      <c r="G39" s="2063"/>
      <c r="H39" s="2078"/>
      <c r="I39" s="837" t="s">
        <v>1818</v>
      </c>
      <c r="J39" s="845">
        <f ca="1">ROUND(J35/C39,3)</f>
        <v>0.13800000000000001</v>
      </c>
      <c r="K39" s="2084"/>
      <c r="L39" s="2078"/>
      <c r="M39" s="2078"/>
    </row>
    <row r="40" spans="1:18" ht="18" customHeight="1">
      <c r="A40" s="781" t="s">
        <v>1895</v>
      </c>
      <c r="B40" s="2233" t="s">
        <v>2303</v>
      </c>
      <c r="C40" s="783">
        <f ca="1">ROUND(C39*(1-((1+F42)/(1+F40))^F41)/(F40-F42),0)</f>
        <v>23846</v>
      </c>
      <c r="D40" s="814" t="s">
        <v>1807</v>
      </c>
      <c r="E40" s="784" t="s">
        <v>2422</v>
      </c>
      <c r="F40" s="794">
        <f ca="1">INDIRECT("'数据-取费表'!I"&amp;$G$1)</f>
        <v>0.04</v>
      </c>
      <c r="G40" s="2063"/>
      <c r="H40" s="2063"/>
      <c r="I40" s="837" t="s">
        <v>1819</v>
      </c>
      <c r="J40" s="845">
        <f ca="1">1-J39</f>
        <v>0.86199999999999999</v>
      </c>
      <c r="K40" s="2084"/>
      <c r="L40" s="2063"/>
      <c r="M40" s="2063"/>
    </row>
    <row r="41" spans="1:18" ht="18" customHeight="1">
      <c r="A41" s="786"/>
      <c r="B41" s="787"/>
      <c r="C41" s="788"/>
      <c r="D41" s="821" t="s">
        <v>1808</v>
      </c>
      <c r="E41" s="784" t="s">
        <v>2965</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1809</v>
      </c>
      <c r="F42" s="794">
        <f ca="1">INDIRECT("'数据-取费表'!v"&amp;$G$1)</f>
        <v>1.4999999999999999E-2</v>
      </c>
      <c r="G42" s="2063"/>
      <c r="H42" s="1989"/>
      <c r="I42" s="847" t="s">
        <v>1821</v>
      </c>
      <c r="J42" s="845">
        <f ca="1">ROUND(C13/C40,3)</f>
        <v>0.10199999999999999</v>
      </c>
      <c r="K42" s="2083"/>
      <c r="L42" s="1989"/>
      <c r="M42" s="1989"/>
    </row>
    <row r="43" spans="1:18" ht="18" customHeight="1" thickBot="1">
      <c r="A43" s="823" t="s">
        <v>1787</v>
      </c>
      <c r="B43" s="824" t="s">
        <v>1810</v>
      </c>
      <c r="C43" s="825">
        <f ca="1">ROUND(C40*10000/F43,0)</f>
        <v>10982</v>
      </c>
      <c r="D43" s="826" t="s">
        <v>1811</v>
      </c>
      <c r="E43" s="827" t="s">
        <v>1812</v>
      </c>
      <c r="F43" s="828">
        <f ca="1">INDIRECT("'数据-取费表'!k"&amp;$G$1)</f>
        <v>21713.300000000003</v>
      </c>
      <c r="G43" s="2063"/>
      <c r="H43" s="1989"/>
      <c r="I43" s="847" t="s">
        <v>1822</v>
      </c>
      <c r="J43" s="848">
        <f ca="1">1-J42</f>
        <v>0.89800000000000002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-24010</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23846</v>
      </c>
      <c r="R48" s="2424" t="s">
        <v>2383</v>
      </c>
    </row>
    <row r="49" spans="1:18" s="2060" customFormat="1" ht="18" customHeight="1" thickBot="1">
      <c r="A49" s="786"/>
      <c r="B49" s="787"/>
      <c r="C49" s="788"/>
      <c r="D49" s="789"/>
      <c r="E49" s="784" t="s">
        <v>1739</v>
      </c>
      <c r="F49" s="785">
        <f ca="1">F7</f>
        <v>21713.300000000003</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4058</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18438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806" t="s">
        <v>2967</v>
      </c>
      <c r="L53" s="380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23846</v>
      </c>
      <c r="R54" s="2428" t="s">
        <v>2395</v>
      </c>
    </row>
    <row r="55" spans="1:18" s="2060" customFormat="1" ht="18" customHeight="1" thickTop="1" thickBot="1">
      <c r="A55" s="797">
        <v>2</v>
      </c>
      <c r="B55" s="798" t="s">
        <v>643</v>
      </c>
      <c r="C55" s="799">
        <f ca="1">C13</f>
        <v>2435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4058</v>
      </c>
      <c r="D56" s="2664"/>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1748</v>
      </c>
      <c r="B57" s="798" t="s">
        <v>650</v>
      </c>
      <c r="C57" s="799">
        <f ca="1">ROUND(C58+C63+C64+C65,0)</f>
        <v>10</v>
      </c>
      <c r="D57" s="26" t="s">
        <v>1750</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23846</v>
      </c>
      <c r="R57" s="2424" t="s">
        <v>2383</v>
      </c>
    </row>
    <row r="58" spans="1:18" s="2060" customFormat="1" ht="28.5" customHeight="1" thickBot="1">
      <c r="A58" s="1649" t="s">
        <v>1824</v>
      </c>
      <c r="B58" s="784" t="s">
        <v>655</v>
      </c>
      <c r="C58" s="53">
        <f ca="1">ROUND(IF(项目基本情况!B11="自然人",C47*F58,C59+C60+C61),1)</f>
        <v>9.8000000000000007</v>
      </c>
      <c r="D58" s="2663" t="s">
        <v>656</v>
      </c>
      <c r="E58" s="2664"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9.8000000000000007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65403.040000000001</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2664" t="s">
        <v>1803</v>
      </c>
      <c r="E63" s="784" t="s">
        <v>1747</v>
      </c>
      <c r="F63" s="817">
        <f t="shared" ca="1" si="0"/>
        <v>0</v>
      </c>
      <c r="I63" s="2410" t="s">
        <v>2373</v>
      </c>
      <c r="J63" s="2411">
        <v>70</v>
      </c>
      <c r="K63" s="2411">
        <v>50</v>
      </c>
      <c r="L63" s="2411">
        <v>80</v>
      </c>
      <c r="M63" s="3127">
        <v>0.02</v>
      </c>
      <c r="O63" s="2423" t="s">
        <v>2394</v>
      </c>
      <c r="P63" s="2424" t="s">
        <v>2411</v>
      </c>
      <c r="Q63" s="2425">
        <f ca="1">Q57+Q58</f>
        <v>23846</v>
      </c>
      <c r="R63" s="2428" t="s">
        <v>2395</v>
      </c>
    </row>
    <row r="64" spans="1:18" s="2060" customFormat="1" ht="16.5" thickBot="1">
      <c r="A64" s="1649" t="s">
        <v>1890</v>
      </c>
      <c r="B64" s="784" t="s">
        <v>678</v>
      </c>
      <c r="C64" s="53">
        <f ca="1">ROUND(C55*F64,1)</f>
        <v>0</v>
      </c>
      <c r="D64" s="2664"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2664"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-10</v>
      </c>
      <c r="D66" s="2663" t="s">
        <v>699</v>
      </c>
      <c r="E66" s="2662"/>
      <c r="F66" s="820"/>
      <c r="K66" s="2087"/>
      <c r="O66" s="2423" t="s">
        <v>2382</v>
      </c>
      <c r="P66" s="2424" t="s">
        <v>2412</v>
      </c>
      <c r="Q66" s="2425">
        <f ca="1">C40+J29</f>
        <v>23846</v>
      </c>
      <c r="R66" s="2424" t="s">
        <v>2383</v>
      </c>
    </row>
    <row r="67" spans="1:18" s="2060" customFormat="1" ht="20.25" thickBot="1">
      <c r="A67" s="781" t="s">
        <v>1780</v>
      </c>
      <c r="B67" s="2233" t="s">
        <v>2303</v>
      </c>
      <c r="C67" s="783">
        <f ca="1">ROUND(C66*(1-((1+F69)/(1+F67))^F68)/(F67-F69),0)</f>
        <v>-164</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18438</v>
      </c>
      <c r="R68" s="2431" t="s">
        <v>2419</v>
      </c>
    </row>
    <row r="69" spans="1:18" ht="20.25" thickBot="1">
      <c r="A69" s="790"/>
      <c r="B69" s="791"/>
      <c r="C69" s="792"/>
      <c r="D69" s="816"/>
      <c r="E69" s="784" t="s">
        <v>709</v>
      </c>
      <c r="F69" s="2372"/>
      <c r="O69" s="2426" t="s">
        <v>2387</v>
      </c>
      <c r="P69" s="2432" t="s">
        <v>2401</v>
      </c>
      <c r="Q69" s="2425">
        <f ca="1">ROUND(Q70-Q71*Q72,0)</f>
        <v>1065</v>
      </c>
      <c r="R69" s="2428"/>
    </row>
    <row r="70" spans="1:18" ht="15.75" thickBot="1">
      <c r="A70" s="823" t="s">
        <v>1787</v>
      </c>
      <c r="B70" s="824" t="s">
        <v>1810</v>
      </c>
      <c r="C70" s="825">
        <f ca="1">ROUND(C67*10000/F70,0)</f>
        <v>-76</v>
      </c>
      <c r="D70" s="826" t="s">
        <v>1811</v>
      </c>
      <c r="E70" s="827" t="s">
        <v>1812</v>
      </c>
      <c r="F70" s="828">
        <f ca="1">F43</f>
        <v>21713.300000000003</v>
      </c>
      <c r="O70" s="2426" t="s">
        <v>2402</v>
      </c>
      <c r="P70" s="2432" t="s">
        <v>2403</v>
      </c>
      <c r="Q70" s="2425">
        <f ca="1">C39</f>
        <v>1235</v>
      </c>
      <c r="R70" s="2424" t="s">
        <v>2383</v>
      </c>
    </row>
    <row r="71" spans="1:18" ht="15.75" thickBot="1">
      <c r="O71" s="2426" t="s">
        <v>2404</v>
      </c>
      <c r="P71" s="2432" t="s">
        <v>2405</v>
      </c>
      <c r="Q71" s="2425">
        <f ca="1">C13</f>
        <v>2435</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23846</v>
      </c>
      <c r="R76" s="2428" t="s">
        <v>2395</v>
      </c>
    </row>
  </sheetData>
  <sheetProtection password="C66D" sheet="1" objects="1" scenarios="1" formatCells="0" formatColumns="0" formatRows="0"/>
  <mergeCells count="3">
    <mergeCell ref="K53:L53"/>
    <mergeCell ref="B6:B9"/>
    <mergeCell ref="I6:I9"/>
  </mergeCells>
  <phoneticPr fontId="7" type="noConversion"/>
  <conditionalFormatting sqref="K55">
    <cfRule type="expression" dxfId="150" priority="7">
      <formula>$L$48&gt;$J$51</formula>
    </cfRule>
  </conditionalFormatting>
  <conditionalFormatting sqref="I55">
    <cfRule type="expression" dxfId="149" priority="8">
      <formula>$J$51&gt;$L$48</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24" t="s">
        <v>2474</v>
      </c>
      <c r="B1" s="3825"/>
      <c r="C1" s="3826"/>
      <c r="D1" s="3827">
        <f>SUM(I10,I15,I20,I21,I23)</f>
        <v>0</v>
      </c>
      <c r="E1" s="3827"/>
      <c r="F1" s="3827"/>
      <c r="G1" s="3827"/>
      <c r="H1" s="3827"/>
      <c r="I1" s="3828"/>
    </row>
    <row r="2" spans="1:9">
      <c r="A2" s="3814" t="s">
        <v>2475</v>
      </c>
      <c r="B2" s="3815" t="s">
        <v>2476</v>
      </c>
      <c r="C2" s="3815"/>
      <c r="D2" s="2532" t="s">
        <v>2477</v>
      </c>
      <c r="E2" s="2532" t="s">
        <v>2478</v>
      </c>
      <c r="F2" s="2532" t="s">
        <v>2479</v>
      </c>
      <c r="G2" s="2532" t="s">
        <v>2480</v>
      </c>
      <c r="H2" s="2532" t="s">
        <v>2481</v>
      </c>
      <c r="I2" s="2533" t="s">
        <v>2482</v>
      </c>
    </row>
    <row r="3" spans="1:9">
      <c r="A3" s="3814"/>
      <c r="B3" s="3815" t="s">
        <v>2483</v>
      </c>
      <c r="C3" s="3815"/>
      <c r="D3" s="2534"/>
      <c r="E3" s="2532"/>
      <c r="F3" s="2535"/>
      <c r="G3" s="2535"/>
      <c r="H3" s="2536"/>
      <c r="I3" s="2537">
        <f>ROUND(D3*E3*F3*G3*H3/10000,0)</f>
        <v>0</v>
      </c>
    </row>
    <row r="4" spans="1:9">
      <c r="A4" s="3814"/>
      <c r="B4" s="3815" t="s">
        <v>2484</v>
      </c>
      <c r="C4" s="3815"/>
      <c r="D4" s="2534"/>
      <c r="E4" s="2532"/>
      <c r="F4" s="2535"/>
      <c r="G4" s="2535"/>
      <c r="H4" s="2536"/>
      <c r="I4" s="2537">
        <f t="shared" ref="I4:I9" si="0">ROUND(D4*E4*F4*G4*H4/10000,0)</f>
        <v>0</v>
      </c>
    </row>
    <row r="5" spans="1:9">
      <c r="A5" s="3814"/>
      <c r="B5" s="3815" t="s">
        <v>2485</v>
      </c>
      <c r="C5" s="3815"/>
      <c r="D5" s="2534"/>
      <c r="E5" s="2532"/>
      <c r="F5" s="2535"/>
      <c r="G5" s="2535"/>
      <c r="H5" s="2536"/>
      <c r="I5" s="2537">
        <f t="shared" si="0"/>
        <v>0</v>
      </c>
    </row>
    <row r="6" spans="1:9">
      <c r="A6" s="3814"/>
      <c r="B6" s="3815" t="s">
        <v>2486</v>
      </c>
      <c r="C6" s="3815"/>
      <c r="D6" s="2534"/>
      <c r="E6" s="2532"/>
      <c r="F6" s="2535"/>
      <c r="G6" s="2535"/>
      <c r="H6" s="2536"/>
      <c r="I6" s="2537">
        <f t="shared" si="0"/>
        <v>0</v>
      </c>
    </row>
    <row r="7" spans="1:9">
      <c r="A7" s="3814"/>
      <c r="B7" s="3815" t="s">
        <v>2487</v>
      </c>
      <c r="C7" s="3815"/>
      <c r="D7" s="2534"/>
      <c r="E7" s="2532"/>
      <c r="F7" s="2535"/>
      <c r="G7" s="2535"/>
      <c r="H7" s="2536"/>
      <c r="I7" s="2537">
        <f t="shared" si="0"/>
        <v>0</v>
      </c>
    </row>
    <row r="8" spans="1:9">
      <c r="A8" s="3814"/>
      <c r="B8" s="3815" t="s">
        <v>2488</v>
      </c>
      <c r="C8" s="3815"/>
      <c r="D8" s="2534"/>
      <c r="E8" s="2532"/>
      <c r="F8" s="2535"/>
      <c r="G8" s="2535"/>
      <c r="H8" s="2536"/>
      <c r="I8" s="2537">
        <f t="shared" si="0"/>
        <v>0</v>
      </c>
    </row>
    <row r="9" spans="1:9">
      <c r="A9" s="3814"/>
      <c r="B9" s="3815" t="s">
        <v>2489</v>
      </c>
      <c r="C9" s="3815"/>
      <c r="D9" s="2534"/>
      <c r="E9" s="2532"/>
      <c r="F9" s="2535"/>
      <c r="G9" s="2535"/>
      <c r="H9" s="2536"/>
      <c r="I9" s="2537">
        <f t="shared" si="0"/>
        <v>0</v>
      </c>
    </row>
    <row r="10" spans="1:9">
      <c r="A10" s="3814"/>
      <c r="B10" s="3816" t="s">
        <v>2490</v>
      </c>
      <c r="C10" s="3816"/>
      <c r="D10" s="2538">
        <v>527</v>
      </c>
      <c r="E10" s="2538" t="e">
        <f>ROUND(D1*10000/D10/H9,0)</f>
        <v>#DIV/0!</v>
      </c>
      <c r="F10" s="2539"/>
      <c r="G10" s="2539"/>
      <c r="H10" s="2540"/>
      <c r="I10" s="2541">
        <f>SUM(I3:I9)</f>
        <v>0</v>
      </c>
    </row>
    <row r="11" spans="1:9" ht="14.25">
      <c r="A11" s="3814" t="s">
        <v>2491</v>
      </c>
      <c r="B11" s="3815" t="s">
        <v>2492</v>
      </c>
      <c r="C11" s="3815"/>
      <c r="D11" s="2534" t="s">
        <v>2493</v>
      </c>
      <c r="E11" s="2534" t="s">
        <v>2494</v>
      </c>
      <c r="F11" s="2535" t="s">
        <v>2495</v>
      </c>
      <c r="G11" s="2535" t="s">
        <v>2496</v>
      </c>
      <c r="H11" s="2542" t="s">
        <v>2497</v>
      </c>
      <c r="I11" s="2533" t="s">
        <v>2498</v>
      </c>
    </row>
    <row r="12" spans="1:9">
      <c r="A12" s="3814"/>
      <c r="B12" s="3815" t="s">
        <v>2499</v>
      </c>
      <c r="C12" s="3815"/>
      <c r="D12" s="2534"/>
      <c r="E12" s="2534"/>
      <c r="F12" s="2535"/>
      <c r="G12" s="2536"/>
      <c r="H12" s="2543"/>
      <c r="I12" s="2533">
        <f>ROUND(D12*E12*F12*G12/10000,0)</f>
        <v>0</v>
      </c>
    </row>
    <row r="13" spans="1:9">
      <c r="A13" s="3814"/>
      <c r="B13" s="3815" t="s">
        <v>2500</v>
      </c>
      <c r="C13" s="3815"/>
      <c r="D13" s="2534"/>
      <c r="E13" s="2534"/>
      <c r="F13" s="2535"/>
      <c r="G13" s="2536"/>
      <c r="H13" s="2543"/>
      <c r="I13" s="2533">
        <f>ROUND(D13*E13*F13*G13/10000,0)</f>
        <v>0</v>
      </c>
    </row>
    <row r="14" spans="1:9">
      <c r="A14" s="3814"/>
      <c r="B14" s="3815" t="s">
        <v>2501</v>
      </c>
      <c r="C14" s="3815"/>
      <c r="D14" s="2534"/>
      <c r="E14" s="2534"/>
      <c r="F14" s="2535"/>
      <c r="G14" s="2536"/>
      <c r="H14" s="2543"/>
      <c r="I14" s="2533">
        <f>ROUND(D14*E14*F14*G14/10000,0)</f>
        <v>0</v>
      </c>
    </row>
    <row r="15" spans="1:9">
      <c r="A15" s="3814"/>
      <c r="B15" s="3816" t="s">
        <v>2490</v>
      </c>
      <c r="C15" s="3816"/>
      <c r="D15" s="2538"/>
      <c r="E15" s="2538">
        <f>SUM(E12:E14)</f>
        <v>0</v>
      </c>
      <c r="F15" s="2539"/>
      <c r="G15" s="2536"/>
      <c r="H15" s="2543"/>
      <c r="I15" s="2544">
        <f>SUM(I12:I14)</f>
        <v>0</v>
      </c>
    </row>
    <row r="16" spans="1:9" ht="24">
      <c r="A16" s="3814" t="s">
        <v>2502</v>
      </c>
      <c r="B16" s="3815" t="s">
        <v>2503</v>
      </c>
      <c r="C16" s="3815"/>
      <c r="D16" s="2534" t="s">
        <v>2504</v>
      </c>
      <c r="E16" s="2545" t="s">
        <v>2505</v>
      </c>
      <c r="F16" s="2535" t="s">
        <v>2506</v>
      </c>
      <c r="G16" s="2536" t="s">
        <v>2496</v>
      </c>
      <c r="H16" s="2542" t="s">
        <v>2497</v>
      </c>
      <c r="I16" s="2533" t="s">
        <v>2498</v>
      </c>
    </row>
    <row r="17" spans="1:9" ht="14.25">
      <c r="A17" s="3814"/>
      <c r="B17" s="3815" t="s">
        <v>2507</v>
      </c>
      <c r="C17" s="3815"/>
      <c r="D17" s="2534"/>
      <c r="E17" s="2534"/>
      <c r="F17" s="2535"/>
      <c r="G17" s="2536"/>
      <c r="H17" s="2546"/>
      <c r="I17" s="2547">
        <f>ROUND(D17*E17*F17*G17/10000,0)</f>
        <v>0</v>
      </c>
    </row>
    <row r="18" spans="1:9" ht="14.25">
      <c r="A18" s="3814"/>
      <c r="B18" s="3815" t="s">
        <v>2508</v>
      </c>
      <c r="C18" s="3815"/>
      <c r="D18" s="2534"/>
      <c r="E18" s="2534"/>
      <c r="F18" s="2535"/>
      <c r="G18" s="2536"/>
      <c r="H18" s="2546"/>
      <c r="I18" s="2547">
        <f>ROUND(D18*E18*F18*G18/10000,0)</f>
        <v>0</v>
      </c>
    </row>
    <row r="19" spans="1:9" ht="14.25">
      <c r="A19" s="3814"/>
      <c r="B19" s="3815" t="s">
        <v>2509</v>
      </c>
      <c r="C19" s="3815"/>
      <c r="D19" s="2534"/>
      <c r="E19" s="2534"/>
      <c r="F19" s="2535"/>
      <c r="G19" s="2536"/>
      <c r="H19" s="2546"/>
      <c r="I19" s="2547">
        <f>ROUND(D19*E19*F19*G19/10000,0)</f>
        <v>0</v>
      </c>
    </row>
    <row r="20" spans="1:9">
      <c r="A20" s="3814"/>
      <c r="B20" s="3816" t="s">
        <v>2490</v>
      </c>
      <c r="C20" s="3816"/>
      <c r="D20" s="2538">
        <f>SUM(D17:D19)</f>
        <v>0</v>
      </c>
      <c r="E20" s="2538"/>
      <c r="F20" s="2539"/>
      <c r="G20" s="2536"/>
      <c r="H20" s="2543"/>
      <c r="I20" s="2544">
        <f>SUM(I17:I19)</f>
        <v>0</v>
      </c>
    </row>
    <row r="21" spans="1:9">
      <c r="A21" s="3814" t="s">
        <v>2510</v>
      </c>
      <c r="B21" s="3817"/>
      <c r="C21" s="3817"/>
      <c r="D21" s="3817"/>
      <c r="E21" s="3817"/>
      <c r="F21" s="3817"/>
      <c r="G21" s="3817"/>
      <c r="H21" s="2548">
        <v>0.1</v>
      </c>
      <c r="I21" s="2541">
        <f>ROUND(I10*H21,0)</f>
        <v>0</v>
      </c>
    </row>
    <row r="22" spans="1:9" ht="14.25">
      <c r="A22" s="3818" t="s">
        <v>2511</v>
      </c>
      <c r="B22" s="3819"/>
      <c r="C22" s="3820"/>
      <c r="D22" s="2549" t="s">
        <v>2512</v>
      </c>
      <c r="E22" s="2549" t="s">
        <v>2513</v>
      </c>
      <c r="F22" s="2550" t="s">
        <v>2514</v>
      </c>
      <c r="G22" s="2550" t="s">
        <v>2515</v>
      </c>
      <c r="H22" s="2542" t="s">
        <v>2516</v>
      </c>
      <c r="I22" s="2533" t="s">
        <v>2517</v>
      </c>
    </row>
    <row r="23" spans="1:9" ht="14.25" thickBot="1">
      <c r="A23" s="3821"/>
      <c r="B23" s="3822"/>
      <c r="C23" s="3823"/>
      <c r="D23" s="2551"/>
      <c r="E23" s="2551"/>
      <c r="F23" s="2551"/>
      <c r="G23" s="2552"/>
      <c r="H23" s="2553"/>
      <c r="I23" s="2554">
        <f>ROUND(E23*D23*F23*(1-G23)/10000,0)</f>
        <v>0</v>
      </c>
    </row>
    <row r="26" spans="1:9">
      <c r="A26" s="2555" t="s">
        <v>2518</v>
      </c>
      <c r="B26" s="2555"/>
      <c r="C26" s="2555"/>
      <c r="D26" s="2555"/>
      <c r="E26" s="3811">
        <f>C27-C30-C31-C32</f>
        <v>0</v>
      </c>
      <c r="F26" s="3811"/>
      <c r="G26" s="3811"/>
      <c r="H26" s="3068" t="s">
        <v>2844</v>
      </c>
    </row>
    <row r="27" spans="1:9">
      <c r="A27" s="2556">
        <v>1</v>
      </c>
      <c r="B27" s="2557" t="s">
        <v>2519</v>
      </c>
      <c r="C27" s="2557"/>
      <c r="D27" s="2557"/>
      <c r="E27" s="3812"/>
      <c r="F27" s="3812"/>
      <c r="G27" s="3812"/>
    </row>
    <row r="28" spans="1:9">
      <c r="A28" s="2558" t="s">
        <v>2520</v>
      </c>
      <c r="B28" s="2557" t="s">
        <v>2521</v>
      </c>
      <c r="C28" s="2557"/>
      <c r="D28" s="2557"/>
      <c r="E28" s="3812"/>
      <c r="F28" s="3812"/>
      <c r="G28" s="3812"/>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813"/>
      <c r="F32" s="3813"/>
      <c r="G32" s="3813"/>
    </row>
    <row r="33" spans="1:7" hidden="1">
      <c r="A33" s="3808" t="s">
        <v>2529</v>
      </c>
      <c r="B33" s="3809"/>
      <c r="C33" s="3809"/>
      <c r="D33" s="3810"/>
      <c r="E33" s="3811"/>
      <c r="F33" s="3811"/>
      <c r="G33" s="3811"/>
    </row>
    <row r="34" spans="1:7" hidden="1">
      <c r="A34" s="2560">
        <v>1</v>
      </c>
      <c r="B34" s="2557" t="s">
        <v>2530</v>
      </c>
      <c r="C34" s="2557"/>
      <c r="D34" s="2557"/>
      <c r="E34" s="3812"/>
      <c r="F34" s="3812"/>
      <c r="G34" s="3812"/>
    </row>
    <row r="35" spans="1:7" hidden="1">
      <c r="A35" s="2560">
        <v>2</v>
      </c>
      <c r="B35" s="2557" t="s">
        <v>2531</v>
      </c>
      <c r="C35" s="2557"/>
      <c r="D35" s="2557"/>
      <c r="E35" s="3812"/>
      <c r="F35" s="3812"/>
      <c r="G35" s="3812"/>
    </row>
    <row r="36" spans="1:7" hidden="1">
      <c r="A36" s="2560">
        <v>3</v>
      </c>
      <c r="B36" s="2557" t="s">
        <v>2532</v>
      </c>
      <c r="C36" s="2557"/>
      <c r="D36" s="2557"/>
      <c r="E36" s="3812"/>
      <c r="F36" s="3812"/>
      <c r="G36" s="3812"/>
    </row>
    <row r="37" spans="1:7" hidden="1">
      <c r="A37" s="2560">
        <v>4</v>
      </c>
      <c r="B37" s="2557" t="s">
        <v>2533</v>
      </c>
      <c r="C37" s="2557"/>
      <c r="D37" s="2557"/>
      <c r="E37" s="3812"/>
      <c r="F37" s="3812"/>
      <c r="G37" s="3812"/>
    </row>
    <row r="38" spans="1:7" hidden="1">
      <c r="A38" s="3808" t="s">
        <v>2534</v>
      </c>
      <c r="B38" s="3809"/>
      <c r="C38" s="3809"/>
      <c r="D38" s="3810"/>
      <c r="E38" s="3811"/>
      <c r="F38" s="3811"/>
      <c r="G38" s="38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2989</v>
      </c>
      <c r="D1" s="3153" t="s">
        <v>951</v>
      </c>
      <c r="E1" s="2412" t="s">
        <v>2377</v>
      </c>
      <c r="F1" s="2413">
        <f ca="1">J53</f>
        <v>27.09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22050</v>
      </c>
      <c r="C2" s="2058"/>
      <c r="D2" s="2056"/>
      <c r="E2" s="2057"/>
      <c r="F2" s="2057"/>
      <c r="G2" s="1590"/>
      <c r="H2" s="2058"/>
      <c r="I2" s="2058"/>
      <c r="J2" s="2058"/>
      <c r="K2" s="2059"/>
      <c r="L2" s="2058"/>
      <c r="M2" s="2058"/>
    </row>
    <row r="3" spans="1:33" ht="18" customHeight="1" thickBot="1">
      <c r="A3" s="833" t="s">
        <v>1727</v>
      </c>
      <c r="B3" s="834">
        <f ca="1">IF(ISERROR(B2*10000/F43),0,ROUND(B2*10000/F43,0))</f>
        <v>10980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1393</v>
      </c>
      <c r="D5" s="2521" t="s">
        <v>2464</v>
      </c>
      <c r="E5" s="2515"/>
      <c r="F5" s="2516"/>
      <c r="G5" s="1592"/>
      <c r="H5" s="781">
        <v>1</v>
      </c>
      <c r="I5" s="782" t="s">
        <v>2461</v>
      </c>
      <c r="J5" s="55">
        <f ca="1">J6+J10+J12</f>
        <v>0</v>
      </c>
      <c r="K5" s="2521" t="s">
        <v>2464</v>
      </c>
      <c r="L5" s="2515"/>
      <c r="M5" s="2516"/>
    </row>
    <row r="6" spans="1:33" ht="18" customHeight="1">
      <c r="A6" s="1831" t="s">
        <v>1824</v>
      </c>
      <c r="B6" s="3800" t="s">
        <v>2466</v>
      </c>
      <c r="C6" s="783">
        <f ca="1">ROUND(F6*F8*F7*(1-F9)/10000,0)</f>
        <v>1393</v>
      </c>
      <c r="D6" s="2522" t="s">
        <v>2465</v>
      </c>
      <c r="E6" s="784" t="s">
        <v>1738</v>
      </c>
      <c r="F6" s="785">
        <f ca="1">INDIRECT("'数据-取费表'!u"&amp;$G$1)</f>
        <v>2</v>
      </c>
      <c r="G6" s="1592"/>
      <c r="H6" s="2529" t="s">
        <v>1824</v>
      </c>
      <c r="I6" s="3800" t="s">
        <v>2466</v>
      </c>
      <c r="J6" s="783">
        <f ca="1">ROUND(M6*M8*M7*(1-M9)/10000,0)</f>
        <v>0</v>
      </c>
      <c r="K6" s="341" t="s">
        <v>1737</v>
      </c>
      <c r="L6" s="784" t="s">
        <v>1738</v>
      </c>
      <c r="M6" s="785">
        <f ca="1">INDIRECT("'数据-取费表'!z"&amp;$G$1)</f>
        <v>0</v>
      </c>
    </row>
    <row r="7" spans="1:33" ht="18" customHeight="1">
      <c r="A7" s="2525"/>
      <c r="B7" s="3801"/>
      <c r="C7" s="788"/>
      <c r="D7" s="789"/>
      <c r="E7" s="784" t="s">
        <v>1739</v>
      </c>
      <c r="F7" s="785">
        <f ca="1">IF(INDIRECT("'数据-取费表'!ah"&amp;$G$1)="",INDIRECT("'数据-取费表'!k"&amp;$G$1),INDIRECT("'数据-取费表'!ah"&amp;$G$1))</f>
        <v>20081.400000000001</v>
      </c>
      <c r="G7" s="1592"/>
      <c r="H7" s="2514"/>
      <c r="I7" s="3801"/>
      <c r="J7" s="788"/>
      <c r="K7" s="789"/>
      <c r="L7" s="784" t="s">
        <v>1739</v>
      </c>
      <c r="M7" s="785">
        <f ca="1">F7</f>
        <v>20081.400000000001</v>
      </c>
    </row>
    <row r="8" spans="1:33" ht="18" customHeight="1">
      <c r="A8" s="2518"/>
      <c r="B8" s="3802"/>
      <c r="C8" s="788"/>
      <c r="D8" s="789"/>
      <c r="E8" s="784" t="s">
        <v>1740</v>
      </c>
      <c r="F8" s="785">
        <f ca="1">INDIRECT("'数据-取费表'!ai"&amp;$G$1)</f>
        <v>365</v>
      </c>
      <c r="G8" s="1592"/>
      <c r="H8" s="2514"/>
      <c r="I8" s="3802"/>
      <c r="J8" s="788"/>
      <c r="K8" s="789"/>
      <c r="L8" s="784" t="s">
        <v>1740</v>
      </c>
      <c r="M8" s="785">
        <f ca="1">INDIRECT("'数据-取费表'!ai"&amp;$G$1)</f>
        <v>365</v>
      </c>
    </row>
    <row r="9" spans="1:33" ht="18" customHeight="1">
      <c r="A9" s="786"/>
      <c r="B9" s="3803"/>
      <c r="C9" s="788"/>
      <c r="D9" s="789"/>
      <c r="E9" s="784" t="s">
        <v>1741</v>
      </c>
      <c r="F9" s="794">
        <f ca="1">INDIRECT("'数据-取费表'!w"&amp;$G$1)</f>
        <v>0.05</v>
      </c>
      <c r="G9" s="1592"/>
      <c r="H9" s="2530"/>
      <c r="I9" s="380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2575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2811</v>
      </c>
      <c r="D14" s="3179" t="s">
        <v>1745</v>
      </c>
      <c r="E14" s="3180"/>
      <c r="F14" s="805"/>
      <c r="G14" s="1592"/>
      <c r="H14" s="1649" t="s">
        <v>1824</v>
      </c>
      <c r="I14" s="2232" t="s">
        <v>2827</v>
      </c>
      <c r="J14" s="53">
        <f ca="1">C29</f>
        <v>4292</v>
      </c>
      <c r="K14" s="26"/>
      <c r="L14" s="801"/>
      <c r="M14" s="802"/>
    </row>
    <row r="15" spans="1:33" s="2065" customFormat="1" ht="18" customHeight="1" thickBot="1">
      <c r="A15" s="1648" t="s">
        <v>1832</v>
      </c>
      <c r="B15" s="784" t="s">
        <v>646</v>
      </c>
      <c r="C15" s="53">
        <f ca="1">ROUND(C14*F15,0)</f>
        <v>84</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370</v>
      </c>
      <c r="K16" s="1822" t="s">
        <v>1750</v>
      </c>
      <c r="L16" s="3181"/>
      <c r="M16" s="2516"/>
    </row>
    <row r="17" spans="1:33" s="2065" customFormat="1" ht="18" customHeight="1">
      <c r="A17" s="1648" t="s">
        <v>1887</v>
      </c>
      <c r="B17" s="784" t="s">
        <v>652</v>
      </c>
      <c r="C17" s="53">
        <f ca="1">ROUND(F17*(F43+INDIRECT("'数据-取费表'!S"&amp;$G$1))/10000,0)</f>
        <v>402</v>
      </c>
      <c r="D17" s="784" t="s">
        <v>1751</v>
      </c>
      <c r="E17" s="784" t="s">
        <v>1752</v>
      </c>
      <c r="F17" s="56">
        <f>'数据-取费表'!B35</f>
        <v>200</v>
      </c>
      <c r="G17" s="1593"/>
      <c r="H17" s="1649" t="s">
        <v>1824</v>
      </c>
      <c r="I17" s="784" t="s">
        <v>655</v>
      </c>
      <c r="J17" s="53">
        <f ca="1">ROUND(IF(项目基本情况!B11="自然人",J5*M17,J18+J19+J20),0)</f>
        <v>370</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42</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3339</v>
      </c>
      <c r="D19" s="261" t="s">
        <v>1757</v>
      </c>
      <c r="E19" s="3183"/>
      <c r="F19" s="56"/>
      <c r="G19" s="1592"/>
      <c r="H19" s="1648" t="s">
        <v>1832</v>
      </c>
      <c r="I19" s="784" t="s">
        <v>1758</v>
      </c>
      <c r="J19" s="53">
        <f ca="1">IF(K19="按租金收入计税",ROUND(J5*M19,1),ROUND(C29*F33*0.7,1))</f>
        <v>360.5</v>
      </c>
      <c r="K19" s="811" t="s">
        <v>664</v>
      </c>
      <c r="L19" s="784" t="s">
        <v>1747</v>
      </c>
      <c r="M19" s="809">
        <f>IF(K19="按租金收入计税",'数据-取费表'!B51,'数据-取费表'!B50)</f>
        <v>1.2E-2</v>
      </c>
    </row>
    <row r="20" spans="1:33" s="2065" customFormat="1" ht="18" customHeight="1">
      <c r="A20" s="1649" t="s">
        <v>1889</v>
      </c>
      <c r="B20" s="784" t="s">
        <v>665</v>
      </c>
      <c r="C20" s="53">
        <f ca="1">ROUND(C19*F20,0)</f>
        <v>67</v>
      </c>
      <c r="D20" s="812" t="s">
        <v>1759</v>
      </c>
      <c r="E20" s="784" t="s">
        <v>1747</v>
      </c>
      <c r="F20" s="809">
        <f>'数据-取费表'!B37</f>
        <v>0.02</v>
      </c>
      <c r="G20" s="1593"/>
      <c r="H20" s="1651" t="s">
        <v>1833</v>
      </c>
      <c r="I20" s="341" t="s">
        <v>1760</v>
      </c>
      <c r="J20" s="54">
        <f ca="1">ROUND(M20*M21/10000,0)</f>
        <v>9</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60487.56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80</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-370</v>
      </c>
      <c r="K25" s="2573" t="s">
        <v>1777</v>
      </c>
      <c r="L25" s="2574"/>
      <c r="M25" s="2575"/>
    </row>
    <row r="26" spans="1:33" ht="18" customHeight="1">
      <c r="A26" s="1648" t="s">
        <v>1831</v>
      </c>
      <c r="B26" s="784" t="s">
        <v>2441</v>
      </c>
      <c r="C26" s="53">
        <f ca="1">ROUND((C19+C20)*F26,0)</f>
        <v>477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4292</v>
      </c>
      <c r="D29" s="2570"/>
      <c r="E29" s="2571"/>
      <c r="F29" s="2572"/>
      <c r="G29" s="1593"/>
      <c r="H29" s="823" t="s">
        <v>1787</v>
      </c>
      <c r="I29" s="824" t="s">
        <v>1788</v>
      </c>
      <c r="J29" s="825">
        <f ca="1">ROUND(J26/(1+F40)^F41,0)</f>
        <v>0</v>
      </c>
      <c r="K29" s="826" t="s">
        <v>1789</v>
      </c>
      <c r="L29" s="827"/>
      <c r="M29" s="828">
        <f ca="1">INDIRECT("'数据-取费表'!k"&amp;$G$1)</f>
        <v>20081.400000000001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251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250.6</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74.3</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167.2</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9.1</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60487.56</v>
      </c>
      <c r="G35" s="2063"/>
      <c r="H35" s="2066"/>
      <c r="I35" s="837" t="s">
        <v>1814</v>
      </c>
      <c r="J35" s="838">
        <f ca="1">ROUND(C13*J36,0)</f>
        <v>180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1142</v>
      </c>
      <c r="D39" s="2573" t="s">
        <v>1777</v>
      </c>
      <c r="E39" s="2574"/>
      <c r="F39" s="2575"/>
      <c r="G39" s="2063"/>
      <c r="H39" s="2078"/>
      <c r="I39" s="837" t="s">
        <v>1818</v>
      </c>
      <c r="J39" s="845">
        <f ca="1">ROUND(J35/C39,3)</f>
        <v>0.158</v>
      </c>
      <c r="K39" s="2084"/>
      <c r="L39" s="2078"/>
      <c r="M39" s="2078"/>
    </row>
    <row r="40" spans="1:18" ht="18" customHeight="1">
      <c r="A40" s="781" t="s">
        <v>1780</v>
      </c>
      <c r="B40" s="2233" t="s">
        <v>2303</v>
      </c>
      <c r="C40" s="783">
        <f ca="1">ROUND(C39*(1-((1+F42)/(1+F40))^F41)/(F40-F42),0)</f>
        <v>22050</v>
      </c>
      <c r="D40" s="814" t="s">
        <v>1781</v>
      </c>
      <c r="E40" s="784" t="s">
        <v>2422</v>
      </c>
      <c r="F40" s="794">
        <f ca="1">INDIRECT("'数据-取费表'!I"&amp;$G$1)</f>
        <v>0.04</v>
      </c>
      <c r="G40" s="2063"/>
      <c r="H40" s="2063"/>
      <c r="I40" s="837" t="s">
        <v>1819</v>
      </c>
      <c r="J40" s="845">
        <f ca="1">1-J39</f>
        <v>0.84199999999999997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10980</v>
      </c>
      <c r="D43" s="826" t="s">
        <v>1811</v>
      </c>
      <c r="E43" s="827" t="s">
        <v>1812</v>
      </c>
      <c r="F43" s="828">
        <f ca="1">INDIRECT("'数据-取费表'!k"&amp;$G$1)</f>
        <v>20081.400000000001</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-22197</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22050</v>
      </c>
      <c r="R48" s="2424" t="s">
        <v>2383</v>
      </c>
    </row>
    <row r="49" spans="1:18" s="2060" customFormat="1" ht="18" customHeight="1" thickBot="1">
      <c r="A49" s="786"/>
      <c r="B49" s="787"/>
      <c r="C49" s="788"/>
      <c r="D49" s="789"/>
      <c r="E49" s="784" t="s">
        <v>1739</v>
      </c>
      <c r="F49" s="785">
        <f ca="1">F7</f>
        <v>20081.400000000001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4292</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16658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806" t="s">
        <v>2967</v>
      </c>
      <c r="L53" s="380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22050</v>
      </c>
      <c r="R54" s="2428" t="s">
        <v>2395</v>
      </c>
    </row>
    <row r="55" spans="1:18" s="2060" customFormat="1" ht="18" customHeight="1" thickTop="1" thickBot="1">
      <c r="A55" s="797">
        <v>2</v>
      </c>
      <c r="B55" s="798" t="s">
        <v>643</v>
      </c>
      <c r="C55" s="799">
        <f ca="1">C13</f>
        <v>2575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4292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9</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22050</v>
      </c>
      <c r="R57" s="2424" t="s">
        <v>2383</v>
      </c>
    </row>
    <row r="58" spans="1:18" s="2060" customFormat="1" ht="28.5" customHeight="1" thickBot="1">
      <c r="A58" s="1649" t="s">
        <v>1824</v>
      </c>
      <c r="B58" s="784" t="s">
        <v>655</v>
      </c>
      <c r="C58" s="53">
        <f ca="1">ROUND(IF(项目基本情况!B11="自然人",C47*F58,C59+C60+C61),1)</f>
        <v>9.1</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9.1</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60487.56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22050</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-9</v>
      </c>
      <c r="D66" s="3179" t="s">
        <v>699</v>
      </c>
      <c r="E66" s="3182"/>
      <c r="F66" s="820"/>
      <c r="K66" s="2087"/>
      <c r="O66" s="2423" t="s">
        <v>2382</v>
      </c>
      <c r="P66" s="2424" t="s">
        <v>2408</v>
      </c>
      <c r="Q66" s="2425">
        <f ca="1">C40+J29</f>
        <v>22050</v>
      </c>
      <c r="R66" s="2424" t="s">
        <v>2383</v>
      </c>
    </row>
    <row r="67" spans="1:18" s="2060" customFormat="1" ht="20.25" thickBot="1">
      <c r="A67" s="781" t="s">
        <v>1780</v>
      </c>
      <c r="B67" s="2233" t="s">
        <v>2303</v>
      </c>
      <c r="C67" s="783">
        <f ca="1">ROUND(C66*(1-((1+F69)/(1+F67))^F68)/(F67-F69),0)</f>
        <v>-147</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16658</v>
      </c>
      <c r="R68" s="2431" t="s">
        <v>2419</v>
      </c>
    </row>
    <row r="69" spans="1:18" ht="20.25" thickBot="1">
      <c r="A69" s="790"/>
      <c r="B69" s="791"/>
      <c r="C69" s="792"/>
      <c r="D69" s="816"/>
      <c r="E69" s="784" t="s">
        <v>709</v>
      </c>
      <c r="F69" s="2372"/>
      <c r="O69" s="2426" t="s">
        <v>2387</v>
      </c>
      <c r="P69" s="2432" t="s">
        <v>2401</v>
      </c>
      <c r="Q69" s="2425">
        <f ca="1">ROUND(Q70-Q71*Q72,0)</f>
        <v>962</v>
      </c>
      <c r="R69" s="2428"/>
    </row>
    <row r="70" spans="1:18" ht="15.75" thickBot="1">
      <c r="A70" s="823" t="s">
        <v>1787</v>
      </c>
      <c r="B70" s="824" t="s">
        <v>1810</v>
      </c>
      <c r="C70" s="825">
        <f ca="1">ROUND(C67*10000/F70,0)</f>
        <v>-73</v>
      </c>
      <c r="D70" s="826" t="s">
        <v>1811</v>
      </c>
      <c r="E70" s="827" t="s">
        <v>1812</v>
      </c>
      <c r="F70" s="828">
        <f ca="1">F43</f>
        <v>20081.400000000001</v>
      </c>
      <c r="O70" s="2426" t="s">
        <v>2402</v>
      </c>
      <c r="P70" s="2432" t="s">
        <v>2403</v>
      </c>
      <c r="Q70" s="2425">
        <f ca="1">C39</f>
        <v>1142</v>
      </c>
      <c r="R70" s="2424" t="s">
        <v>2383</v>
      </c>
    </row>
    <row r="71" spans="1:18" ht="15.75" thickBot="1">
      <c r="O71" s="2426" t="s">
        <v>2404</v>
      </c>
      <c r="P71" s="2432" t="s">
        <v>2405</v>
      </c>
      <c r="Q71" s="2425">
        <f ca="1">C13</f>
        <v>2575</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22050</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43" priority="6">
      <formula>$L$48&gt;$J$51</formula>
    </cfRule>
  </conditionalFormatting>
  <conditionalFormatting sqref="I55">
    <cfRule type="expression" dxfId="142" priority="7">
      <formula>$J$51&gt;$L$48</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2990</v>
      </c>
      <c r="D1" s="3153" t="s">
        <v>951</v>
      </c>
      <c r="E1" s="2412" t="s">
        <v>2377</v>
      </c>
      <c r="F1" s="2413">
        <f ca="1">J53</f>
        <v>27.09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1603</v>
      </c>
      <c r="C2" s="2058"/>
      <c r="D2" s="2056"/>
      <c r="E2" s="2057"/>
      <c r="F2" s="2057"/>
      <c r="G2" s="1590"/>
      <c r="H2" s="2058"/>
      <c r="I2" s="2058"/>
      <c r="J2" s="2058"/>
      <c r="K2" s="2059"/>
      <c r="L2" s="2058"/>
      <c r="M2" s="2058"/>
    </row>
    <row r="3" spans="1:33" ht="18" customHeight="1" thickBot="1">
      <c r="A3" s="833" t="s">
        <v>1727</v>
      </c>
      <c r="B3" s="834">
        <f ca="1">IF(ISERROR(B2*10000/F43),0,ROUND(B2*10000/F43,0))</f>
        <v>11039</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101</v>
      </c>
      <c r="D5" s="2521" t="s">
        <v>2464</v>
      </c>
      <c r="E5" s="2515"/>
      <c r="F5" s="2516"/>
      <c r="G5" s="1592"/>
      <c r="H5" s="781">
        <v>1</v>
      </c>
      <c r="I5" s="782" t="s">
        <v>2461</v>
      </c>
      <c r="J5" s="55">
        <f ca="1">J6+J10+J12</f>
        <v>0</v>
      </c>
      <c r="K5" s="2521" t="s">
        <v>2464</v>
      </c>
      <c r="L5" s="2515"/>
      <c r="M5" s="2516"/>
    </row>
    <row r="6" spans="1:33" ht="18" customHeight="1">
      <c r="A6" s="1831" t="s">
        <v>1824</v>
      </c>
      <c r="B6" s="3800" t="s">
        <v>2466</v>
      </c>
      <c r="C6" s="783">
        <f ca="1">ROUND(F6*F8*F7*(1-F9)/10000,0)</f>
        <v>101</v>
      </c>
      <c r="D6" s="2522" t="s">
        <v>2465</v>
      </c>
      <c r="E6" s="784" t="s">
        <v>1738</v>
      </c>
      <c r="F6" s="785">
        <f ca="1">INDIRECT("'数据-取费表'!u"&amp;$G$1)</f>
        <v>2</v>
      </c>
      <c r="G6" s="1592"/>
      <c r="H6" s="2529" t="s">
        <v>1824</v>
      </c>
      <c r="I6" s="3800" t="s">
        <v>2466</v>
      </c>
      <c r="J6" s="783">
        <f ca="1">ROUND(M6*M8*M7*(1-M9)/10000,0)</f>
        <v>0</v>
      </c>
      <c r="K6" s="341" t="s">
        <v>1737</v>
      </c>
      <c r="L6" s="784" t="s">
        <v>1738</v>
      </c>
      <c r="M6" s="785">
        <f ca="1">INDIRECT("'数据-取费表'!z"&amp;$G$1)</f>
        <v>0</v>
      </c>
    </row>
    <row r="7" spans="1:33" ht="18" customHeight="1">
      <c r="A7" s="2525"/>
      <c r="B7" s="3801"/>
      <c r="C7" s="788"/>
      <c r="D7" s="789"/>
      <c r="E7" s="784" t="s">
        <v>1739</v>
      </c>
      <c r="F7" s="785">
        <f ca="1">IF(INDIRECT("'数据-取费表'!ah"&amp;$G$1)="",INDIRECT("'数据-取费表'!k"&amp;$G$1),INDIRECT("'数据-取费表'!ah"&amp;$G$1))</f>
        <v>1452.1</v>
      </c>
      <c r="G7" s="1592"/>
      <c r="H7" s="2514"/>
      <c r="I7" s="3801"/>
      <c r="J7" s="788"/>
      <c r="K7" s="789"/>
      <c r="L7" s="784" t="s">
        <v>1739</v>
      </c>
      <c r="M7" s="785">
        <f ca="1">F7</f>
        <v>1452.1</v>
      </c>
    </row>
    <row r="8" spans="1:33" ht="18" customHeight="1">
      <c r="A8" s="2518"/>
      <c r="B8" s="3802"/>
      <c r="C8" s="788"/>
      <c r="D8" s="789"/>
      <c r="E8" s="784" t="s">
        <v>1740</v>
      </c>
      <c r="F8" s="785">
        <f ca="1">INDIRECT("'数据-取费表'!ai"&amp;$G$1)</f>
        <v>365</v>
      </c>
      <c r="G8" s="1592"/>
      <c r="H8" s="2514"/>
      <c r="I8" s="3802"/>
      <c r="J8" s="788"/>
      <c r="K8" s="789"/>
      <c r="L8" s="784" t="s">
        <v>1740</v>
      </c>
      <c r="M8" s="785">
        <f ca="1">INDIRECT("'数据-取费表'!ai"&amp;$G$1)</f>
        <v>365</v>
      </c>
    </row>
    <row r="9" spans="1:33" ht="18" customHeight="1">
      <c r="A9" s="786"/>
      <c r="B9" s="3803"/>
      <c r="C9" s="788"/>
      <c r="D9" s="789"/>
      <c r="E9" s="784" t="s">
        <v>1741</v>
      </c>
      <c r="F9" s="794">
        <f ca="1">INDIRECT("'数据-取费表'!w"&amp;$G$1)</f>
        <v>0.05</v>
      </c>
      <c r="G9" s="1592"/>
      <c r="H9" s="2530"/>
      <c r="I9" s="380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186</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203</v>
      </c>
      <c r="D14" s="3179" t="s">
        <v>1745</v>
      </c>
      <c r="E14" s="3180"/>
      <c r="F14" s="805"/>
      <c r="G14" s="1592"/>
      <c r="H14" s="1649" t="s">
        <v>1824</v>
      </c>
      <c r="I14" s="2232" t="s">
        <v>2827</v>
      </c>
      <c r="J14" s="53">
        <f ca="1">C29</f>
        <v>310</v>
      </c>
      <c r="K14" s="26"/>
      <c r="L14" s="801"/>
      <c r="M14" s="802"/>
    </row>
    <row r="15" spans="1:33" s="2065" customFormat="1" ht="18" customHeight="1" thickBot="1">
      <c r="A15" s="1648" t="s">
        <v>1832</v>
      </c>
      <c r="B15" s="784" t="s">
        <v>646</v>
      </c>
      <c r="C15" s="53">
        <f ca="1">ROUND(C14*F15,0)</f>
        <v>6</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27</v>
      </c>
      <c r="K16" s="1822" t="s">
        <v>1750</v>
      </c>
      <c r="L16" s="3181"/>
      <c r="M16" s="2516"/>
    </row>
    <row r="17" spans="1:33" s="2065" customFormat="1" ht="18" customHeight="1">
      <c r="A17" s="1648" t="s">
        <v>1887</v>
      </c>
      <c r="B17" s="784" t="s">
        <v>652</v>
      </c>
      <c r="C17" s="53">
        <f ca="1">ROUND(F17*(F43+INDIRECT("'数据-取费表'!S"&amp;$G$1))/10000,0)</f>
        <v>29</v>
      </c>
      <c r="D17" s="784" t="s">
        <v>1751</v>
      </c>
      <c r="E17" s="784" t="s">
        <v>1752</v>
      </c>
      <c r="F17" s="56">
        <f>'数据-取费表'!B35</f>
        <v>200</v>
      </c>
      <c r="G17" s="1593"/>
      <c r="H17" s="1649" t="s">
        <v>1824</v>
      </c>
      <c r="I17" s="784" t="s">
        <v>655</v>
      </c>
      <c r="J17" s="53">
        <f ca="1">ROUND(IF(项目基本情况!B11="自然人",J5*M17,J18+J19+J20),0)</f>
        <v>27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241</v>
      </c>
      <c r="D19" s="261" t="s">
        <v>1757</v>
      </c>
      <c r="E19" s="3183"/>
      <c r="F19" s="56"/>
      <c r="G19" s="1592"/>
      <c r="H19" s="1648" t="s">
        <v>1832</v>
      </c>
      <c r="I19" s="784" t="s">
        <v>1758</v>
      </c>
      <c r="J19" s="53">
        <f ca="1">IF(K19="按租金收入计税",ROUND(J5*M19,1),ROUND(C29*F33*0.7,1))</f>
        <v>26</v>
      </c>
      <c r="K19" s="811" t="s">
        <v>664</v>
      </c>
      <c r="L19" s="784" t="s">
        <v>1747</v>
      </c>
      <c r="M19" s="809">
        <f>IF(K19="按租金收入计税",'数据-取费表'!B51,'数据-取费表'!B50)</f>
        <v>1.2E-2</v>
      </c>
    </row>
    <row r="20" spans="1:33" s="2065" customFormat="1" ht="18" customHeight="1">
      <c r="A20" s="1649" t="s">
        <v>1889</v>
      </c>
      <c r="B20" s="784" t="s">
        <v>665</v>
      </c>
      <c r="C20" s="53">
        <f ca="1">ROUND(C19*F20,0)</f>
        <v>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4373.8999999999996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-27</v>
      </c>
      <c r="K25" s="2573" t="s">
        <v>1777</v>
      </c>
      <c r="L25" s="2574"/>
      <c r="M25" s="2575"/>
    </row>
    <row r="26" spans="1:33" ht="18" customHeight="1">
      <c r="A26" s="1648" t="s">
        <v>1831</v>
      </c>
      <c r="B26" s="784" t="s">
        <v>2441</v>
      </c>
      <c r="C26" s="53">
        <f ca="1">ROUND((C19+C20)*F26,0)</f>
        <v>34</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310</v>
      </c>
      <c r="D29" s="2570"/>
      <c r="E29" s="2571"/>
      <c r="F29" s="2572"/>
      <c r="G29" s="1593"/>
      <c r="H29" s="823" t="s">
        <v>1787</v>
      </c>
      <c r="I29" s="824" t="s">
        <v>1788</v>
      </c>
      <c r="J29" s="825">
        <f ca="1">ROUND(J26/(1+F40)^F41,0)</f>
        <v>0</v>
      </c>
      <c r="K29" s="826" t="s">
        <v>1789</v>
      </c>
      <c r="L29" s="827"/>
      <c r="M29" s="828">
        <f ca="1">INDIRECT("'数据-取费表'!k"&amp;$G$1)</f>
        <v>1452.1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18</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18.2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5.4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12.1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0.7</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4373.8999999999996</v>
      </c>
      <c r="G35" s="2063"/>
      <c r="H35" s="2066"/>
      <c r="I35" s="837" t="s">
        <v>1814</v>
      </c>
      <c r="J35" s="838">
        <f ca="1">ROUND(C13*J36,0)</f>
        <v>13</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83</v>
      </c>
      <c r="D39" s="2573" t="s">
        <v>1777</v>
      </c>
      <c r="E39" s="2574"/>
      <c r="F39" s="2575"/>
      <c r="G39" s="2063"/>
      <c r="H39" s="2078"/>
      <c r="I39" s="837" t="s">
        <v>1818</v>
      </c>
      <c r="J39" s="845">
        <f ca="1">ROUND(J35/C39,3)</f>
        <v>0.157</v>
      </c>
      <c r="K39" s="2084"/>
      <c r="L39" s="2078"/>
      <c r="M39" s="2078"/>
    </row>
    <row r="40" spans="1:18" ht="18" customHeight="1">
      <c r="A40" s="781" t="s">
        <v>1780</v>
      </c>
      <c r="B40" s="2233" t="s">
        <v>2303</v>
      </c>
      <c r="C40" s="783">
        <f ca="1">ROUND(C39*(1-((1+F42)/(1+F40))^F41)/(F40-F42),0)</f>
        <v>1603</v>
      </c>
      <c r="D40" s="814" t="s">
        <v>1781</v>
      </c>
      <c r="E40" s="784" t="s">
        <v>2422</v>
      </c>
      <c r="F40" s="794">
        <f ca="1">INDIRECT("'数据-取费表'!I"&amp;$G$1)</f>
        <v>0.04</v>
      </c>
      <c r="G40" s="2063"/>
      <c r="H40" s="2063"/>
      <c r="I40" s="837" t="s">
        <v>1819</v>
      </c>
      <c r="J40" s="845">
        <f ca="1">1-J39</f>
        <v>0.84299999999999997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0.11600000000000001</v>
      </c>
      <c r="K42" s="2083"/>
      <c r="L42" s="1989"/>
      <c r="M42" s="1989"/>
    </row>
    <row r="43" spans="1:18" ht="18" customHeight="1" thickBot="1">
      <c r="A43" s="823" t="s">
        <v>1787</v>
      </c>
      <c r="B43" s="824" t="s">
        <v>1810</v>
      </c>
      <c r="C43" s="825">
        <f ca="1">ROUND(C40*10000/F43,0)</f>
        <v>11039</v>
      </c>
      <c r="D43" s="826" t="s">
        <v>1811</v>
      </c>
      <c r="E43" s="827" t="s">
        <v>1812</v>
      </c>
      <c r="F43" s="828">
        <f ca="1">INDIRECT("'数据-取费表'!k"&amp;$G$1)</f>
        <v>1452.1</v>
      </c>
      <c r="G43" s="2063"/>
      <c r="H43" s="1989"/>
      <c r="I43" s="847" t="s">
        <v>1822</v>
      </c>
      <c r="J43" s="848">
        <f ca="1">1-J42</f>
        <v>0.88400000000000001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-1619</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1603</v>
      </c>
      <c r="R48" s="2424" t="s">
        <v>2383</v>
      </c>
    </row>
    <row r="49" spans="1:18" s="2060" customFormat="1" ht="18" customHeight="1" thickBot="1">
      <c r="A49" s="786"/>
      <c r="B49" s="787"/>
      <c r="C49" s="788"/>
      <c r="D49" s="789"/>
      <c r="E49" s="784" t="s">
        <v>1739</v>
      </c>
      <c r="F49" s="785">
        <f ca="1">F7</f>
        <v>1452.1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310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1212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806" t="s">
        <v>2967</v>
      </c>
      <c r="L53" s="380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1603</v>
      </c>
      <c r="R54" s="2428" t="s">
        <v>2395</v>
      </c>
    </row>
    <row r="55" spans="1:18" s="2060" customFormat="1" ht="18" customHeight="1" thickTop="1" thickBot="1">
      <c r="A55" s="797">
        <v>2</v>
      </c>
      <c r="B55" s="798" t="s">
        <v>643</v>
      </c>
      <c r="C55" s="799">
        <f ca="1">C13</f>
        <v>186</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310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1</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1603</v>
      </c>
      <c r="R57" s="2424" t="s">
        <v>2383</v>
      </c>
    </row>
    <row r="58" spans="1:18" s="2060" customFormat="1" ht="28.5" customHeight="1" thickBot="1">
      <c r="A58" s="1649" t="s">
        <v>1824</v>
      </c>
      <c r="B58" s="784" t="s">
        <v>655</v>
      </c>
      <c r="C58" s="53">
        <f ca="1">ROUND(IF(项目基本情况!B11="自然人",C47*F58,C59+C60+C61),1)</f>
        <v>0.7</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4373.8999999999996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1603</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-1</v>
      </c>
      <c r="D66" s="3179" t="s">
        <v>699</v>
      </c>
      <c r="E66" s="3182"/>
      <c r="F66" s="820"/>
      <c r="K66" s="2087"/>
      <c r="O66" s="2423" t="s">
        <v>2382</v>
      </c>
      <c r="P66" s="2424" t="s">
        <v>2408</v>
      </c>
      <c r="Q66" s="2425">
        <f ca="1">C40+J29</f>
        <v>1603</v>
      </c>
      <c r="R66" s="2424" t="s">
        <v>2383</v>
      </c>
    </row>
    <row r="67" spans="1:18" s="2060" customFormat="1" ht="20.25" thickBot="1">
      <c r="A67" s="781" t="s">
        <v>1780</v>
      </c>
      <c r="B67" s="2233" t="s">
        <v>2303</v>
      </c>
      <c r="C67" s="783">
        <f ca="1">ROUND(C66*(1-((1+F69)/(1+F67))^F68)/(F67-F69),0)</f>
        <v>-16</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1212</v>
      </c>
      <c r="R68" s="2431" t="s">
        <v>2419</v>
      </c>
    </row>
    <row r="69" spans="1:18" ht="20.25" thickBot="1">
      <c r="A69" s="790"/>
      <c r="B69" s="791"/>
      <c r="C69" s="792"/>
      <c r="D69" s="816"/>
      <c r="E69" s="784" t="s">
        <v>709</v>
      </c>
      <c r="F69" s="2372"/>
      <c r="O69" s="2426" t="s">
        <v>2387</v>
      </c>
      <c r="P69" s="2432" t="s">
        <v>2401</v>
      </c>
      <c r="Q69" s="2425">
        <f ca="1">ROUND(Q70-Q71*Q72,0)</f>
        <v>70</v>
      </c>
      <c r="R69" s="2428"/>
    </row>
    <row r="70" spans="1:18" ht="15.75" thickBot="1">
      <c r="A70" s="823" t="s">
        <v>1787</v>
      </c>
      <c r="B70" s="824" t="s">
        <v>1810</v>
      </c>
      <c r="C70" s="825">
        <f ca="1">ROUND(C67*10000/F70,0)</f>
        <v>-110</v>
      </c>
      <c r="D70" s="826" t="s">
        <v>1811</v>
      </c>
      <c r="E70" s="827" t="s">
        <v>1812</v>
      </c>
      <c r="F70" s="828">
        <f ca="1">F43</f>
        <v>1452.1</v>
      </c>
      <c r="O70" s="2426" t="s">
        <v>2402</v>
      </c>
      <c r="P70" s="2432" t="s">
        <v>2403</v>
      </c>
      <c r="Q70" s="2425">
        <f ca="1">C39</f>
        <v>83</v>
      </c>
      <c r="R70" s="2424" t="s">
        <v>2383</v>
      </c>
    </row>
    <row r="71" spans="1:18" ht="15.75" thickBot="1">
      <c r="O71" s="2426" t="s">
        <v>2404</v>
      </c>
      <c r="P71" s="2432" t="s">
        <v>2405</v>
      </c>
      <c r="Q71" s="2425">
        <f ca="1">C13</f>
        <v>186</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1603</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36" priority="6">
      <formula>$L$48&gt;$J$51</formula>
    </cfRule>
  </conditionalFormatting>
  <conditionalFormatting sqref="I55">
    <cfRule type="expression" dxfId="135" priority="7">
      <formula>$J$51&gt;$L$48</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2991</v>
      </c>
      <c r="D1" s="3153" t="s">
        <v>951</v>
      </c>
      <c r="E1" s="2412" t="s">
        <v>2377</v>
      </c>
      <c r="F1" s="2413">
        <f ca="1">J53</f>
        <v>27.09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9616</v>
      </c>
      <c r="C2" s="2058"/>
      <c r="D2" s="2056"/>
      <c r="E2" s="2057"/>
      <c r="F2" s="2057"/>
      <c r="G2" s="1590"/>
      <c r="H2" s="2058"/>
      <c r="I2" s="2058"/>
      <c r="J2" s="2058"/>
      <c r="K2" s="2059"/>
      <c r="L2" s="2058"/>
      <c r="M2" s="2058"/>
    </row>
    <row r="3" spans="1:33" ht="18" customHeight="1" thickBot="1">
      <c r="A3" s="833" t="s">
        <v>1727</v>
      </c>
      <c r="B3" s="834">
        <f ca="1">IF(ISERROR(B2*10000/F43),0,ROUND(B2*10000/F43,0))</f>
        <v>10990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607</v>
      </c>
      <c r="D5" s="2521" t="s">
        <v>2464</v>
      </c>
      <c r="E5" s="2515"/>
      <c r="F5" s="2516"/>
      <c r="G5" s="1592"/>
      <c r="H5" s="781">
        <v>1</v>
      </c>
      <c r="I5" s="782" t="s">
        <v>2461</v>
      </c>
      <c r="J5" s="55">
        <f ca="1">J6+J10+J12</f>
        <v>0</v>
      </c>
      <c r="K5" s="2521" t="s">
        <v>2464</v>
      </c>
      <c r="L5" s="2515"/>
      <c r="M5" s="2516"/>
    </row>
    <row r="6" spans="1:33" ht="18" customHeight="1">
      <c r="A6" s="1831" t="s">
        <v>1824</v>
      </c>
      <c r="B6" s="3800" t="s">
        <v>2466</v>
      </c>
      <c r="C6" s="783">
        <f ca="1">ROUND(F6*F8*F7*(1-F9)/10000,0)</f>
        <v>607</v>
      </c>
      <c r="D6" s="2522" t="s">
        <v>2465</v>
      </c>
      <c r="E6" s="784" t="s">
        <v>1738</v>
      </c>
      <c r="F6" s="785">
        <f ca="1">INDIRECT("'数据-取费表'!u"&amp;$G$1)</f>
        <v>2</v>
      </c>
      <c r="G6" s="1592"/>
      <c r="H6" s="2529" t="s">
        <v>1824</v>
      </c>
      <c r="I6" s="3800" t="s">
        <v>2466</v>
      </c>
      <c r="J6" s="783">
        <f ca="1">ROUND(M6*M8*M7*(1-M9)/10000,0)</f>
        <v>0</v>
      </c>
      <c r="K6" s="341" t="s">
        <v>1737</v>
      </c>
      <c r="L6" s="784" t="s">
        <v>1738</v>
      </c>
      <c r="M6" s="785">
        <f ca="1">INDIRECT("'数据-取费表'!z"&amp;$G$1)</f>
        <v>0</v>
      </c>
    </row>
    <row r="7" spans="1:33" ht="18" customHeight="1">
      <c r="A7" s="2525"/>
      <c r="B7" s="3801"/>
      <c r="C7" s="788"/>
      <c r="D7" s="789"/>
      <c r="E7" s="784" t="s">
        <v>1739</v>
      </c>
      <c r="F7" s="785">
        <f ca="1">IF(INDIRECT("'数据-取费表'!ah"&amp;$G$1)="",INDIRECT("'数据-取费表'!k"&amp;$G$1),INDIRECT("'数据-取费表'!ah"&amp;$G$1))</f>
        <v>8749.6</v>
      </c>
      <c r="G7" s="1592"/>
      <c r="H7" s="2514"/>
      <c r="I7" s="3801"/>
      <c r="J7" s="788"/>
      <c r="K7" s="789"/>
      <c r="L7" s="784" t="s">
        <v>1739</v>
      </c>
      <c r="M7" s="785">
        <f ca="1">F7</f>
        <v>8749.6</v>
      </c>
    </row>
    <row r="8" spans="1:33" ht="18" customHeight="1">
      <c r="A8" s="2518"/>
      <c r="B8" s="3802"/>
      <c r="C8" s="788"/>
      <c r="D8" s="789"/>
      <c r="E8" s="784" t="s">
        <v>1740</v>
      </c>
      <c r="F8" s="785">
        <f ca="1">INDIRECT("'数据-取费表'!ai"&amp;$G$1)</f>
        <v>365</v>
      </c>
      <c r="G8" s="1592"/>
      <c r="H8" s="2514"/>
      <c r="I8" s="3802"/>
      <c r="J8" s="788"/>
      <c r="K8" s="789"/>
      <c r="L8" s="784" t="s">
        <v>1740</v>
      </c>
      <c r="M8" s="785">
        <f ca="1">INDIRECT("'数据-取费表'!ai"&amp;$G$1)</f>
        <v>365</v>
      </c>
    </row>
    <row r="9" spans="1:33" ht="18" customHeight="1">
      <c r="A9" s="786"/>
      <c r="B9" s="3803"/>
      <c r="C9" s="788"/>
      <c r="D9" s="789"/>
      <c r="E9" s="784" t="s">
        <v>1741</v>
      </c>
      <c r="F9" s="794">
        <f ca="1">INDIRECT("'数据-取费表'!w"&amp;$G$1)</f>
        <v>0.05</v>
      </c>
      <c r="G9" s="1592"/>
      <c r="H9" s="2530"/>
      <c r="I9" s="380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1440</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1619</v>
      </c>
      <c r="D14" s="3179" t="s">
        <v>1745</v>
      </c>
      <c r="E14" s="3180"/>
      <c r="F14" s="805"/>
      <c r="G14" s="1592"/>
      <c r="H14" s="1649" t="s">
        <v>1824</v>
      </c>
      <c r="I14" s="2232" t="s">
        <v>2827</v>
      </c>
      <c r="J14" s="53">
        <f ca="1">C29</f>
        <v>2400</v>
      </c>
      <c r="K14" s="26"/>
      <c r="L14" s="801"/>
      <c r="M14" s="802"/>
    </row>
    <row r="15" spans="1:33" s="2065" customFormat="1" ht="18" customHeight="1" thickBot="1">
      <c r="A15" s="1648" t="s">
        <v>1832</v>
      </c>
      <c r="B15" s="784" t="s">
        <v>646</v>
      </c>
      <c r="C15" s="53">
        <f ca="1">ROUND(C14*F15,0)</f>
        <v>49</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206</v>
      </c>
      <c r="K16" s="1822" t="s">
        <v>1750</v>
      </c>
      <c r="L16" s="3181"/>
      <c r="M16" s="2516"/>
    </row>
    <row r="17" spans="1:33" s="2065" customFormat="1" ht="18" customHeight="1">
      <c r="A17" s="1648" t="s">
        <v>1887</v>
      </c>
      <c r="B17" s="784" t="s">
        <v>652</v>
      </c>
      <c r="C17" s="53">
        <f ca="1">ROUND(F17*(F43+INDIRECT("'数据-取费表'!S"&amp;$G$1))/10000,0)</f>
        <v>175</v>
      </c>
      <c r="D17" s="784" t="s">
        <v>1751</v>
      </c>
      <c r="E17" s="784" t="s">
        <v>1752</v>
      </c>
      <c r="F17" s="56">
        <f>'数据-取费表'!B35</f>
        <v>200</v>
      </c>
      <c r="G17" s="1593"/>
      <c r="H17" s="1649" t="s">
        <v>1824</v>
      </c>
      <c r="I17" s="784" t="s">
        <v>655</v>
      </c>
      <c r="J17" s="53">
        <f ca="1">ROUND(IF(项目基本情况!B11="自然人",J5*M17,J18+J19+J20),0)</f>
        <v>206</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24</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1867</v>
      </c>
      <c r="D19" s="261" t="s">
        <v>1757</v>
      </c>
      <c r="E19" s="3183"/>
      <c r="F19" s="56"/>
      <c r="G19" s="1592"/>
      <c r="H19" s="1648" t="s">
        <v>1832</v>
      </c>
      <c r="I19" s="784" t="s">
        <v>1758</v>
      </c>
      <c r="J19" s="53">
        <f ca="1">IF(K19="按租金收入计税",ROUND(J5*M19,1),ROUND(C29*F33*0.7,1))</f>
        <v>201.6</v>
      </c>
      <c r="K19" s="811" t="s">
        <v>664</v>
      </c>
      <c r="L19" s="784" t="s">
        <v>1747</v>
      </c>
      <c r="M19" s="809">
        <f>IF(K19="按租金收入计税",'数据-取费表'!B51,'数据-取费表'!B50)</f>
        <v>1.2E-2</v>
      </c>
    </row>
    <row r="20" spans="1:33" s="2065" customFormat="1" ht="18" customHeight="1">
      <c r="A20" s="1649" t="s">
        <v>1889</v>
      </c>
      <c r="B20" s="784" t="s">
        <v>665</v>
      </c>
      <c r="C20" s="53">
        <f ca="1">ROUND(C19*F20,0)</f>
        <v>37</v>
      </c>
      <c r="D20" s="812" t="s">
        <v>1759</v>
      </c>
      <c r="E20" s="784" t="s">
        <v>1747</v>
      </c>
      <c r="F20" s="809">
        <f>'数据-取费表'!B37</f>
        <v>0.02</v>
      </c>
      <c r="G20" s="1593"/>
      <c r="H20" s="1651" t="s">
        <v>1833</v>
      </c>
      <c r="I20" s="341" t="s">
        <v>1760</v>
      </c>
      <c r="J20" s="54">
        <f ca="1">ROUND(M20*M21/10000,0)</f>
        <v>4</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26354.84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45</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-206</v>
      </c>
      <c r="K25" s="2573" t="s">
        <v>1777</v>
      </c>
      <c r="L25" s="2574"/>
      <c r="M25" s="2575"/>
    </row>
    <row r="26" spans="1:33" ht="18" customHeight="1">
      <c r="A26" s="1648" t="s">
        <v>1831</v>
      </c>
      <c r="B26" s="784" t="s">
        <v>2441</v>
      </c>
      <c r="C26" s="53">
        <f ca="1">ROUND((C19+C20)*F26,0)</f>
        <v>267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2400</v>
      </c>
      <c r="D29" s="2570"/>
      <c r="E29" s="2571"/>
      <c r="F29" s="2572"/>
      <c r="G29" s="1593"/>
      <c r="H29" s="823" t="s">
        <v>1787</v>
      </c>
      <c r="I29" s="824" t="s">
        <v>1788</v>
      </c>
      <c r="J29" s="825">
        <f ca="1">ROUND(J26/(1+F40)^F41,0)</f>
        <v>0</v>
      </c>
      <c r="K29" s="826" t="s">
        <v>1789</v>
      </c>
      <c r="L29" s="827"/>
      <c r="M29" s="828">
        <f ca="1">INDIRECT("'数据-取费表'!k"&amp;$G$1)</f>
        <v>8749.6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109</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109.2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32.4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72.8</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4</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26354.84</v>
      </c>
      <c r="G35" s="2063"/>
      <c r="H35" s="2066"/>
      <c r="I35" s="837" t="s">
        <v>1814</v>
      </c>
      <c r="J35" s="838">
        <f ca="1">ROUND(C13*J36,0)</f>
        <v>101</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498</v>
      </c>
      <c r="D39" s="2573" t="s">
        <v>1777</v>
      </c>
      <c r="E39" s="2574"/>
      <c r="F39" s="2575"/>
      <c r="G39" s="2063"/>
      <c r="H39" s="2078"/>
      <c r="I39" s="837" t="s">
        <v>1818</v>
      </c>
      <c r="J39" s="845">
        <f ca="1">ROUND(J35/C39,3)</f>
        <v>0.20300000000000001</v>
      </c>
      <c r="K39" s="2084"/>
      <c r="L39" s="2078"/>
      <c r="M39" s="2078"/>
    </row>
    <row r="40" spans="1:18" ht="18" customHeight="1">
      <c r="A40" s="781" t="s">
        <v>1780</v>
      </c>
      <c r="B40" s="2233" t="s">
        <v>2303</v>
      </c>
      <c r="C40" s="783">
        <f ca="1">ROUND(C39*(1-((1+F42)/(1+F40))^F41)/(F40-F42),0)</f>
        <v>9616</v>
      </c>
      <c r="D40" s="814" t="s">
        <v>1781</v>
      </c>
      <c r="E40" s="784" t="s">
        <v>2422</v>
      </c>
      <c r="F40" s="794">
        <f ca="1">INDIRECT("'数据-取费表'!I"&amp;$G$1)</f>
        <v>0.04</v>
      </c>
      <c r="G40" s="2063"/>
      <c r="H40" s="2063"/>
      <c r="I40" s="837" t="s">
        <v>1819</v>
      </c>
      <c r="J40" s="845">
        <f ca="1">1-J39</f>
        <v>0.79699999999999993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10990</v>
      </c>
      <c r="D43" s="826" t="s">
        <v>1811</v>
      </c>
      <c r="E43" s="827" t="s">
        <v>1812</v>
      </c>
      <c r="F43" s="828">
        <f ca="1">INDIRECT("'数据-取费表'!k"&amp;$G$1)</f>
        <v>8749.6</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-9681</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9616</v>
      </c>
      <c r="R48" s="2424" t="s">
        <v>2383</v>
      </c>
    </row>
    <row r="49" spans="1:18" s="2060" customFormat="1" ht="18" customHeight="1" thickBot="1">
      <c r="A49" s="786"/>
      <c r="B49" s="787"/>
      <c r="C49" s="788"/>
      <c r="D49" s="789"/>
      <c r="E49" s="784" t="s">
        <v>1739</v>
      </c>
      <c r="F49" s="785">
        <f ca="1">F7</f>
        <v>8749.6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2400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6880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806" t="s">
        <v>2967</v>
      </c>
      <c r="L53" s="380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9616</v>
      </c>
      <c r="R54" s="2428" t="s">
        <v>2395</v>
      </c>
    </row>
    <row r="55" spans="1:18" s="2060" customFormat="1" ht="18" customHeight="1" thickTop="1" thickBot="1">
      <c r="A55" s="797">
        <v>2</v>
      </c>
      <c r="B55" s="798" t="s">
        <v>643</v>
      </c>
      <c r="C55" s="799">
        <f ca="1">C13</f>
        <v>1440</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2400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4</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9616</v>
      </c>
      <c r="R57" s="2424" t="s">
        <v>2383</v>
      </c>
    </row>
    <row r="58" spans="1:18" s="2060" customFormat="1" ht="28.5" customHeight="1" thickBot="1">
      <c r="A58" s="1649" t="s">
        <v>1824</v>
      </c>
      <c r="B58" s="784" t="s">
        <v>655</v>
      </c>
      <c r="C58" s="53">
        <f ca="1">ROUND(IF(项目基本情况!B11="自然人",C47*F58,C59+C60+C61),1)</f>
        <v>4</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4</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26354.84</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9616</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-4</v>
      </c>
      <c r="D66" s="3179" t="s">
        <v>699</v>
      </c>
      <c r="E66" s="3182"/>
      <c r="F66" s="820"/>
      <c r="K66" s="2087"/>
      <c r="O66" s="2423" t="s">
        <v>2382</v>
      </c>
      <c r="P66" s="2424" t="s">
        <v>2408</v>
      </c>
      <c r="Q66" s="2425">
        <f ca="1">C40+J29</f>
        <v>9616</v>
      </c>
      <c r="R66" s="2424" t="s">
        <v>2383</v>
      </c>
    </row>
    <row r="67" spans="1:18" s="2060" customFormat="1" ht="20.25" thickBot="1">
      <c r="A67" s="781" t="s">
        <v>1780</v>
      </c>
      <c r="B67" s="2233" t="s">
        <v>2303</v>
      </c>
      <c r="C67" s="783">
        <f ca="1">ROUND(C66*(1-((1+F69)/(1+F67))^F68)/(F67-F69),0)</f>
        <v>-65</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6880</v>
      </c>
      <c r="R68" s="2431" t="s">
        <v>2419</v>
      </c>
    </row>
    <row r="69" spans="1:18" ht="20.25" thickBot="1">
      <c r="A69" s="790"/>
      <c r="B69" s="791"/>
      <c r="C69" s="792"/>
      <c r="D69" s="816"/>
      <c r="E69" s="784" t="s">
        <v>709</v>
      </c>
      <c r="F69" s="2372"/>
      <c r="O69" s="2426" t="s">
        <v>2387</v>
      </c>
      <c r="P69" s="2432" t="s">
        <v>2401</v>
      </c>
      <c r="Q69" s="2425">
        <f ca="1">ROUND(Q70-Q71*Q72,0)</f>
        <v>397</v>
      </c>
      <c r="R69" s="2428"/>
    </row>
    <row r="70" spans="1:18" ht="15.75" thickBot="1">
      <c r="A70" s="823" t="s">
        <v>1787</v>
      </c>
      <c r="B70" s="824" t="s">
        <v>1810</v>
      </c>
      <c r="C70" s="825">
        <f ca="1">ROUND(C67*10000/F70,0)</f>
        <v>-74</v>
      </c>
      <c r="D70" s="826" t="s">
        <v>1811</v>
      </c>
      <c r="E70" s="827" t="s">
        <v>1812</v>
      </c>
      <c r="F70" s="828">
        <f ca="1">F43</f>
        <v>8749.6</v>
      </c>
      <c r="O70" s="2426" t="s">
        <v>2402</v>
      </c>
      <c r="P70" s="2432" t="s">
        <v>2403</v>
      </c>
      <c r="Q70" s="2425">
        <f ca="1">C39</f>
        <v>498</v>
      </c>
      <c r="R70" s="2424" t="s">
        <v>2383</v>
      </c>
    </row>
    <row r="71" spans="1:18" ht="15.75" thickBot="1">
      <c r="O71" s="2426" t="s">
        <v>2404</v>
      </c>
      <c r="P71" s="2432" t="s">
        <v>2405</v>
      </c>
      <c r="Q71" s="2425">
        <f ca="1">C13</f>
        <v>1440</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9616</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29" priority="6">
      <formula>$L$48&gt;$J$51</formula>
    </cfRule>
  </conditionalFormatting>
  <conditionalFormatting sqref="I55">
    <cfRule type="expression" dxfId="128" priority="7">
      <formula>$J$51&gt;$L$48</formula>
    </cfRule>
  </conditionalFormatting>
  <conditionalFormatting sqref="I60">
    <cfRule type="expression" dxfId="127" priority="5">
      <formula>$J$51&gt;$L$48</formula>
    </cfRule>
  </conditionalFormatting>
  <conditionalFormatting sqref="K60">
    <cfRule type="expression" dxfId="126" priority="4">
      <formula>$L$48&gt;$J$51</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3">
    <cfRule type="expression" dxfId="12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2992</v>
      </c>
      <c r="D1" s="3153" t="s">
        <v>951</v>
      </c>
      <c r="E1" s="2412" t="s">
        <v>2377</v>
      </c>
      <c r="F1" s="2413">
        <f ca="1">J53</f>
        <v>27.09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4499</v>
      </c>
      <c r="C2" s="2058"/>
      <c r="D2" s="2056"/>
      <c r="E2" s="2057"/>
      <c r="F2" s="2057"/>
      <c r="G2" s="1590"/>
      <c r="H2" s="2058"/>
      <c r="I2" s="2058"/>
      <c r="J2" s="2058"/>
      <c r="K2" s="2059"/>
      <c r="L2" s="2058"/>
      <c r="M2" s="2058"/>
    </row>
    <row r="3" spans="1:33" ht="18" customHeight="1" thickBot="1">
      <c r="A3" s="833" t="s">
        <v>1727</v>
      </c>
      <c r="B3" s="834">
        <f ca="1">IF(ISERROR(B2*10000/F43),0,ROUND(B2*10000/F43,0))</f>
        <v>10970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284</v>
      </c>
      <c r="D5" s="2521" t="s">
        <v>2464</v>
      </c>
      <c r="E5" s="2515"/>
      <c r="F5" s="2516"/>
      <c r="G5" s="1592"/>
      <c r="H5" s="781">
        <v>1</v>
      </c>
      <c r="I5" s="782" t="s">
        <v>2461</v>
      </c>
      <c r="J5" s="55">
        <f ca="1">J6+J10+J12</f>
        <v>0</v>
      </c>
      <c r="K5" s="2521" t="s">
        <v>2464</v>
      </c>
      <c r="L5" s="2515"/>
      <c r="M5" s="2516"/>
    </row>
    <row r="6" spans="1:33" ht="18" customHeight="1">
      <c r="A6" s="1831" t="s">
        <v>1824</v>
      </c>
      <c r="B6" s="3800" t="s">
        <v>2466</v>
      </c>
      <c r="C6" s="783">
        <f ca="1">ROUND(F6*F8*F7*(1-F9)/10000,0)</f>
        <v>284</v>
      </c>
      <c r="D6" s="2522" t="s">
        <v>2465</v>
      </c>
      <c r="E6" s="784" t="s">
        <v>1738</v>
      </c>
      <c r="F6" s="785">
        <f ca="1">INDIRECT("'数据-取费表'!u"&amp;$G$1)</f>
        <v>2</v>
      </c>
      <c r="G6" s="1592"/>
      <c r="H6" s="2529" t="s">
        <v>1824</v>
      </c>
      <c r="I6" s="3800" t="s">
        <v>2466</v>
      </c>
      <c r="J6" s="783">
        <f ca="1">ROUND(M6*M8*M7*(1-M9)/10000,0)</f>
        <v>0</v>
      </c>
      <c r="K6" s="341" t="s">
        <v>1737</v>
      </c>
      <c r="L6" s="784" t="s">
        <v>1738</v>
      </c>
      <c r="M6" s="785">
        <f ca="1">INDIRECT("'数据-取费表'!z"&amp;$G$1)</f>
        <v>0</v>
      </c>
    </row>
    <row r="7" spans="1:33" ht="18" customHeight="1">
      <c r="A7" s="2525"/>
      <c r="B7" s="3801"/>
      <c r="C7" s="788"/>
      <c r="D7" s="789"/>
      <c r="E7" s="784" t="s">
        <v>1739</v>
      </c>
      <c r="F7" s="785">
        <f ca="1">IF(INDIRECT("'数据-取费表'!ah"&amp;$G$1)="",INDIRECT("'数据-取费表'!k"&amp;$G$1),INDIRECT("'数据-取费表'!ah"&amp;$G$1))</f>
        <v>4101</v>
      </c>
      <c r="G7" s="1592"/>
      <c r="H7" s="2514"/>
      <c r="I7" s="3801"/>
      <c r="J7" s="788"/>
      <c r="K7" s="789"/>
      <c r="L7" s="784" t="s">
        <v>1739</v>
      </c>
      <c r="M7" s="785">
        <f ca="1">F7</f>
        <v>4101</v>
      </c>
    </row>
    <row r="8" spans="1:33" ht="18" customHeight="1">
      <c r="A8" s="2518"/>
      <c r="B8" s="3802"/>
      <c r="C8" s="788"/>
      <c r="D8" s="789"/>
      <c r="E8" s="784" t="s">
        <v>1740</v>
      </c>
      <c r="F8" s="785">
        <f ca="1">INDIRECT("'数据-取费表'!ai"&amp;$G$1)</f>
        <v>365</v>
      </c>
      <c r="G8" s="1592"/>
      <c r="H8" s="2514"/>
      <c r="I8" s="3802"/>
      <c r="J8" s="788"/>
      <c r="K8" s="789"/>
      <c r="L8" s="784" t="s">
        <v>1740</v>
      </c>
      <c r="M8" s="785">
        <f ca="1">INDIRECT("'数据-取费表'!ai"&amp;$G$1)</f>
        <v>365</v>
      </c>
    </row>
    <row r="9" spans="1:33" ht="18" customHeight="1">
      <c r="A9" s="786"/>
      <c r="B9" s="3803"/>
      <c r="C9" s="788"/>
      <c r="D9" s="789"/>
      <c r="E9" s="784" t="s">
        <v>1741</v>
      </c>
      <c r="F9" s="794">
        <f ca="1">INDIRECT("'数据-取费表'!w"&amp;$G$1)</f>
        <v>0.05</v>
      </c>
      <c r="G9" s="1592"/>
      <c r="H9" s="2530"/>
      <c r="I9" s="380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675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759</v>
      </c>
      <c r="D14" s="3179" t="s">
        <v>1745</v>
      </c>
      <c r="E14" s="3180"/>
      <c r="F14" s="805"/>
      <c r="G14" s="1592"/>
      <c r="H14" s="1649" t="s">
        <v>1824</v>
      </c>
      <c r="I14" s="2232" t="s">
        <v>2827</v>
      </c>
      <c r="J14" s="53">
        <f ca="1">C29</f>
        <v>1125</v>
      </c>
      <c r="K14" s="26"/>
      <c r="L14" s="801"/>
      <c r="M14" s="802"/>
    </row>
    <row r="15" spans="1:33" s="2065" customFormat="1" ht="18" customHeight="1" thickBot="1">
      <c r="A15" s="1648" t="s">
        <v>1832</v>
      </c>
      <c r="B15" s="784" t="s">
        <v>646</v>
      </c>
      <c r="C15" s="53">
        <f ca="1">ROUND(C14*F15,0)</f>
        <v>23</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97</v>
      </c>
      <c r="K16" s="1822" t="s">
        <v>1750</v>
      </c>
      <c r="L16" s="3181"/>
      <c r="M16" s="2516"/>
    </row>
    <row r="17" spans="1:33" s="2065" customFormat="1" ht="18" customHeight="1">
      <c r="A17" s="1648" t="s">
        <v>1887</v>
      </c>
      <c r="B17" s="784" t="s">
        <v>652</v>
      </c>
      <c r="C17" s="53">
        <f ca="1">ROUND(F17*(F43+INDIRECT("'数据-取费表'!S"&amp;$G$1))/10000,0)</f>
        <v>82</v>
      </c>
      <c r="D17" s="784" t="s">
        <v>1751</v>
      </c>
      <c r="E17" s="784" t="s">
        <v>1752</v>
      </c>
      <c r="F17" s="56">
        <f>'数据-取费表'!B35</f>
        <v>200</v>
      </c>
      <c r="G17" s="1593"/>
      <c r="H17" s="1649" t="s">
        <v>1824</v>
      </c>
      <c r="I17" s="784" t="s">
        <v>655</v>
      </c>
      <c r="J17" s="53">
        <f ca="1">ROUND(IF(项目基本情况!B11="自然人",J5*M17,J18+J19+J20),0)</f>
        <v>97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11</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875</v>
      </c>
      <c r="D19" s="261" t="s">
        <v>1757</v>
      </c>
      <c r="E19" s="3183"/>
      <c r="F19" s="56"/>
      <c r="G19" s="1592"/>
      <c r="H19" s="1648" t="s">
        <v>1832</v>
      </c>
      <c r="I19" s="784" t="s">
        <v>1758</v>
      </c>
      <c r="J19" s="53">
        <f ca="1">IF(K19="按租金收入计税",ROUND(J5*M19,1),ROUND(C29*F33*0.7,1))</f>
        <v>94.5</v>
      </c>
      <c r="K19" s="811" t="s">
        <v>664</v>
      </c>
      <c r="L19" s="784" t="s">
        <v>1747</v>
      </c>
      <c r="M19" s="809">
        <f>IF(K19="按租金收入计税",'数据-取费表'!B51,'数据-取费表'!B50)</f>
        <v>1.2E-2</v>
      </c>
    </row>
    <row r="20" spans="1:33" s="2065" customFormat="1" ht="18" customHeight="1">
      <c r="A20" s="1649" t="s">
        <v>1889</v>
      </c>
      <c r="B20" s="784" t="s">
        <v>665</v>
      </c>
      <c r="C20" s="53">
        <f ca="1">ROUND(C19*F20,0)</f>
        <v>18</v>
      </c>
      <c r="D20" s="812" t="s">
        <v>1759</v>
      </c>
      <c r="E20" s="784" t="s">
        <v>1747</v>
      </c>
      <c r="F20" s="809">
        <f>'数据-取费表'!B37</f>
        <v>0.02</v>
      </c>
      <c r="G20" s="1593"/>
      <c r="H20" s="1651" t="s">
        <v>1833</v>
      </c>
      <c r="I20" s="341" t="s">
        <v>1760</v>
      </c>
      <c r="J20" s="54">
        <f ca="1">ROUND(M20*M21/10000,0)</f>
        <v>2</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12352.7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21</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-97</v>
      </c>
      <c r="K25" s="2573" t="s">
        <v>1777</v>
      </c>
      <c r="L25" s="2574"/>
      <c r="M25" s="2575"/>
    </row>
    <row r="26" spans="1:33" ht="18" customHeight="1">
      <c r="A26" s="1648" t="s">
        <v>1831</v>
      </c>
      <c r="B26" s="784" t="s">
        <v>2441</v>
      </c>
      <c r="C26" s="53">
        <f ca="1">ROUND((C19+C20)*F26,0)</f>
        <v>125</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1125</v>
      </c>
      <c r="D29" s="2570"/>
      <c r="E29" s="2571"/>
      <c r="F29" s="2572"/>
      <c r="G29" s="1593"/>
      <c r="H29" s="823" t="s">
        <v>1787</v>
      </c>
      <c r="I29" s="824" t="s">
        <v>1788</v>
      </c>
      <c r="J29" s="825">
        <f ca="1">ROUND(J26/(1+F40)^F41,0)</f>
        <v>0</v>
      </c>
      <c r="K29" s="826" t="s">
        <v>1789</v>
      </c>
      <c r="L29" s="827"/>
      <c r="M29" s="828">
        <f ca="1">INDIRECT("'数据-取费表'!k"&amp;$G$1)</f>
        <v>4101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51.1</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15.1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34.1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12352.7</v>
      </c>
      <c r="G35" s="2063"/>
      <c r="H35" s="2066"/>
      <c r="I35" s="837" t="s">
        <v>1814</v>
      </c>
      <c r="J35" s="838">
        <f ca="1">ROUND(C13*J36,0)</f>
        <v>47</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233</v>
      </c>
      <c r="D39" s="2573" t="s">
        <v>1777</v>
      </c>
      <c r="E39" s="2574"/>
      <c r="F39" s="2575"/>
      <c r="G39" s="2063"/>
      <c r="H39" s="2078"/>
      <c r="I39" s="837" t="s">
        <v>1818</v>
      </c>
      <c r="J39" s="845">
        <f ca="1">ROUND(J35/C39,3)</f>
        <v>0.20200000000000001</v>
      </c>
      <c r="K39" s="2084"/>
      <c r="L39" s="2078"/>
      <c r="M39" s="2078"/>
    </row>
    <row r="40" spans="1:18" ht="18" customHeight="1">
      <c r="A40" s="781" t="s">
        <v>1780</v>
      </c>
      <c r="B40" s="2233" t="s">
        <v>2303</v>
      </c>
      <c r="C40" s="783">
        <f ca="1">ROUND(C39*(1-((1+F42)/(1+F40))^F41)/(F40-F42),0)</f>
        <v>4499</v>
      </c>
      <c r="D40" s="814" t="s">
        <v>1781</v>
      </c>
      <c r="E40" s="784" t="s">
        <v>2422</v>
      </c>
      <c r="F40" s="794">
        <f ca="1">INDIRECT("'数据-取费表'!I"&amp;$G$1)</f>
        <v>0.04</v>
      </c>
      <c r="G40" s="2063"/>
      <c r="H40" s="2063"/>
      <c r="I40" s="837" t="s">
        <v>1819</v>
      </c>
      <c r="J40" s="845">
        <f ca="1">1-J39</f>
        <v>0.79800000000000004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10970</v>
      </c>
      <c r="D43" s="826" t="s">
        <v>1811</v>
      </c>
      <c r="E43" s="827" t="s">
        <v>1812</v>
      </c>
      <c r="F43" s="828">
        <f ca="1">INDIRECT("'数据-取费表'!k"&amp;$G$1)</f>
        <v>4101</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-4532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2353</v>
      </c>
      <c r="K48" s="2392" t="s">
        <v>2354</v>
      </c>
      <c r="L48" s="2393">
        <f ca="1">INDIRECT("'数据-取费表'!f"&amp;$G$1)</f>
        <v>27.09</v>
      </c>
      <c r="O48" s="2423" t="s">
        <v>2382</v>
      </c>
      <c r="P48" s="2424" t="s">
        <v>2408</v>
      </c>
      <c r="Q48" s="2425">
        <f ca="1">C40+J29</f>
        <v>4499</v>
      </c>
      <c r="R48" s="2424" t="s">
        <v>2383</v>
      </c>
    </row>
    <row r="49" spans="1:18" s="2060" customFormat="1" ht="18" customHeight="1" thickBot="1">
      <c r="A49" s="786"/>
      <c r="B49" s="787"/>
      <c r="C49" s="788"/>
      <c r="D49" s="789"/>
      <c r="E49" s="784" t="s">
        <v>1739</v>
      </c>
      <c r="F49" s="785">
        <f ca="1">F7</f>
        <v>4101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1125</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3217</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806" t="s">
        <v>2967</v>
      </c>
      <c r="L53" s="380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4499</v>
      </c>
      <c r="R54" s="2428" t="s">
        <v>2395</v>
      </c>
    </row>
    <row r="55" spans="1:18" s="2060" customFormat="1" ht="18" customHeight="1" thickTop="1" thickBot="1">
      <c r="A55" s="797">
        <v>2</v>
      </c>
      <c r="B55" s="798" t="s">
        <v>643</v>
      </c>
      <c r="C55" s="799">
        <f ca="1">C13</f>
        <v>675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1125</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4499</v>
      </c>
      <c r="R57" s="2424" t="s">
        <v>2383</v>
      </c>
    </row>
    <row r="58" spans="1:18" s="2060" customFormat="1" ht="28.5" customHeight="1" thickBot="1">
      <c r="A58" s="1649" t="s">
        <v>1824</v>
      </c>
      <c r="B58" s="784" t="s">
        <v>655</v>
      </c>
      <c r="C58" s="53">
        <f ca="1">ROUND(IF(项目基本情况!B11="自然人",C47*F58,C59+C60+C61),1)</f>
        <v>1.9</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1.9</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12352.7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4499</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-2</v>
      </c>
      <c r="D66" s="3179" t="s">
        <v>699</v>
      </c>
      <c r="E66" s="3182"/>
      <c r="F66" s="820"/>
      <c r="K66" s="2087"/>
      <c r="O66" s="2423" t="s">
        <v>2382</v>
      </c>
      <c r="P66" s="2424" t="s">
        <v>2408</v>
      </c>
      <c r="Q66" s="2425">
        <f ca="1">C40+J29</f>
        <v>4499</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3217</v>
      </c>
      <c r="R68" s="2431" t="s">
        <v>2419</v>
      </c>
    </row>
    <row r="69" spans="1:18" ht="20.25" thickBot="1">
      <c r="A69" s="790"/>
      <c r="B69" s="791"/>
      <c r="C69" s="792"/>
      <c r="D69" s="816"/>
      <c r="E69" s="784" t="s">
        <v>709</v>
      </c>
      <c r="F69" s="2372"/>
      <c r="O69" s="2426" t="s">
        <v>2387</v>
      </c>
      <c r="P69" s="2432" t="s">
        <v>2401</v>
      </c>
      <c r="Q69" s="2425">
        <f ca="1">ROUND(Q70-Q71*Q72,0)</f>
        <v>186</v>
      </c>
      <c r="R69" s="2428"/>
    </row>
    <row r="70" spans="1:18" ht="15.75" thickBot="1">
      <c r="A70" s="823" t="s">
        <v>1787</v>
      </c>
      <c r="B70" s="824" t="s">
        <v>1810</v>
      </c>
      <c r="C70" s="825">
        <f ca="1">ROUND(C67*10000/F70,0)</f>
        <v>-80</v>
      </c>
      <c r="D70" s="826" t="s">
        <v>1811</v>
      </c>
      <c r="E70" s="827" t="s">
        <v>1812</v>
      </c>
      <c r="F70" s="828">
        <f ca="1">F43</f>
        <v>4101</v>
      </c>
      <c r="O70" s="2426" t="s">
        <v>2402</v>
      </c>
      <c r="P70" s="2432" t="s">
        <v>2403</v>
      </c>
      <c r="Q70" s="2425">
        <f ca="1">C39</f>
        <v>233</v>
      </c>
      <c r="R70" s="2424" t="s">
        <v>2383</v>
      </c>
    </row>
    <row r="71" spans="1:18" ht="15.75" thickBot="1">
      <c r="O71" s="2426" t="s">
        <v>2404</v>
      </c>
      <c r="P71" s="2432" t="s">
        <v>2405</v>
      </c>
      <c r="Q71" s="2425">
        <f ca="1">C13</f>
        <v>675</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4499</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22" priority="6">
      <formula>$L$48&gt;$J$51</formula>
    </cfRule>
  </conditionalFormatting>
  <conditionalFormatting sqref="I55">
    <cfRule type="expression" dxfId="121" priority="7">
      <formula>$J$51&gt;$L$48</formula>
    </cfRule>
  </conditionalFormatting>
  <conditionalFormatting sqref="I60">
    <cfRule type="expression" dxfId="120" priority="5">
      <formula>$J$51&gt;$L$48</formula>
    </cfRule>
  </conditionalFormatting>
  <conditionalFormatting sqref="K60">
    <cfRule type="expression" dxfId="119" priority="4">
      <formula>$L$48&gt;$J$51</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2993</v>
      </c>
      <c r="D1" s="3153" t="s">
        <v>951</v>
      </c>
      <c r="E1" s="2412" t="s">
        <v>2377</v>
      </c>
      <c r="F1" s="2413">
        <f ca="1">J53</f>
        <v>27.09</v>
      </c>
      <c r="G1" s="774">
        <f>MATCH(C1,'数据-取费表'!A6:A16,0)+5</f>
        <v>11</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3572</v>
      </c>
      <c r="C2" s="2058"/>
      <c r="D2" s="2056"/>
      <c r="E2" s="2057"/>
      <c r="F2" s="2057"/>
      <c r="G2" s="1590"/>
      <c r="H2" s="2058"/>
      <c r="I2" s="2058"/>
      <c r="J2" s="2058"/>
      <c r="K2" s="2059"/>
      <c r="L2" s="2058"/>
      <c r="M2" s="2058"/>
    </row>
    <row r="3" spans="1:33" ht="18" customHeight="1" thickBot="1">
      <c r="A3" s="833" t="s">
        <v>1727</v>
      </c>
      <c r="B3" s="834">
        <f ca="1">IF(ISERROR(B2*10000/F43),0,ROUND(B2*10000/F43,0))</f>
        <v>10940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1824</v>
      </c>
      <c r="B6" s="3800" t="s">
        <v>2466</v>
      </c>
      <c r="C6" s="783">
        <f ca="1">ROUND(F6*F8*F7*(1-F9)/10000,0)</f>
        <v>226</v>
      </c>
      <c r="D6" s="2522" t="s">
        <v>2465</v>
      </c>
      <c r="E6" s="784" t="s">
        <v>1738</v>
      </c>
      <c r="F6" s="785">
        <f ca="1">INDIRECT("'数据-取费表'!u"&amp;$G$1)</f>
        <v>2</v>
      </c>
      <c r="G6" s="1592"/>
      <c r="H6" s="2529" t="s">
        <v>1824</v>
      </c>
      <c r="I6" s="3800" t="s">
        <v>2466</v>
      </c>
      <c r="J6" s="783">
        <f ca="1">ROUND(M6*M8*M7*(1-M9)/10000,0)</f>
        <v>0</v>
      </c>
      <c r="K6" s="341" t="s">
        <v>1737</v>
      </c>
      <c r="L6" s="784" t="s">
        <v>1738</v>
      </c>
      <c r="M6" s="785">
        <f ca="1">INDIRECT("'数据-取费表'!z"&amp;$G$1)</f>
        <v>0</v>
      </c>
    </row>
    <row r="7" spans="1:33" ht="18" customHeight="1">
      <c r="A7" s="2525"/>
      <c r="B7" s="3801"/>
      <c r="C7" s="788"/>
      <c r="D7" s="789"/>
      <c r="E7" s="784" t="s">
        <v>1739</v>
      </c>
      <c r="F7" s="785">
        <f ca="1">IF(INDIRECT("'数据-取费表'!ah"&amp;$G$1)="",INDIRECT("'数据-取费表'!k"&amp;$G$1),INDIRECT("'数据-取费表'!ah"&amp;$G$1))</f>
        <v>3265</v>
      </c>
      <c r="G7" s="1592"/>
      <c r="H7" s="2514"/>
      <c r="I7" s="3801"/>
      <c r="J7" s="788"/>
      <c r="K7" s="789"/>
      <c r="L7" s="784" t="s">
        <v>1739</v>
      </c>
      <c r="M7" s="785">
        <f ca="1">F7</f>
        <v>3265</v>
      </c>
    </row>
    <row r="8" spans="1:33" ht="18" customHeight="1">
      <c r="A8" s="2518"/>
      <c r="B8" s="3802"/>
      <c r="C8" s="788"/>
      <c r="D8" s="789"/>
      <c r="E8" s="784" t="s">
        <v>1740</v>
      </c>
      <c r="F8" s="785">
        <f ca="1">INDIRECT("'数据-取费表'!ai"&amp;$G$1)</f>
        <v>365</v>
      </c>
      <c r="G8" s="1592"/>
      <c r="H8" s="2514"/>
      <c r="I8" s="3802"/>
      <c r="J8" s="788"/>
      <c r="K8" s="789"/>
      <c r="L8" s="784" t="s">
        <v>1740</v>
      </c>
      <c r="M8" s="785">
        <f ca="1">INDIRECT("'数据-取费表'!ai"&amp;$G$1)</f>
        <v>365</v>
      </c>
    </row>
    <row r="9" spans="1:33" ht="18" customHeight="1">
      <c r="A9" s="786"/>
      <c r="B9" s="3803"/>
      <c r="C9" s="788"/>
      <c r="D9" s="789"/>
      <c r="E9" s="784" t="s">
        <v>1741</v>
      </c>
      <c r="F9" s="794">
        <f ca="1">INDIRECT("'数据-取费表'!w"&amp;$G$1)</f>
        <v>0.05</v>
      </c>
      <c r="G9" s="1592"/>
      <c r="H9" s="2530"/>
      <c r="I9" s="3802"/>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577</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653</v>
      </c>
      <c r="D14" s="3179" t="s">
        <v>1745</v>
      </c>
      <c r="E14" s="3180"/>
      <c r="F14" s="805"/>
      <c r="G14" s="1592"/>
      <c r="H14" s="1649" t="s">
        <v>1824</v>
      </c>
      <c r="I14" s="2232" t="s">
        <v>2827</v>
      </c>
      <c r="J14" s="53">
        <f ca="1">C29</f>
        <v>962</v>
      </c>
      <c r="K14" s="26"/>
      <c r="L14" s="801"/>
      <c r="M14" s="802"/>
    </row>
    <row r="15" spans="1:33" s="2065" customFormat="1" ht="18" customHeight="1" thickBot="1">
      <c r="A15" s="1648" t="s">
        <v>1832</v>
      </c>
      <c r="B15" s="784" t="s">
        <v>646</v>
      </c>
      <c r="C15" s="53">
        <f ca="1">ROUND(C14*F15,0)</f>
        <v>20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82</v>
      </c>
      <c r="K16" s="1822" t="s">
        <v>1750</v>
      </c>
      <c r="L16" s="3181"/>
      <c r="M16" s="2516"/>
    </row>
    <row r="17" spans="1:33" s="2065" customFormat="1" ht="18" customHeight="1">
      <c r="A17" s="1648" t="s">
        <v>1887</v>
      </c>
      <c r="B17" s="784" t="s">
        <v>652</v>
      </c>
      <c r="C17" s="53">
        <f ca="1">ROUND(F17*(F43+INDIRECT("'数据-取费表'!S"&amp;$G$1))/10000,0)</f>
        <v>65</v>
      </c>
      <c r="D17" s="784" t="s">
        <v>1751</v>
      </c>
      <c r="E17" s="784" t="s">
        <v>1752</v>
      </c>
      <c r="F17" s="56">
        <f>'数据-取费表'!B35</f>
        <v>200</v>
      </c>
      <c r="G17" s="1593"/>
      <c r="H17" s="1649" t="s">
        <v>1824</v>
      </c>
      <c r="I17" s="784" t="s">
        <v>655</v>
      </c>
      <c r="J17" s="53">
        <f ca="1">ROUND(IF(项目基本情况!B11="自然人",J5*M17,J18+J19+J20),0)</f>
        <v>82</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748</v>
      </c>
      <c r="D19" s="261" t="s">
        <v>1757</v>
      </c>
      <c r="E19" s="3183"/>
      <c r="F19" s="56"/>
      <c r="G19" s="1592"/>
      <c r="H19" s="1648" t="s">
        <v>1832</v>
      </c>
      <c r="I19" s="784" t="s">
        <v>1758</v>
      </c>
      <c r="J19" s="53">
        <f ca="1">IF(K19="按租金收入计税",ROUND(J5*M19,1),ROUND(C29*F33*0.7,1))</f>
        <v>80.8</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9834.57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18</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-82</v>
      </c>
      <c r="K25" s="2573" t="s">
        <v>1777</v>
      </c>
      <c r="L25" s="2574"/>
      <c r="M25" s="2575"/>
    </row>
    <row r="26" spans="1:33" ht="18" customHeight="1">
      <c r="A26" s="1648" t="s">
        <v>1831</v>
      </c>
      <c r="B26" s="784" t="s">
        <v>2441</v>
      </c>
      <c r="C26" s="53">
        <f ca="1">ROUND((C19+C20)*F26,0)</f>
        <v>107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962</v>
      </c>
      <c r="D29" s="2570"/>
      <c r="E29" s="2571"/>
      <c r="F29" s="2572"/>
      <c r="G29" s="1593"/>
      <c r="H29" s="823" t="s">
        <v>1787</v>
      </c>
      <c r="I29" s="824" t="s">
        <v>1788</v>
      </c>
      <c r="J29" s="825">
        <f ca="1">ROUND(J26/(1+F40)^F41,0)</f>
        <v>0</v>
      </c>
      <c r="K29" s="826" t="s">
        <v>1789</v>
      </c>
      <c r="L29" s="827"/>
      <c r="M29" s="828">
        <f ca="1">INDIRECT("'数据-取费表'!k"&amp;$G$1)</f>
        <v>3265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41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40.700000000000003</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12.1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27.1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1.5</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9834.57</v>
      </c>
      <c r="G35" s="2063"/>
      <c r="H35" s="2066"/>
      <c r="I35" s="837" t="s">
        <v>1814</v>
      </c>
      <c r="J35" s="838">
        <f ca="1">ROUND(C13*J36,0)</f>
        <v>40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185</v>
      </c>
      <c r="D39" s="2573" t="s">
        <v>1777</v>
      </c>
      <c r="E39" s="2574"/>
      <c r="F39" s="2575"/>
      <c r="G39" s="2063"/>
      <c r="H39" s="2078"/>
      <c r="I39" s="837" t="s">
        <v>1818</v>
      </c>
      <c r="J39" s="845">
        <f ca="1">ROUND(J35/C39,3)</f>
        <v>0.216</v>
      </c>
      <c r="K39" s="2084"/>
      <c r="L39" s="2078"/>
      <c r="M39" s="2078"/>
    </row>
    <row r="40" spans="1:18" ht="18" customHeight="1">
      <c r="A40" s="781" t="s">
        <v>1780</v>
      </c>
      <c r="B40" s="2233" t="s">
        <v>2303</v>
      </c>
      <c r="C40" s="783">
        <f ca="1">ROUND(C39*(1-((1+F42)/(1+F40))^F41)/(F40-F42),0)</f>
        <v>3572</v>
      </c>
      <c r="D40" s="814" t="s">
        <v>1781</v>
      </c>
      <c r="E40" s="784" t="s">
        <v>2422</v>
      </c>
      <c r="F40" s="794">
        <f ca="1">INDIRECT("'数据-取费表'!I"&amp;$G$1)</f>
        <v>0.04</v>
      </c>
      <c r="G40" s="2063"/>
      <c r="H40" s="2063"/>
      <c r="I40" s="837" t="s">
        <v>1819</v>
      </c>
      <c r="J40" s="845">
        <f ca="1">1-J39</f>
        <v>0.78400000000000003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0.16200000000000001</v>
      </c>
      <c r="K42" s="2083"/>
      <c r="L42" s="1989"/>
      <c r="M42" s="1989"/>
    </row>
    <row r="43" spans="1:18" ht="18" customHeight="1" thickBot="1">
      <c r="A43" s="823" t="s">
        <v>1787</v>
      </c>
      <c r="B43" s="824" t="s">
        <v>1810</v>
      </c>
      <c r="C43" s="825">
        <f ca="1">ROUND(C40*10000/F43,0)</f>
        <v>10940</v>
      </c>
      <c r="D43" s="826" t="s">
        <v>1811</v>
      </c>
      <c r="E43" s="827" t="s">
        <v>1812</v>
      </c>
      <c r="F43" s="828">
        <f ca="1">INDIRECT("'数据-取费表'!k"&amp;$G$1)</f>
        <v>3265</v>
      </c>
      <c r="G43" s="2063"/>
      <c r="H43" s="1989"/>
      <c r="I43" s="847" t="s">
        <v>1822</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-3605</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3572</v>
      </c>
      <c r="R48" s="2424" t="s">
        <v>2383</v>
      </c>
    </row>
    <row r="49" spans="1:18" s="2060" customFormat="1" ht="18" customHeight="1" thickBot="1">
      <c r="A49" s="786"/>
      <c r="B49" s="787"/>
      <c r="C49" s="788"/>
      <c r="D49" s="789"/>
      <c r="E49" s="784" t="s">
        <v>1739</v>
      </c>
      <c r="F49" s="785">
        <f ca="1">F7</f>
        <v>3265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962</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2505</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806" t="s">
        <v>2967</v>
      </c>
      <c r="L53" s="3807"/>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3572</v>
      </c>
      <c r="R54" s="2428" t="s">
        <v>2395</v>
      </c>
    </row>
    <row r="55" spans="1:18" s="2060" customFormat="1" ht="18" customHeight="1" thickTop="1" thickBot="1">
      <c r="A55" s="797">
        <v>2</v>
      </c>
      <c r="B55" s="798" t="s">
        <v>643</v>
      </c>
      <c r="C55" s="799">
        <f ca="1">C13</f>
        <v>577</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962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3572</v>
      </c>
      <c r="R57" s="2424" t="s">
        <v>2383</v>
      </c>
    </row>
    <row r="58" spans="1:18" s="2060" customFormat="1" ht="28.5" customHeight="1" thickBot="1">
      <c r="A58" s="1649" t="s">
        <v>1824</v>
      </c>
      <c r="B58" s="784" t="s">
        <v>655</v>
      </c>
      <c r="C58" s="53">
        <f ca="1">ROUND(IF(项目基本情况!B11="自然人",C47*F58,C59+C60+C61),1)</f>
        <v>1.5</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1.5</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9834.57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3572</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-2</v>
      </c>
      <c r="D66" s="3179" t="s">
        <v>699</v>
      </c>
      <c r="E66" s="3182"/>
      <c r="F66" s="820"/>
      <c r="K66" s="2087"/>
      <c r="O66" s="2423" t="s">
        <v>2382</v>
      </c>
      <c r="P66" s="2424" t="s">
        <v>2408</v>
      </c>
      <c r="Q66" s="2425">
        <f ca="1">C40+J29</f>
        <v>3572</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2505</v>
      </c>
      <c r="R68" s="2431" t="s">
        <v>2419</v>
      </c>
    </row>
    <row r="69" spans="1:18" ht="20.25" thickBot="1">
      <c r="A69" s="790"/>
      <c r="B69" s="791"/>
      <c r="C69" s="792"/>
      <c r="D69" s="816"/>
      <c r="E69" s="784" t="s">
        <v>709</v>
      </c>
      <c r="F69" s="2372"/>
      <c r="O69" s="2426" t="s">
        <v>2387</v>
      </c>
      <c r="P69" s="2432" t="s">
        <v>2401</v>
      </c>
      <c r="Q69" s="2425">
        <f ca="1">ROUND(Q70-Q71*Q72,0)</f>
        <v>145</v>
      </c>
      <c r="R69" s="2428"/>
    </row>
    <row r="70" spans="1:18" ht="15.75" thickBot="1">
      <c r="A70" s="823" t="s">
        <v>1787</v>
      </c>
      <c r="B70" s="824" t="s">
        <v>1810</v>
      </c>
      <c r="C70" s="825">
        <f ca="1">ROUND(C67*10000/F70,0)</f>
        <v>-101</v>
      </c>
      <c r="D70" s="826" t="s">
        <v>1811</v>
      </c>
      <c r="E70" s="827" t="s">
        <v>1812</v>
      </c>
      <c r="F70" s="828">
        <f ca="1">F43</f>
        <v>3265</v>
      </c>
      <c r="O70" s="2426" t="s">
        <v>2402</v>
      </c>
      <c r="P70" s="2432" t="s">
        <v>2403</v>
      </c>
      <c r="Q70" s="2425">
        <f ca="1">C39</f>
        <v>185</v>
      </c>
      <c r="R70" s="2424" t="s">
        <v>2383</v>
      </c>
    </row>
    <row r="71" spans="1:18" ht="15.75" thickBot="1">
      <c r="O71" s="2426" t="s">
        <v>2404</v>
      </c>
      <c r="P71" s="2432" t="s">
        <v>2405</v>
      </c>
      <c r="Q71" s="2425">
        <f ca="1">C13</f>
        <v>577</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3572</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E29" sqref="E2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21759.4</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1635</v>
      </c>
      <c r="T1" s="2961" t="s">
        <v>2786</v>
      </c>
      <c r="U1" s="2961" t="s">
        <v>2787</v>
      </c>
      <c r="V1" s="2961" t="s">
        <v>2788</v>
      </c>
      <c r="W1" s="2190"/>
      <c r="X1" s="2190"/>
      <c r="Y1" s="2190"/>
      <c r="Z1" s="2190"/>
      <c r="AA1" s="2190"/>
      <c r="AB1" s="2190"/>
      <c r="AC1" s="2191"/>
    </row>
    <row r="2" spans="1:39" ht="15.75">
      <c r="A2" s="1406" t="s">
        <v>919</v>
      </c>
      <c r="B2" s="1038">
        <f>C26</f>
        <v>3233</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ROUND($C$5*$C$18*$C$19*$C$20*S2*$C$24,0)</f>
        <v>4979</v>
      </c>
      <c r="U2" s="2951"/>
      <c r="V2" s="2962">
        <f>ROUND(T2*U2/10000,0)</f>
        <v>0</v>
      </c>
      <c r="W2" s="2190"/>
      <c r="X2" s="2190"/>
      <c r="Y2" s="2190"/>
      <c r="Z2" s="2190"/>
      <c r="AA2" s="2190"/>
      <c r="AB2" s="2190"/>
      <c r="AC2" s="2191"/>
    </row>
    <row r="3" spans="1:39" ht="15.75">
      <c r="A3" s="1411" t="s">
        <v>1687</v>
      </c>
      <c r="B3" s="1038">
        <f>ROUND(B2*10000/D1,0)</f>
        <v>1486</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si="0">ROUND($C$5*$C$18*$C$19*$C$20*S3*$C$24,0)</f>
        <v>3574</v>
      </c>
      <c r="U3" s="2951"/>
      <c r="V3" s="2962">
        <f t="shared" ref="V3:V16" si="1">ROUND(T3*U3/10000,0)</f>
        <v>0</v>
      </c>
      <c r="W3" s="2190"/>
      <c r="X3" s="2190"/>
      <c r="Y3" s="2190"/>
      <c r="Z3" s="2190"/>
      <c r="AA3" s="2190"/>
      <c r="AB3" s="2190"/>
      <c r="AC3" s="2191"/>
    </row>
    <row r="4" spans="1:39" ht="28.5">
      <c r="A4" s="1892" t="s">
        <v>2282</v>
      </c>
      <c r="B4" s="2478">
        <f>ROUND(B2*10000/F1,0)</f>
        <v>177</v>
      </c>
      <c r="C4" s="1895" t="s">
        <v>2256</v>
      </c>
      <c r="D4" s="1895">
        <f>ROUND(B2/(F1/666.67),0)</f>
        <v>12</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si="0"/>
        <v>2883</v>
      </c>
      <c r="U4" s="2951"/>
      <c r="V4" s="2962">
        <f t="shared" si="1"/>
        <v>0</v>
      </c>
      <c r="W4" s="2190"/>
      <c r="X4" s="2190"/>
      <c r="Y4" s="2190"/>
      <c r="Z4" s="2190"/>
      <c r="AA4" s="2190"/>
      <c r="AB4" s="2190"/>
      <c r="AC4" s="2191"/>
    </row>
    <row r="5" spans="1:39" s="1421" customFormat="1" ht="15.75"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si="0"/>
        <v>2314</v>
      </c>
      <c r="U5" s="2951"/>
      <c r="V5" s="2962">
        <f t="shared"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 (划拨)'!G2,M1:M12)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si="0"/>
        <v>1970</v>
      </c>
      <c r="U6" s="2951"/>
      <c r="V6" s="2962">
        <f t="shared" si="1"/>
        <v>0</v>
      </c>
      <c r="W6" s="2190"/>
      <c r="X6" s="2190"/>
      <c r="Y6" s="2190"/>
      <c r="Z6" s="2190"/>
      <c r="AA6" s="2190"/>
      <c r="AB6" s="2190"/>
      <c r="AC6" s="2192"/>
      <c r="AD6" s="1419"/>
      <c r="AE6" s="1419"/>
      <c r="AF6" s="1419"/>
      <c r="AG6" s="1419"/>
      <c r="AH6" s="1419"/>
      <c r="AI6" s="1419"/>
      <c r="AJ6" s="1420"/>
    </row>
    <row r="7" spans="1:39" ht="24">
      <c r="A7" s="3777"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si="0"/>
        <v>1733</v>
      </c>
      <c r="U7" s="2951"/>
      <c r="V7" s="2962">
        <f t="shared" si="1"/>
        <v>0</v>
      </c>
      <c r="W7" s="3425" t="s">
        <v>2767</v>
      </c>
      <c r="X7" s="2952" t="str">
        <f>G2</f>
        <v>六级</v>
      </c>
      <c r="Y7" s="2952" t="s">
        <v>2768</v>
      </c>
      <c r="Z7" s="2953">
        <f>G3</f>
        <v>1</v>
      </c>
      <c r="AA7" s="2193"/>
      <c r="AB7" s="2193"/>
      <c r="AC7" s="2194"/>
      <c r="AD7" s="2954"/>
      <c r="AE7" s="2954"/>
      <c r="AF7" s="2954"/>
      <c r="AG7" s="2954"/>
      <c r="AH7" s="2954"/>
      <c r="AI7" s="2954"/>
      <c r="AJ7" s="2955"/>
    </row>
    <row r="8" spans="1:39" ht="15">
      <c r="A8" s="3778"/>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si="0"/>
        <v>0</v>
      </c>
      <c r="U8" s="2951"/>
      <c r="V8" s="2962">
        <f t="shared" si="1"/>
        <v>0</v>
      </c>
      <c r="W8" s="3787" t="s">
        <v>2785</v>
      </c>
      <c r="X8" s="3788"/>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78"/>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si="0"/>
        <v>0</v>
      </c>
      <c r="U9" s="2951"/>
      <c r="V9" s="2962">
        <f t="shared" si="1"/>
        <v>0</v>
      </c>
      <c r="W9" s="3786"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78"/>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si="0"/>
        <v>0</v>
      </c>
      <c r="U10" s="2951"/>
      <c r="V10" s="2962">
        <f t="shared" si="1"/>
        <v>0</v>
      </c>
      <c r="W10" s="3786"/>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78"/>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si="0"/>
        <v>0</v>
      </c>
      <c r="U11" s="2951"/>
      <c r="V11" s="2962">
        <f t="shared" si="1"/>
        <v>0</v>
      </c>
      <c r="W11" s="3786"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777"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si="0"/>
        <v>0</v>
      </c>
      <c r="U12" s="2951"/>
      <c r="V12" s="2962">
        <f t="shared" si="1"/>
        <v>0</v>
      </c>
      <c r="W12" s="3786"/>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79"/>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si="0"/>
        <v>0</v>
      </c>
      <c r="U13" s="2951"/>
      <c r="V13" s="2962">
        <f t="shared" si="1"/>
        <v>0</v>
      </c>
      <c r="W13" s="3786"/>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779"/>
      <c r="B14" s="1451"/>
      <c r="C14" s="1452"/>
      <c r="D14" s="1453"/>
      <c r="E14" s="1453"/>
      <c r="F14" s="1454"/>
      <c r="G14" s="1455" t="s">
        <v>948</v>
      </c>
      <c r="H14" s="1456"/>
      <c r="I14" s="1457"/>
      <c r="J14" s="1458"/>
      <c r="K14" s="1401"/>
      <c r="L14" s="2190"/>
      <c r="M14" s="2190"/>
      <c r="N14" s="2190"/>
      <c r="O14" s="2190"/>
      <c r="P14" s="2190"/>
      <c r="Q14" s="2190"/>
      <c r="R14" s="2962">
        <v>13</v>
      </c>
      <c r="S14" s="2951"/>
      <c r="T14" s="2962">
        <f t="shared" si="0"/>
        <v>0</v>
      </c>
      <c r="U14" s="2951"/>
      <c r="V14" s="2962">
        <f t="shared" si="1"/>
        <v>0</v>
      </c>
      <c r="W14" s="2190"/>
      <c r="X14" s="2190"/>
      <c r="Y14" s="2190"/>
      <c r="Z14" s="2190"/>
      <c r="AA14" s="2190"/>
      <c r="AB14" s="2190"/>
      <c r="AC14" s="2191"/>
    </row>
    <row r="15" spans="1:39" ht="13.5" customHeight="1" thickBot="1">
      <c r="A15" s="3780"/>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975</v>
      </c>
      <c r="N15" s="1428" t="s">
        <v>984</v>
      </c>
      <c r="O15" s="1428" t="s">
        <v>901</v>
      </c>
      <c r="P15" s="1476" t="s">
        <v>985</v>
      </c>
      <c r="Q15" s="2190"/>
      <c r="R15" s="2962">
        <v>14</v>
      </c>
      <c r="S15" s="2951"/>
      <c r="T15" s="2962">
        <f t="shared" si="0"/>
        <v>0</v>
      </c>
      <c r="U15" s="2951"/>
      <c r="V15" s="2962">
        <f t="shared" si="1"/>
        <v>0</v>
      </c>
      <c r="W15" s="2190"/>
      <c r="X15" s="2190"/>
      <c r="Y15" s="2190"/>
      <c r="Z15" s="2190"/>
      <c r="AA15" s="2190"/>
      <c r="AB15" s="2190"/>
      <c r="AC15" s="2191"/>
    </row>
    <row r="16" spans="1:39" ht="24">
      <c r="A16" s="3777"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si="0"/>
        <v>0</v>
      </c>
      <c r="U16" s="2951"/>
      <c r="V16" s="2962">
        <f t="shared" si="1"/>
        <v>0</v>
      </c>
      <c r="W16" s="2193"/>
      <c r="X16" s="2193"/>
      <c r="Y16" s="2193"/>
      <c r="Z16" s="2193"/>
      <c r="AA16" s="2193"/>
      <c r="AB16" s="2193"/>
      <c r="AC16" s="2194"/>
    </row>
    <row r="17" spans="1:40" ht="13.5" thickBot="1">
      <c r="A17" s="3778"/>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f>ROUND(IF(H19="按公示增长率计算",SUMPRODUCT((地价!A3:A22=YEAR(G19)&amp;"-"&amp;ROUNDUP(MONTH(G19)/3,0))*(地价!X2:AB2=E2)*(地价!X3:AB22)),IF(H19="地价指数",M20/M19,(1+I19)^O19)),4)</f>
        <v>1.2557</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v>1</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289</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f>E29+SUM(E33:E39)</f>
        <v>3233</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ROUND(C5*C18*C19*C20*C21*C24,0)</f>
        <v>2972</v>
      </c>
      <c r="D29" s="1504">
        <f>'结果一览表 (基)'!F5</f>
        <v>10879.7</v>
      </c>
      <c r="E29" s="1850">
        <f>ROUND(C29*D29/10000,0)</f>
        <v>3233</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f>ROUND(IF(E2="工业",C29*M39,C29*M38),0)</f>
        <v>446</v>
      </c>
      <c r="D30" s="1510">
        <f>D29</f>
        <v>10879.7</v>
      </c>
      <c r="E30" s="1850">
        <f>ROUND(C30*D30/10000,0)</f>
        <v>485</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83" t="s">
        <v>2962</v>
      </c>
      <c r="B33" s="1524" t="s">
        <v>999</v>
      </c>
      <c r="C33" s="1063">
        <f>ROUND(D5*C19*C20*C24*F33,0)</f>
        <v>0</v>
      </c>
      <c r="D33" s="1537"/>
      <c r="E33" s="1048">
        <f>ROUND(C33*D33/10000,0)</f>
        <v>0</v>
      </c>
      <c r="F33" s="1048">
        <f>SUMIF(修正!A45:A56,G2,修正!B45:B56)</f>
        <v>0.7</v>
      </c>
      <c r="G33" s="1048">
        <f t="shared" ref="G33:G39" si="6">ROUND(IF(E2="工业",C33*$M$39,C33*$M$38),0)</f>
        <v>0</v>
      </c>
      <c r="H33" s="1048">
        <f>D33</f>
        <v>0</v>
      </c>
      <c r="I33" s="1048">
        <f>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84"/>
      <c r="B34" s="1445" t="s">
        <v>1000</v>
      </c>
      <c r="C34" s="1063">
        <f>ROUND(D5*C19*C20*C24*F34,0)</f>
        <v>0</v>
      </c>
      <c r="D34" s="1537"/>
      <c r="E34" s="1048">
        <f t="shared" ref="E34:E39" si="7">ROUND(C34*D34/10000,0)</f>
        <v>0</v>
      </c>
      <c r="F34" s="1048">
        <f>SUMIF(修正!A45:A56,G2,修正!C45:C56)</f>
        <v>0.4</v>
      </c>
      <c r="G34" s="1048">
        <f t="shared" si="6"/>
        <v>0</v>
      </c>
      <c r="H34" s="1048">
        <f t="shared" ref="H34:H39" si="8">D34</f>
        <v>0</v>
      </c>
      <c r="I34" s="1048">
        <f t="shared" ref="I34:I39"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84"/>
      <c r="B35" s="1445" t="s">
        <v>1001</v>
      </c>
      <c r="C35" s="1063">
        <f>ROUND(D5*C19*C20*C24*F35,0)</f>
        <v>0</v>
      </c>
      <c r="D35" s="1537"/>
      <c r="E35" s="1048">
        <f t="shared" si="7"/>
        <v>0</v>
      </c>
      <c r="F35" s="1048">
        <f>SUMIF(修正!A45:A56,G2,修正!D45:D56)</f>
        <v>0.28000000000000003</v>
      </c>
      <c r="G35" s="1048">
        <f t="shared" si="6"/>
        <v>0</v>
      </c>
      <c r="H35" s="1048">
        <f t="shared" si="8"/>
        <v>0</v>
      </c>
      <c r="I35" s="1048">
        <f t="shared"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85"/>
      <c r="B36" s="1445" t="s">
        <v>1002</v>
      </c>
      <c r="C36" s="1063">
        <f>ROUND(D5*C19*C20*C24*F36,0)</f>
        <v>0</v>
      </c>
      <c r="D36" s="1537"/>
      <c r="E36" s="1048">
        <f t="shared" si="7"/>
        <v>0</v>
      </c>
      <c r="F36" s="1048">
        <f>SUMIF(修正!A45:A56,G2,修正!E45:E56)</f>
        <v>0.25</v>
      </c>
      <c r="G36" s="1048">
        <f t="shared" si="6"/>
        <v>0</v>
      </c>
      <c r="H36" s="1048">
        <f t="shared" si="8"/>
        <v>0</v>
      </c>
      <c r="I36" s="1048">
        <f t="shared"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f>ROUND(C5*C19*C20*C24*F37,0)</f>
        <v>668</v>
      </c>
      <c r="D37" s="1537"/>
      <c r="E37" s="1048">
        <f t="shared" si="7"/>
        <v>0</v>
      </c>
      <c r="F37" s="1063">
        <f>SUMIF(修正!A45:A56,G2,修正!F45:F56)</f>
        <v>0.25</v>
      </c>
      <c r="G37" s="1048">
        <f t="shared" si="6"/>
        <v>167</v>
      </c>
      <c r="H37" s="1048">
        <f t="shared" si="8"/>
        <v>0</v>
      </c>
      <c r="I37" s="1048">
        <f t="shared"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f>ROUND(C5*C19*C20*C24*F38,0)</f>
        <v>668</v>
      </c>
      <c r="D38" s="1537"/>
      <c r="E38" s="1048">
        <f t="shared" si="7"/>
        <v>0</v>
      </c>
      <c r="F38" s="1063">
        <f>SUMIF(修正!A45:A56,G2,修正!G45:G56)</f>
        <v>0.25</v>
      </c>
      <c r="G38" s="1048">
        <f t="shared" si="6"/>
        <v>167</v>
      </c>
      <c r="H38" s="1048">
        <f t="shared" si="8"/>
        <v>0</v>
      </c>
      <c r="I38" s="1048">
        <f t="shared"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f>ROUND(C5*C19*C20*C24*F39,0)</f>
        <v>535</v>
      </c>
      <c r="D39" s="1538"/>
      <c r="E39" s="1051">
        <f t="shared"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984</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2252</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估价对象位于海淀区，区域工业成熟度一般，产业集聚程度一般</v>
      </c>
      <c r="C80" s="1050" t="s">
        <v>3184</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3186</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4.25">
      <c r="A83" s="1067" t="s">
        <v>1034</v>
      </c>
      <c r="B83" s="2433" t="str">
        <f>估价对象房地状况!G22</f>
        <v>城市支路</v>
      </c>
      <c r="C83" s="1050" t="s">
        <v>3499</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24">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24">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75"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781" t="s">
        <v>1633</v>
      </c>
      <c r="B90" s="3781"/>
      <c r="C90" s="3781"/>
      <c r="D90" s="3781"/>
      <c r="E90" s="3781"/>
      <c r="F90" s="3781"/>
      <c r="G90" s="3781"/>
      <c r="H90" s="3781"/>
      <c r="I90" s="3781"/>
      <c r="J90" s="3781"/>
      <c r="K90" s="3423"/>
      <c r="L90" s="3423"/>
      <c r="M90" s="3423"/>
      <c r="N90" s="3423"/>
    </row>
    <row r="91" spans="1:40">
      <c r="A91" s="3782" t="s">
        <v>1443</v>
      </c>
      <c r="B91" s="3782" t="s">
        <v>1634</v>
      </c>
      <c r="C91" s="1140" t="s">
        <v>1635</v>
      </c>
      <c r="D91" s="1141"/>
      <c r="E91" s="1141"/>
      <c r="F91" s="1141"/>
      <c r="G91" s="1141"/>
      <c r="H91" s="1141"/>
      <c r="I91" s="1141"/>
      <c r="J91" s="1142"/>
      <c r="K91" s="1134"/>
      <c r="L91" s="1134"/>
      <c r="M91" s="1134"/>
      <c r="N91" s="1134"/>
    </row>
    <row r="92" spans="1:40">
      <c r="A92" s="3782"/>
      <c r="B92" s="3782"/>
      <c r="C92" s="3424" t="s">
        <v>906</v>
      </c>
      <c r="D92" s="3424" t="s">
        <v>884</v>
      </c>
      <c r="E92" s="3424" t="s">
        <v>885</v>
      </c>
      <c r="F92" s="3424" t="s">
        <v>909</v>
      </c>
      <c r="G92" s="3424" t="s">
        <v>887</v>
      </c>
      <c r="H92" s="3424" t="s">
        <v>888</v>
      </c>
      <c r="I92" s="3424" t="s">
        <v>889</v>
      </c>
      <c r="J92" s="3424" t="s">
        <v>890</v>
      </c>
      <c r="K92" s="3424" t="s">
        <v>914</v>
      </c>
      <c r="L92" s="3424" t="s">
        <v>892</v>
      </c>
      <c r="M92" s="3424" t="s">
        <v>893</v>
      </c>
      <c r="N92" s="3424" t="s">
        <v>917</v>
      </c>
    </row>
    <row r="93" spans="1:40">
      <c r="A93" s="3789"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9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9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9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9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9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9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9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89"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790"/>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790"/>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790"/>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790"/>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790"/>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790"/>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790"/>
      <c r="B108" s="379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91"/>
      <c r="B109" s="3793"/>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776" t="s">
        <v>1639</v>
      </c>
      <c r="B110" s="3776"/>
      <c r="C110" s="3776"/>
      <c r="D110" s="3776"/>
      <c r="E110" s="3776"/>
      <c r="F110" s="3776"/>
      <c r="G110" s="3776"/>
      <c r="H110" s="3776"/>
      <c r="I110" s="3776"/>
      <c r="J110" s="3776"/>
      <c r="K110" s="3422"/>
      <c r="L110" s="3422"/>
      <c r="M110" s="3422"/>
      <c r="N110" s="3422"/>
    </row>
    <row r="112" spans="1:14" ht="12.75" thickBot="1"/>
    <row r="113" spans="1:13" ht="25.5"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7"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93.75">
      <c r="A7" s="2898" t="s">
        <v>2751</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2018年5月31日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0" t="s">
        <v>2752</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3" zoomScale="89" zoomScaleNormal="89" workbookViewId="0">
      <selection activeCell="I43" sqref="I4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f>F63</f>
        <v>59036</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f>ROUND(B2*10000/'数据-汇总表'!E3,0)</f>
        <v>9762</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f>IF(B43="单位面积地价",C45,ROUND(B2*10000/'数据-汇总表'!D3,0))</f>
        <v>3241</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216</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733" t="s">
        <v>521</v>
      </c>
      <c r="D6" s="3734"/>
      <c r="E6" s="3834" t="s">
        <v>522</v>
      </c>
      <c r="F6" s="3835"/>
      <c r="G6" s="3733" t="s">
        <v>523</v>
      </c>
      <c r="H6" s="3734"/>
      <c r="I6" s="3733" t="s">
        <v>524</v>
      </c>
      <c r="J6" s="3734"/>
      <c r="K6" s="514" t="s">
        <v>525</v>
      </c>
      <c r="L6" s="2134"/>
      <c r="M6" s="2135"/>
      <c r="N6" s="2135"/>
      <c r="O6" s="2135"/>
      <c r="P6" s="3735" t="s">
        <v>526</v>
      </c>
      <c r="Q6" s="3736"/>
      <c r="R6" s="3721" t="s">
        <v>522</v>
      </c>
      <c r="S6" s="3722"/>
      <c r="T6" s="3721" t="s">
        <v>523</v>
      </c>
      <c r="U6" s="3722"/>
      <c r="V6" s="3741" t="s">
        <v>524</v>
      </c>
      <c r="W6" s="3741"/>
      <c r="X6" s="1567"/>
      <c r="Y6" s="3721" t="s">
        <v>526</v>
      </c>
      <c r="Z6" s="3722"/>
      <c r="AA6" s="3716" t="s">
        <v>522</v>
      </c>
      <c r="AB6" s="3717" t="s">
        <v>523</v>
      </c>
      <c r="AC6" s="3716" t="s">
        <v>524</v>
      </c>
    </row>
    <row r="7" spans="1:29" ht="15">
      <c r="A7" s="515"/>
      <c r="B7" s="516"/>
      <c r="C7" s="3838" t="s">
        <v>3470</v>
      </c>
      <c r="D7" s="3745"/>
      <c r="E7" s="3836" t="s">
        <v>3488</v>
      </c>
      <c r="F7" s="3837"/>
      <c r="G7" s="3744" t="s">
        <v>2931</v>
      </c>
      <c r="H7" s="3745"/>
      <c r="I7" s="3744" t="s">
        <v>2932</v>
      </c>
      <c r="J7" s="3745"/>
      <c r="K7" s="514"/>
      <c r="L7" s="2134"/>
      <c r="M7" s="2135"/>
      <c r="N7" s="2135"/>
      <c r="O7" s="2135"/>
      <c r="P7" s="3737"/>
      <c r="Q7" s="3738"/>
      <c r="R7" s="3723"/>
      <c r="S7" s="3724"/>
      <c r="T7" s="3723"/>
      <c r="U7" s="3724"/>
      <c r="V7" s="3741"/>
      <c r="W7" s="3741"/>
      <c r="X7" s="1567"/>
      <c r="Y7" s="3723"/>
      <c r="Z7" s="3724"/>
      <c r="AA7" s="3717"/>
      <c r="AB7" s="3717"/>
      <c r="AC7" s="3717"/>
    </row>
    <row r="8" spans="1:29" ht="50.25" customHeight="1" thickBot="1">
      <c r="A8" s="517"/>
      <c r="B8" s="518"/>
      <c r="C8" s="3839" t="str">
        <f>项目基本情况!F10</f>
        <v>海淀区西三旗建材城中路2号</v>
      </c>
      <c r="D8" s="3743"/>
      <c r="E8" s="3840" t="str">
        <f>顺义案例!A3</f>
        <v>顺义区天竺综合保税区3-4(C12地块局部)地块</v>
      </c>
      <c r="F8" s="3841"/>
      <c r="G8" s="3742" t="str">
        <f>顺义案例!A4</f>
        <v>顺义区新城第26街区C-19(网内8号地)</v>
      </c>
      <c r="H8" s="3743"/>
      <c r="I8" s="3742" t="str">
        <f>顺义案例!A5</f>
        <v>顺义区赵全营镇SY19-0107-0001至0003(即SY10-0107-6003)地块</v>
      </c>
      <c r="J8" s="3743"/>
      <c r="K8" s="514" t="s">
        <v>527</v>
      </c>
      <c r="L8" s="2134"/>
      <c r="M8" s="2135"/>
      <c r="N8" s="2135"/>
      <c r="O8" s="2135"/>
      <c r="P8" s="3739"/>
      <c r="Q8" s="3740"/>
      <c r="R8" s="3723"/>
      <c r="S8" s="3724"/>
      <c r="T8" s="3725"/>
      <c r="U8" s="3726"/>
      <c r="V8" s="3741"/>
      <c r="W8" s="3741"/>
      <c r="X8" s="1567"/>
      <c r="Y8" s="3725"/>
      <c r="Z8" s="3726"/>
      <c r="AA8" s="3718"/>
      <c r="AB8" s="3718"/>
      <c r="AC8" s="3718"/>
    </row>
    <row r="9" spans="1:29" s="1220" customFormat="1" ht="15.75" thickBot="1">
      <c r="A9" s="2937"/>
      <c r="B9" s="2944" t="s">
        <v>528</v>
      </c>
      <c r="C9" s="519">
        <f>'数据-取费表'!B2</f>
        <v>43251</v>
      </c>
      <c r="D9" s="520">
        <v>100</v>
      </c>
      <c r="E9" s="521" t="str">
        <f>顺义案例!G3</f>
        <v>2017-05-04</v>
      </c>
      <c r="F9" s="522">
        <f>SUMIF(67:67,YEAR(E9)&amp;"-"&amp;INT((MONTH(E9)+2)/3),68:68)</f>
        <v>100</v>
      </c>
      <c r="G9" s="523" t="str">
        <f>顺义案例!G4</f>
        <v>2017-04-21</v>
      </c>
      <c r="H9" s="520">
        <f>SUMIF(67:67,YEAR(G9)&amp;"-"&amp;INT((MONTH(G9)+2)/3),68:68)</f>
        <v>100</v>
      </c>
      <c r="I9" s="523" t="str">
        <f>顺义案例!G5</f>
        <v>2017-04-21</v>
      </c>
      <c r="J9" s="520">
        <f>SUMIF(67:67,YEAR(I9)&amp;"-"&amp;INT((MONTH(I9)+2)/3),68:68)</f>
        <v>100</v>
      </c>
      <c r="K9" s="524"/>
      <c r="L9" s="2136"/>
      <c r="M9" s="2137"/>
      <c r="N9" s="2137"/>
      <c r="O9" s="2137"/>
      <c r="P9" s="3719" t="s">
        <v>529</v>
      </c>
      <c r="Q9" s="3728"/>
      <c r="R9" s="1568" t="s">
        <v>8</v>
      </c>
      <c r="S9" s="1569">
        <f t="shared" ref="S9:S17" si="0">F9</f>
        <v>100</v>
      </c>
      <c r="T9" s="1568" t="s">
        <v>8</v>
      </c>
      <c r="U9" s="1569">
        <f t="shared" ref="U9:U17" si="1">H9</f>
        <v>100</v>
      </c>
      <c r="V9" s="1568" t="s">
        <v>8</v>
      </c>
      <c r="W9" s="1569">
        <f t="shared" ref="W9:W17" si="2">J9</f>
        <v>100</v>
      </c>
      <c r="X9" s="1570"/>
      <c r="Y9" s="3719" t="s">
        <v>529</v>
      </c>
      <c r="Z9" s="3720"/>
      <c r="AA9" s="1571">
        <f>D9/F9</f>
        <v>1</v>
      </c>
      <c r="AB9" s="1571">
        <f>D9/H9</f>
        <v>1</v>
      </c>
      <c r="AC9" s="1571">
        <f>D9/J9</f>
        <v>1</v>
      </c>
    </row>
    <row r="10" spans="1:29" s="1220" customFormat="1" ht="15.75" thickBot="1">
      <c r="A10" s="2938"/>
      <c r="B10" s="2945" t="s">
        <v>530</v>
      </c>
      <c r="C10" s="525" t="s">
        <v>531</v>
      </c>
      <c r="D10" s="520">
        <v>100</v>
      </c>
      <c r="E10" s="525" t="s">
        <v>3471</v>
      </c>
      <c r="F10" s="522">
        <f>SUMIF(70:70,E10,71:71)-SUMIF(70:70,C10,71:71)+100</f>
        <v>100</v>
      </c>
      <c r="G10" s="525" t="s">
        <v>3471</v>
      </c>
      <c r="H10" s="520">
        <f>SUMIF(70:70,G10,71:71)-SUMIF(70:70,C10,71:71)+100</f>
        <v>100</v>
      </c>
      <c r="I10" s="525" t="s">
        <v>3471</v>
      </c>
      <c r="J10" s="520">
        <f>SUMIF(70:70,I10,71:71)-SUMIF(70:70,C10,71:71)+100</f>
        <v>100</v>
      </c>
      <c r="K10" s="524"/>
      <c r="L10" s="2136"/>
      <c r="M10" s="2137"/>
      <c r="N10" s="2137"/>
      <c r="O10" s="2137"/>
      <c r="P10" s="3719" t="s">
        <v>532</v>
      </c>
      <c r="Q10" s="3720"/>
      <c r="R10" s="1568" t="s">
        <v>8</v>
      </c>
      <c r="S10" s="1569">
        <f t="shared" si="0"/>
        <v>100</v>
      </c>
      <c r="T10" s="1568" t="s">
        <v>8</v>
      </c>
      <c r="U10" s="1569">
        <f t="shared" si="1"/>
        <v>100</v>
      </c>
      <c r="V10" s="1568" t="s">
        <v>8</v>
      </c>
      <c r="W10" s="1569">
        <f t="shared" si="2"/>
        <v>100</v>
      </c>
      <c r="X10" s="1570"/>
      <c r="Y10" s="3719" t="s">
        <v>532</v>
      </c>
      <c r="Z10" s="3720"/>
      <c r="AA10" s="1571">
        <f t="shared" ref="AA10:AA42" si="3">D10/F10</f>
        <v>1</v>
      </c>
      <c r="AB10" s="1571">
        <f t="shared" ref="AB10:AB42" si="4">D10/H10</f>
        <v>1</v>
      </c>
      <c r="AC10" s="1571">
        <f t="shared" ref="AC10:AC42" si="5">D10/J10</f>
        <v>1</v>
      </c>
    </row>
    <row r="11" spans="1:29" s="1220" customFormat="1" ht="15">
      <c r="A11" s="2939"/>
      <c r="B11" s="2946" t="s">
        <v>2759</v>
      </c>
      <c r="C11" s="526" t="s">
        <v>981</v>
      </c>
      <c r="D11" s="254">
        <v>100</v>
      </c>
      <c r="E11" s="526" t="s">
        <v>3473</v>
      </c>
      <c r="F11" s="254">
        <f>SUMIF(72:72,E11,73:73)-SUMIF(72:72,C11,73:73)+100</f>
        <v>102</v>
      </c>
      <c r="G11" s="526" t="s">
        <v>3473</v>
      </c>
      <c r="H11" s="254">
        <f>SUMIF(72:72,G11,73:73)-SUMIF(72:72,C11,73:73)+100</f>
        <v>102</v>
      </c>
      <c r="I11" s="526" t="s">
        <v>981</v>
      </c>
      <c r="J11" s="254">
        <f>SUMIF(72:72,I11,73:73)-SUMIF(72:72,C11,73:73)+100</f>
        <v>100</v>
      </c>
      <c r="K11" s="524"/>
      <c r="L11" s="2136"/>
      <c r="M11" s="2137"/>
      <c r="N11" s="2137"/>
      <c r="O11" s="2138"/>
      <c r="P11" s="3727" t="s">
        <v>534</v>
      </c>
      <c r="Q11" s="1151" t="str">
        <f t="shared" ref="Q11:Q17" si="6">B11</f>
        <v>用途</v>
      </c>
      <c r="R11" s="1568" t="s">
        <v>8</v>
      </c>
      <c r="S11" s="1569">
        <f t="shared" si="0"/>
        <v>102</v>
      </c>
      <c r="T11" s="1568" t="s">
        <v>8</v>
      </c>
      <c r="U11" s="1569">
        <f t="shared" si="1"/>
        <v>102</v>
      </c>
      <c r="V11" s="1568" t="s">
        <v>8</v>
      </c>
      <c r="W11" s="1569">
        <f t="shared" si="2"/>
        <v>100</v>
      </c>
      <c r="X11" s="1570"/>
      <c r="Y11" s="3684" t="s">
        <v>535</v>
      </c>
      <c r="Z11" s="1150" t="str">
        <f t="shared" ref="Z11:Z17" si="7">Q11</f>
        <v>用途</v>
      </c>
      <c r="AA11" s="1571">
        <f t="shared" si="3"/>
        <v>0.98039215686274506</v>
      </c>
      <c r="AB11" s="1571">
        <f t="shared" si="4"/>
        <v>0.98039215686274506</v>
      </c>
      <c r="AC11" s="1571">
        <f t="shared" si="5"/>
        <v>1</v>
      </c>
    </row>
    <row r="12" spans="1:29" s="1338" customFormat="1" ht="27">
      <c r="A12" s="2940"/>
      <c r="B12" s="2945" t="s">
        <v>2760</v>
      </c>
      <c r="C12" s="528">
        <v>50</v>
      </c>
      <c r="D12" s="255">
        <v>100</v>
      </c>
      <c r="E12" s="528">
        <v>50</v>
      </c>
      <c r="F12" s="255">
        <v>100</v>
      </c>
      <c r="G12" s="528">
        <v>50</v>
      </c>
      <c r="H12" s="255">
        <v>100</v>
      </c>
      <c r="I12" s="528">
        <v>50</v>
      </c>
      <c r="J12" s="255">
        <v>100</v>
      </c>
      <c r="K12" s="531"/>
      <c r="L12" s="2139"/>
      <c r="M12" s="2179"/>
      <c r="N12" s="2179"/>
      <c r="O12" s="2140"/>
      <c r="P12" s="3727"/>
      <c r="Q12" s="1151" t="str">
        <f t="shared" si="6"/>
        <v>土地使用年限（年）</v>
      </c>
      <c r="R12" s="1568" t="s">
        <v>8</v>
      </c>
      <c r="S12" s="1569">
        <f t="shared" si="0"/>
        <v>100</v>
      </c>
      <c r="T12" s="1568" t="s">
        <v>8</v>
      </c>
      <c r="U12" s="1569">
        <f t="shared" si="1"/>
        <v>100</v>
      </c>
      <c r="V12" s="1568" t="s">
        <v>8</v>
      </c>
      <c r="W12" s="1569">
        <f t="shared" si="2"/>
        <v>100</v>
      </c>
      <c r="X12" s="1570"/>
      <c r="Y12" s="3684"/>
      <c r="Z12" s="1150" t="str">
        <f t="shared" si="7"/>
        <v>土地使用年限（年）</v>
      </c>
      <c r="AA12" s="1571">
        <f t="shared" si="3"/>
        <v>1</v>
      </c>
      <c r="AB12" s="1571">
        <f t="shared" si="4"/>
        <v>1</v>
      </c>
      <c r="AC12" s="1571">
        <f t="shared" si="5"/>
        <v>1</v>
      </c>
    </row>
    <row r="13" spans="1:29" ht="15.75" thickBot="1">
      <c r="A13" s="2941"/>
      <c r="B13" s="2945" t="s">
        <v>2761</v>
      </c>
      <c r="C13" s="533">
        <v>1</v>
      </c>
      <c r="D13" s="255">
        <v>100</v>
      </c>
      <c r="E13" s="533">
        <f>顺义案例!F3</f>
        <v>0.8</v>
      </c>
      <c r="F13" s="255">
        <f>LOOKUP(E13,77:77,78:78)-LOOKUP(C13,77:77,78:78)+100</f>
        <v>100</v>
      </c>
      <c r="G13" s="534">
        <f>顺义案例!F4</f>
        <v>0.8</v>
      </c>
      <c r="H13" s="255">
        <f>LOOKUP(G13,77:77,78:78)-LOOKUP(C13,77:77,78:78)+100</f>
        <v>100</v>
      </c>
      <c r="I13" s="533">
        <f>顺义案例!F5</f>
        <v>1</v>
      </c>
      <c r="J13" s="255">
        <f>LOOKUP(I13,77:77,78:78)-LOOKUP(C13,77:77,78:78)+100</f>
        <v>100</v>
      </c>
      <c r="K13" s="535"/>
      <c r="L13" s="2141"/>
      <c r="M13" s="2135"/>
      <c r="N13" s="2135"/>
      <c r="O13" s="2142"/>
      <c r="P13" s="3727"/>
      <c r="Q13" s="1151" t="str">
        <f t="shared" si="6"/>
        <v>容积率</v>
      </c>
      <c r="R13" s="1568" t="s">
        <v>8</v>
      </c>
      <c r="S13" s="1569">
        <f t="shared" si="0"/>
        <v>100</v>
      </c>
      <c r="T13" s="1568" t="s">
        <v>8</v>
      </c>
      <c r="U13" s="1569">
        <f t="shared" si="1"/>
        <v>100</v>
      </c>
      <c r="V13" s="1568" t="s">
        <v>8</v>
      </c>
      <c r="W13" s="1569">
        <f t="shared" si="2"/>
        <v>100</v>
      </c>
      <c r="X13" s="1570"/>
      <c r="Y13" s="3684"/>
      <c r="Z13" s="1150" t="str">
        <f t="shared" si="7"/>
        <v>容积率</v>
      </c>
      <c r="AA13" s="1571">
        <f t="shared" si="3"/>
        <v>1</v>
      </c>
      <c r="AB13" s="1571">
        <f t="shared" si="4"/>
        <v>1</v>
      </c>
      <c r="AC13" s="1571">
        <f t="shared" si="5"/>
        <v>1</v>
      </c>
    </row>
    <row r="14" spans="1:29" s="1220" customFormat="1" ht="15" hidden="1">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727"/>
      <c r="Q14" s="1151">
        <f t="shared" si="6"/>
        <v>111</v>
      </c>
      <c r="R14" s="1568" t="s">
        <v>8</v>
      </c>
      <c r="S14" s="1569">
        <f t="shared" si="0"/>
        <v>100</v>
      </c>
      <c r="T14" s="1568" t="s">
        <v>8</v>
      </c>
      <c r="U14" s="1569">
        <f t="shared" si="1"/>
        <v>100</v>
      </c>
      <c r="V14" s="1568" t="s">
        <v>8</v>
      </c>
      <c r="W14" s="1569">
        <f t="shared" si="2"/>
        <v>100</v>
      </c>
      <c r="X14" s="1570"/>
      <c r="Y14" s="3684"/>
      <c r="Z14" s="1150">
        <f t="shared" si="7"/>
        <v>111</v>
      </c>
      <c r="AA14" s="1571">
        <f>D14/F14</f>
        <v>1</v>
      </c>
      <c r="AB14" s="1571">
        <f>D14/H14</f>
        <v>1</v>
      </c>
      <c r="AC14" s="1571">
        <f>D14/J14</f>
        <v>1</v>
      </c>
    </row>
    <row r="15" spans="1:29" ht="15" hidden="1">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727"/>
      <c r="Q15" s="1151">
        <f t="shared" si="6"/>
        <v>111</v>
      </c>
      <c r="R15" s="1568" t="s">
        <v>8</v>
      </c>
      <c r="S15" s="1569">
        <f t="shared" si="0"/>
        <v>100</v>
      </c>
      <c r="T15" s="1568" t="s">
        <v>8</v>
      </c>
      <c r="U15" s="1569">
        <f t="shared" si="1"/>
        <v>100</v>
      </c>
      <c r="V15" s="1568" t="s">
        <v>8</v>
      </c>
      <c r="W15" s="1569">
        <f t="shared" si="2"/>
        <v>100</v>
      </c>
      <c r="X15" s="1570"/>
      <c r="Y15" s="3684"/>
      <c r="Z15" s="1150">
        <f t="shared" si="7"/>
        <v>111</v>
      </c>
      <c r="AA15" s="1571">
        <f t="shared" si="3"/>
        <v>1</v>
      </c>
      <c r="AB15" s="1571">
        <f t="shared" si="4"/>
        <v>1</v>
      </c>
      <c r="AC15" s="1571">
        <f t="shared" si="5"/>
        <v>1</v>
      </c>
    </row>
    <row r="16" spans="1:29" ht="15.75" hidden="1"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727"/>
      <c r="Q16" s="1151">
        <f t="shared" si="6"/>
        <v>111</v>
      </c>
      <c r="R16" s="1568" t="s">
        <v>8</v>
      </c>
      <c r="S16" s="1569">
        <f t="shared" si="0"/>
        <v>100</v>
      </c>
      <c r="T16" s="1568" t="s">
        <v>8</v>
      </c>
      <c r="U16" s="1569">
        <f t="shared" si="1"/>
        <v>100</v>
      </c>
      <c r="V16" s="1568" t="s">
        <v>8</v>
      </c>
      <c r="W16" s="1569">
        <f t="shared" si="2"/>
        <v>100</v>
      </c>
      <c r="X16" s="1570"/>
      <c r="Y16" s="3684"/>
      <c r="Z16" s="1150">
        <f t="shared" si="7"/>
        <v>111</v>
      </c>
      <c r="AA16" s="1571">
        <f t="shared" si="3"/>
        <v>1</v>
      </c>
      <c r="AB16" s="1571">
        <f t="shared" si="4"/>
        <v>1</v>
      </c>
      <c r="AC16" s="1571">
        <f t="shared" si="5"/>
        <v>1</v>
      </c>
    </row>
    <row r="17" spans="1:29" ht="57">
      <c r="A17" s="2935" t="s">
        <v>2757</v>
      </c>
      <c r="B17" s="166" t="s">
        <v>597</v>
      </c>
      <c r="C17" s="921" t="str">
        <f>估价对象房地状况!G15</f>
        <v>估价对象位于海淀区，区域工业成熟度一般，产业集聚程度一般</v>
      </c>
      <c r="D17" s="549">
        <v>100</v>
      </c>
      <c r="E17" s="550"/>
      <c r="F17" s="549">
        <f>SUMIF(85:85,E18,86:86)-SUMIF(85:85,C18,86:86)+100</f>
        <v>102</v>
      </c>
      <c r="G17" s="550"/>
      <c r="H17" s="549">
        <f>SUMIF(85:85,G18,86:86)-SUMIF(85:85,C18,86:86)+100</f>
        <v>102</v>
      </c>
      <c r="I17" s="552"/>
      <c r="J17" s="549">
        <f>SUMIF(85:85,I18,86:86)-SUMIF(85:85,C18,86:86)+100</f>
        <v>102</v>
      </c>
      <c r="K17" s="535">
        <v>1</v>
      </c>
      <c r="L17" s="2143"/>
      <c r="M17" s="2135"/>
      <c r="N17" s="2135"/>
      <c r="O17" s="2142"/>
      <c r="P17" s="3729" t="s">
        <v>539</v>
      </c>
      <c r="Q17" s="1572" t="str">
        <f t="shared" si="6"/>
        <v>产业集聚程度</v>
      </c>
      <c r="R17" s="1573" t="s">
        <v>8</v>
      </c>
      <c r="S17" s="1574">
        <f t="shared" si="0"/>
        <v>102</v>
      </c>
      <c r="T17" s="1573" t="s">
        <v>8</v>
      </c>
      <c r="U17" s="1574">
        <f t="shared" si="1"/>
        <v>102</v>
      </c>
      <c r="V17" s="1573" t="s">
        <v>8</v>
      </c>
      <c r="W17" s="1574">
        <f t="shared" si="2"/>
        <v>102</v>
      </c>
      <c r="X17" s="1567"/>
      <c r="Y17" s="3729" t="s">
        <v>539</v>
      </c>
      <c r="Z17" s="1575" t="str">
        <f t="shared" si="7"/>
        <v>产业集聚程度</v>
      </c>
      <c r="AA17" s="1576">
        <f t="shared" si="3"/>
        <v>0.98039215686274506</v>
      </c>
      <c r="AB17" s="1576">
        <f t="shared" si="4"/>
        <v>0.98039215686274506</v>
      </c>
      <c r="AC17" s="1576">
        <f t="shared" si="5"/>
        <v>0.98039215686274506</v>
      </c>
    </row>
    <row r="18" spans="1:29" ht="15">
      <c r="A18" s="532"/>
      <c r="B18" s="869"/>
      <c r="C18" s="576" t="s">
        <v>3186</v>
      </c>
      <c r="D18" s="555"/>
      <c r="E18" s="554" t="s">
        <v>3185</v>
      </c>
      <c r="F18" s="555"/>
      <c r="G18" s="554" t="s">
        <v>3185</v>
      </c>
      <c r="H18" s="559"/>
      <c r="I18" s="554" t="s">
        <v>3185</v>
      </c>
      <c r="J18" s="555"/>
      <c r="K18" s="531"/>
      <c r="L18" s="2143"/>
      <c r="M18" s="2135"/>
      <c r="N18" s="2135"/>
      <c r="O18" s="2142"/>
      <c r="P18" s="3730"/>
      <c r="Q18" s="1572"/>
      <c r="R18" s="1573"/>
      <c r="S18" s="1574"/>
      <c r="T18" s="1573"/>
      <c r="U18" s="1574"/>
      <c r="V18" s="1573"/>
      <c r="W18" s="1574"/>
      <c r="X18" s="1567"/>
      <c r="Y18" s="3730"/>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98</v>
      </c>
      <c r="G19" s="562"/>
      <c r="H19" s="565">
        <f>SUMIF(87:87,G20,88:88)-SUMIF(87:87,C20,88:88)+100</f>
        <v>98</v>
      </c>
      <c r="I19" s="564"/>
      <c r="J19" s="559">
        <f>SUMIF(87:87,I20,88:88)-SUMIF(87:87,C20,88:88)+100</f>
        <v>98</v>
      </c>
      <c r="K19" s="535">
        <v>2</v>
      </c>
      <c r="L19" s="2143"/>
      <c r="M19" s="2135"/>
      <c r="N19" s="2135"/>
      <c r="O19" s="2142"/>
      <c r="P19" s="3730"/>
      <c r="Q19" s="1572" t="str">
        <f>B19</f>
        <v>交通便捷度</v>
      </c>
      <c r="R19" s="1573" t="s">
        <v>8</v>
      </c>
      <c r="S19" s="1574">
        <f>F19</f>
        <v>98</v>
      </c>
      <c r="T19" s="1573" t="s">
        <v>8</v>
      </c>
      <c r="U19" s="1574">
        <f>H19</f>
        <v>98</v>
      </c>
      <c r="V19" s="1573" t="s">
        <v>8</v>
      </c>
      <c r="W19" s="1574">
        <f>J19</f>
        <v>98</v>
      </c>
      <c r="X19" s="1567"/>
      <c r="Y19" s="3730"/>
      <c r="Z19" s="1575" t="str">
        <f>Q19</f>
        <v>交通便捷度</v>
      </c>
      <c r="AA19" s="1576">
        <f t="shared" si="3"/>
        <v>1.0204081632653061</v>
      </c>
      <c r="AB19" s="1576">
        <f t="shared" si="4"/>
        <v>1.0204081632653061</v>
      </c>
      <c r="AC19" s="1576">
        <f t="shared" si="5"/>
        <v>1.0204081632653061</v>
      </c>
    </row>
    <row r="20" spans="1:29" ht="15">
      <c r="A20" s="532"/>
      <c r="B20" s="922"/>
      <c r="C20" s="576" t="s">
        <v>3185</v>
      </c>
      <c r="D20" s="555"/>
      <c r="E20" s="556" t="s">
        <v>3184</v>
      </c>
      <c r="F20" s="555"/>
      <c r="G20" s="556" t="s">
        <v>3184</v>
      </c>
      <c r="H20" s="555"/>
      <c r="I20" s="558" t="s">
        <v>3184</v>
      </c>
      <c r="J20" s="555"/>
      <c r="K20" s="531"/>
      <c r="L20" s="2143"/>
      <c r="M20" s="2135"/>
      <c r="N20" s="2135"/>
      <c r="O20" s="2142"/>
      <c r="P20" s="3730"/>
      <c r="Q20" s="1572"/>
      <c r="R20" s="1573"/>
      <c r="S20" s="1574"/>
      <c r="T20" s="1573"/>
      <c r="U20" s="1574"/>
      <c r="V20" s="1573"/>
      <c r="W20" s="1574"/>
      <c r="X20" s="1567"/>
      <c r="Y20" s="3730"/>
      <c r="Z20" s="1575"/>
      <c r="AA20" s="1576">
        <v>1</v>
      </c>
      <c r="AB20" s="1576">
        <v>1</v>
      </c>
      <c r="AC20" s="1576">
        <v>1</v>
      </c>
    </row>
    <row r="21" spans="1:29" ht="27">
      <c r="A21" s="515"/>
      <c r="B21" s="871" t="s">
        <v>543</v>
      </c>
      <c r="C21" s="872">
        <f>估价对象房地状况!G17</f>
        <v>0</v>
      </c>
      <c r="D21" s="559">
        <v>100</v>
      </c>
      <c r="E21" s="562"/>
      <c r="F21" s="563">
        <f>SUMIF(89:89,E22,90:90)-SUMIF(89:89,C22,90:90)+100</f>
        <v>104</v>
      </c>
      <c r="G21" s="564"/>
      <c r="H21" s="563">
        <f>SUMIF(89:89,G22,90:90)-SUMIF(89:89,C22,90:90)+100</f>
        <v>104</v>
      </c>
      <c r="I21" s="564"/>
      <c r="J21" s="563">
        <f>SUMIF(89:89,I22,90:90)-SUMIF(89:89,C22,90:90)+100</f>
        <v>104</v>
      </c>
      <c r="K21" s="1008">
        <v>2</v>
      </c>
      <c r="L21" s="2143"/>
      <c r="M21" s="2135"/>
      <c r="N21" s="2135"/>
      <c r="O21" s="2142"/>
      <c r="P21" s="3730"/>
      <c r="Q21" s="1572" t="str">
        <f t="shared" ref="Q21:Q35" si="8">B21</f>
        <v>区域土地利用方向</v>
      </c>
      <c r="R21" s="1573" t="s">
        <v>8</v>
      </c>
      <c r="S21" s="1574">
        <f>F21</f>
        <v>104</v>
      </c>
      <c r="T21" s="1573" t="s">
        <v>8</v>
      </c>
      <c r="U21" s="1574">
        <f>H21</f>
        <v>104</v>
      </c>
      <c r="V21" s="1573" t="s">
        <v>8</v>
      </c>
      <c r="W21" s="1574">
        <f>J21</f>
        <v>104</v>
      </c>
      <c r="X21" s="1567"/>
      <c r="Y21" s="3730"/>
      <c r="Z21" s="1575" t="str">
        <f>Q21</f>
        <v>区域土地利用方向</v>
      </c>
      <c r="AA21" s="1576">
        <f t="shared" si="3"/>
        <v>0.96153846153846156</v>
      </c>
      <c r="AB21" s="1576">
        <f t="shared" si="4"/>
        <v>0.96153846153846156</v>
      </c>
      <c r="AC21" s="1576">
        <f t="shared" si="5"/>
        <v>0.96153846153846156</v>
      </c>
    </row>
    <row r="22" spans="1:29" ht="15">
      <c r="A22" s="515"/>
      <c r="B22" s="595"/>
      <c r="C22" s="576" t="s">
        <v>3186</v>
      </c>
      <c r="D22" s="555"/>
      <c r="E22" s="556" t="s">
        <v>3185</v>
      </c>
      <c r="F22" s="557"/>
      <c r="G22" s="558" t="s">
        <v>3185</v>
      </c>
      <c r="H22" s="557"/>
      <c r="I22" s="558" t="s">
        <v>3185</v>
      </c>
      <c r="J22" s="557"/>
      <c r="K22" s="1348"/>
      <c r="L22" s="2143"/>
      <c r="M22" s="2135"/>
      <c r="N22" s="2135"/>
      <c r="O22" s="2142"/>
      <c r="P22" s="3730"/>
      <c r="Q22" s="1572"/>
      <c r="R22" s="1573"/>
      <c r="S22" s="1574"/>
      <c r="T22" s="1573"/>
      <c r="U22" s="1574"/>
      <c r="V22" s="1573"/>
      <c r="W22" s="1574"/>
      <c r="X22" s="1567"/>
      <c r="Y22" s="3730"/>
      <c r="Z22" s="1575"/>
      <c r="AA22" s="1576"/>
      <c r="AB22" s="1576"/>
      <c r="AC22" s="1576"/>
    </row>
    <row r="23" spans="1:29" ht="71.25">
      <c r="A23" s="515"/>
      <c r="B23" s="922" t="s">
        <v>598</v>
      </c>
      <c r="C23" s="872" t="str">
        <f>估价对象房地状况!G18</f>
        <v>该区域内没有污染型企业，绿化情况教好，卫生条件教好，整体环境状况较好</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30"/>
      <c r="Q23" s="1572" t="str">
        <f t="shared" si="8"/>
        <v>环境状况</v>
      </c>
      <c r="R23" s="1573" t="s">
        <v>8</v>
      </c>
      <c r="S23" s="1574">
        <f>F23</f>
        <v>100</v>
      </c>
      <c r="T23" s="1573" t="s">
        <v>8</v>
      </c>
      <c r="U23" s="1574">
        <f>H23</f>
        <v>100</v>
      </c>
      <c r="V23" s="1573" t="s">
        <v>8</v>
      </c>
      <c r="W23" s="1574">
        <f>J23</f>
        <v>100</v>
      </c>
      <c r="X23" s="1567"/>
      <c r="Y23" s="3730"/>
      <c r="Z23" s="1575" t="str">
        <f>Q23</f>
        <v>环境状况</v>
      </c>
      <c r="AA23" s="1576">
        <f t="shared" si="3"/>
        <v>1</v>
      </c>
      <c r="AB23" s="1576">
        <f t="shared" si="4"/>
        <v>1</v>
      </c>
      <c r="AC23" s="1576">
        <f t="shared" si="5"/>
        <v>1</v>
      </c>
    </row>
    <row r="24" spans="1:29" ht="15">
      <c r="A24" s="515"/>
      <c r="B24" s="595"/>
      <c r="C24" s="576" t="s">
        <v>3185</v>
      </c>
      <c r="D24" s="555"/>
      <c r="E24" s="554" t="s">
        <v>3185</v>
      </c>
      <c r="F24" s="555"/>
      <c r="G24" s="554" t="s">
        <v>3185</v>
      </c>
      <c r="H24" s="555"/>
      <c r="I24" s="576" t="s">
        <v>3185</v>
      </c>
      <c r="J24" s="555"/>
      <c r="K24" s="531"/>
      <c r="L24" s="2143"/>
      <c r="M24" s="2135"/>
      <c r="N24" s="2135"/>
      <c r="O24" s="2142"/>
      <c r="P24" s="3730"/>
      <c r="Q24" s="1572"/>
      <c r="R24" s="1573"/>
      <c r="S24" s="1574"/>
      <c r="T24" s="1573"/>
      <c r="U24" s="1574"/>
      <c r="V24" s="1573"/>
      <c r="W24" s="1574"/>
      <c r="X24" s="1567"/>
      <c r="Y24" s="3730"/>
      <c r="Z24" s="1575"/>
      <c r="AA24" s="1576">
        <v>1</v>
      </c>
      <c r="AB24" s="1576">
        <v>1</v>
      </c>
      <c r="AC24" s="1576">
        <v>1</v>
      </c>
    </row>
    <row r="25" spans="1:29" s="1220" customFormat="1" ht="42.75">
      <c r="A25" s="577"/>
      <c r="B25" s="2618" t="s">
        <v>2551</v>
      </c>
      <c r="C25" s="872" t="str">
        <f>估价对象房地状况!G19</f>
        <v>估价对象所在区域公共配套设施齐备情况好</v>
      </c>
      <c r="D25" s="559">
        <v>100</v>
      </c>
      <c r="E25" s="562"/>
      <c r="F25" s="559">
        <f>SUMIF(93:93,E26,94:94)-SUMIF(93:93,C26,94:94)+100</f>
        <v>98</v>
      </c>
      <c r="G25" s="562"/>
      <c r="H25" s="559">
        <f>SUMIF(93:93,G26,94:94)-SUMIF(93:93,C26,94:94)+100</f>
        <v>98</v>
      </c>
      <c r="I25" s="564"/>
      <c r="J25" s="559">
        <f>SUMIF(93:93,I26,94:94)-SUMIF(93:93,C26,94:94)+100</f>
        <v>98</v>
      </c>
      <c r="K25" s="535">
        <v>2</v>
      </c>
      <c r="L25" s="2136"/>
      <c r="M25" s="2137"/>
      <c r="N25" s="2137"/>
      <c r="O25" s="2138"/>
      <c r="P25" s="3730"/>
      <c r="Q25" s="1151" t="str">
        <f t="shared" si="8"/>
        <v>公共配套设施</v>
      </c>
      <c r="R25" s="1568" t="s">
        <v>8</v>
      </c>
      <c r="S25" s="1569">
        <f>F25</f>
        <v>98</v>
      </c>
      <c r="T25" s="1568" t="s">
        <v>8</v>
      </c>
      <c r="U25" s="1569">
        <f>H25</f>
        <v>98</v>
      </c>
      <c r="V25" s="1568" t="s">
        <v>8</v>
      </c>
      <c r="W25" s="1569">
        <f>J25</f>
        <v>98</v>
      </c>
      <c r="X25" s="1570"/>
      <c r="Y25" s="3730"/>
      <c r="Z25" s="1150" t="str">
        <f>Q25</f>
        <v>公共配套设施</v>
      </c>
      <c r="AA25" s="1576">
        <f>D25/F25</f>
        <v>1.0204081632653061</v>
      </c>
      <c r="AB25" s="1576">
        <f>D25/H25</f>
        <v>1.0204081632653061</v>
      </c>
      <c r="AC25" s="1576">
        <f>D25/J25</f>
        <v>1.0204081632653061</v>
      </c>
    </row>
    <row r="26" spans="1:29" s="1220" customFormat="1" ht="15">
      <c r="A26" s="577"/>
      <c r="B26" s="595"/>
      <c r="C26" s="2617" t="s">
        <v>3187</v>
      </c>
      <c r="D26" s="555"/>
      <c r="E26" s="554" t="s">
        <v>3185</v>
      </c>
      <c r="F26" s="555"/>
      <c r="G26" s="554" t="s">
        <v>3185</v>
      </c>
      <c r="H26" s="555"/>
      <c r="I26" s="576" t="s">
        <v>3185</v>
      </c>
      <c r="J26" s="555"/>
      <c r="K26" s="531"/>
      <c r="L26" s="2136"/>
      <c r="M26" s="2137"/>
      <c r="N26" s="2137"/>
      <c r="O26" s="2138"/>
      <c r="P26" s="3730"/>
      <c r="Q26" s="1151"/>
      <c r="R26" s="1568"/>
      <c r="S26" s="1569"/>
      <c r="T26" s="1568"/>
      <c r="U26" s="1569"/>
      <c r="V26" s="1568"/>
      <c r="W26" s="1569"/>
      <c r="X26" s="1570"/>
      <c r="Y26" s="3730"/>
      <c r="Z26" s="1150"/>
      <c r="AA26" s="1571">
        <v>1</v>
      </c>
      <c r="AB26" s="1571">
        <v>1</v>
      </c>
      <c r="AC26" s="1571">
        <v>1</v>
      </c>
    </row>
    <row r="27" spans="1:29" s="1220" customFormat="1" ht="15">
      <c r="A27" s="577"/>
      <c r="B27" s="2618" t="s">
        <v>2552</v>
      </c>
      <c r="C27" s="872" t="str">
        <f>估价对象房地状况!G20</f>
        <v>七通</v>
      </c>
      <c r="D27" s="559">
        <v>100</v>
      </c>
      <c r="E27" s="3416" t="s">
        <v>3484</v>
      </c>
      <c r="F27" s="559">
        <f>SUMIF(95:95,E28,96:96)-SUMIF(95:95,C28,96:96)+100</f>
        <v>100</v>
      </c>
      <c r="G27" s="3416" t="s">
        <v>3484</v>
      </c>
      <c r="H27" s="559">
        <f>SUMIF(95:95,G28,96:96)-SUMIF(95:95,C28,96:96)+100</f>
        <v>100</v>
      </c>
      <c r="I27" s="3417" t="s">
        <v>3501</v>
      </c>
      <c r="J27" s="559">
        <f>SUMIF(95:95,I28,96:96)-SUMIF(95:95,C28,96:96)+100</f>
        <v>98</v>
      </c>
      <c r="K27" s="535">
        <v>1</v>
      </c>
      <c r="L27" s="2136"/>
      <c r="M27" s="2137"/>
      <c r="N27" s="2137"/>
      <c r="O27" s="2138"/>
      <c r="P27" s="3730"/>
      <c r="Q27" s="2603" t="str">
        <f t="shared" ref="Q27" si="9">B27</f>
        <v>基础设施水平</v>
      </c>
      <c r="R27" s="1568" t="s">
        <v>8</v>
      </c>
      <c r="S27" s="1569">
        <f>F27</f>
        <v>100</v>
      </c>
      <c r="T27" s="1568" t="s">
        <v>8</v>
      </c>
      <c r="U27" s="1569">
        <f>H27</f>
        <v>100</v>
      </c>
      <c r="V27" s="1568" t="s">
        <v>8</v>
      </c>
      <c r="W27" s="1569">
        <f>J27</f>
        <v>98</v>
      </c>
      <c r="X27" s="1570"/>
      <c r="Y27" s="3730"/>
      <c r="Z27" s="2600" t="str">
        <f>Q27</f>
        <v>基础设施水平</v>
      </c>
      <c r="AA27" s="1576">
        <f>D27/F27</f>
        <v>1</v>
      </c>
      <c r="AB27" s="1576">
        <f>D27/H27</f>
        <v>1</v>
      </c>
      <c r="AC27" s="1576">
        <f>D27/J27</f>
        <v>1.0204081632653061</v>
      </c>
    </row>
    <row r="28" spans="1:29" s="1220" customFormat="1" ht="15">
      <c r="A28" s="577"/>
      <c r="B28" s="595"/>
      <c r="C28" s="2617" t="s">
        <v>3477</v>
      </c>
      <c r="D28" s="555"/>
      <c r="E28" s="579" t="s">
        <v>3477</v>
      </c>
      <c r="F28" s="555"/>
      <c r="G28" s="579" t="s">
        <v>3477</v>
      </c>
      <c r="H28" s="555"/>
      <c r="I28" s="579" t="s">
        <v>3480</v>
      </c>
      <c r="J28" s="555"/>
      <c r="K28" s="531"/>
      <c r="L28" s="2136"/>
      <c r="M28" s="2137"/>
      <c r="N28" s="2137"/>
      <c r="O28" s="2138"/>
      <c r="P28" s="3730"/>
      <c r="Q28" s="2603"/>
      <c r="R28" s="1568"/>
      <c r="S28" s="1569"/>
      <c r="T28" s="1568"/>
      <c r="U28" s="1569"/>
      <c r="V28" s="1568"/>
      <c r="W28" s="1569"/>
      <c r="X28" s="1570"/>
      <c r="Y28" s="3730"/>
      <c r="Z28" s="2600"/>
      <c r="AA28" s="1571">
        <v>1</v>
      </c>
      <c r="AB28" s="1571">
        <v>1</v>
      </c>
      <c r="AC28" s="1571">
        <v>1</v>
      </c>
    </row>
    <row r="29" spans="1:29" ht="15">
      <c r="A29" s="532"/>
      <c r="B29" s="595" t="s">
        <v>546</v>
      </c>
      <c r="C29" s="583" t="s">
        <v>3485</v>
      </c>
      <c r="D29" s="540">
        <v>100</v>
      </c>
      <c r="E29" s="580" t="s">
        <v>3485</v>
      </c>
      <c r="F29" s="540">
        <f>SUMIF(97:97,E29,98:98)-SUMIF(97:97,C29,98:98)+100</f>
        <v>100</v>
      </c>
      <c r="G29" s="580" t="s">
        <v>3485</v>
      </c>
      <c r="H29" s="540">
        <f>SUMIF(97:97,G29,98:98)-SUMIF(97:97,C29,98:98)+100</f>
        <v>100</v>
      </c>
      <c r="I29" s="580" t="s">
        <v>3485</v>
      </c>
      <c r="J29" s="540">
        <f>SUMIF(97:97,I29,98:98)-SUMIF(97:97,C29,98:98)+100</f>
        <v>100</v>
      </c>
      <c r="K29" s="535">
        <v>1</v>
      </c>
      <c r="L29" s="2143"/>
      <c r="M29" s="2135"/>
      <c r="N29" s="2135"/>
      <c r="O29" s="2142"/>
      <c r="P29" s="373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30"/>
      <c r="Z29" s="1575" t="str">
        <f t="shared" ref="Z29:Z42" si="13">Q29</f>
        <v>临街状况</v>
      </c>
      <c r="AA29" s="1576">
        <f t="shared" si="3"/>
        <v>1</v>
      </c>
      <c r="AB29" s="1576">
        <f t="shared" si="4"/>
        <v>1</v>
      </c>
      <c r="AC29" s="1576">
        <f t="shared" si="5"/>
        <v>1</v>
      </c>
    </row>
    <row r="30" spans="1:29" ht="27">
      <c r="A30" s="532"/>
      <c r="B30" s="922" t="s">
        <v>547</v>
      </c>
      <c r="C30" s="2620" t="str">
        <f>估价对象房地状况!G22</f>
        <v>城市支路</v>
      </c>
      <c r="D30" s="559">
        <v>100</v>
      </c>
      <c r="E30" s="562"/>
      <c r="F30" s="559">
        <f>SUMIF(99:99,E31,100:100)-SUMIF(99:99,C31,100:100)+100</f>
        <v>100</v>
      </c>
      <c r="G30" s="562"/>
      <c r="H30" s="559">
        <f>SUMIF(99:99,G31,100:100)-SUMIF(99:99,C31,100:100)+100</f>
        <v>103</v>
      </c>
      <c r="I30" s="564"/>
      <c r="J30" s="559">
        <f>SUMIF(99:99,I31,100:100)-SUMIF(99:99,C31,100:100)+100</f>
        <v>100</v>
      </c>
      <c r="K30" s="535">
        <v>1</v>
      </c>
      <c r="L30" s="2143"/>
      <c r="M30" s="2135"/>
      <c r="N30" s="2135"/>
      <c r="O30" s="2142"/>
      <c r="P30" s="3730"/>
      <c r="Q30" s="1572" t="str">
        <f t="shared" si="8"/>
        <v>毗邻道路的类型与等级</v>
      </c>
      <c r="R30" s="1573" t="s">
        <v>8</v>
      </c>
      <c r="S30" s="1574">
        <f t="shared" si="10"/>
        <v>100</v>
      </c>
      <c r="T30" s="1573" t="s">
        <v>8</v>
      </c>
      <c r="U30" s="1574">
        <f t="shared" si="11"/>
        <v>103</v>
      </c>
      <c r="V30" s="1573" t="s">
        <v>8</v>
      </c>
      <c r="W30" s="1574">
        <f t="shared" si="12"/>
        <v>100</v>
      </c>
      <c r="X30" s="1567"/>
      <c r="Y30" s="3730"/>
      <c r="Z30" s="1575" t="str">
        <f t="shared" si="13"/>
        <v>毗邻道路的类型与等级</v>
      </c>
      <c r="AA30" s="1576">
        <f t="shared" si="3"/>
        <v>1</v>
      </c>
      <c r="AB30" s="1576">
        <f t="shared" si="4"/>
        <v>0.970873786407767</v>
      </c>
      <c r="AC30" s="1576">
        <f t="shared" si="5"/>
        <v>1</v>
      </c>
    </row>
    <row r="31" spans="1:29" ht="15">
      <c r="A31" s="532"/>
      <c r="B31" s="595"/>
      <c r="C31" s="576" t="s">
        <v>3493</v>
      </c>
      <c r="D31" s="555"/>
      <c r="E31" s="576" t="s">
        <v>3493</v>
      </c>
      <c r="F31" s="555"/>
      <c r="G31" s="576" t="s">
        <v>3489</v>
      </c>
      <c r="H31" s="555"/>
      <c r="I31" s="576" t="s">
        <v>3493</v>
      </c>
      <c r="J31" s="555"/>
      <c r="K31" s="581"/>
      <c r="L31" s="2143"/>
      <c r="M31" s="2135"/>
      <c r="N31" s="2135"/>
      <c r="O31" s="2142"/>
      <c r="P31" s="3730"/>
      <c r="Q31" s="1572"/>
      <c r="R31" s="1573"/>
      <c r="S31" s="1574"/>
      <c r="T31" s="1573"/>
      <c r="U31" s="1574"/>
      <c r="V31" s="1573"/>
      <c r="W31" s="1574"/>
      <c r="X31" s="1567"/>
      <c r="Y31" s="3730"/>
      <c r="Z31" s="1575"/>
      <c r="AA31" s="1576">
        <v>1</v>
      </c>
      <c r="AB31" s="1576">
        <v>1</v>
      </c>
      <c r="AC31" s="1576">
        <v>1</v>
      </c>
    </row>
    <row r="32" spans="1:29" ht="15.75" thickBot="1">
      <c r="A32" s="532"/>
      <c r="B32" s="527" t="s">
        <v>548</v>
      </c>
      <c r="C32" s="2621" t="str">
        <f>估价对象房地状况!G23</f>
        <v>六级</v>
      </c>
      <c r="D32" s="540">
        <v>100</v>
      </c>
      <c r="E32" s="580" t="s">
        <v>1409</v>
      </c>
      <c r="F32" s="540">
        <f>SUMIF(101:101,E32,102:102)-SUMIF(101:101,C32,102:102)+100</f>
        <v>100</v>
      </c>
      <c r="G32" s="580" t="s">
        <v>1409</v>
      </c>
      <c r="H32" s="540">
        <f>SUMIF(101:101,G32,102:102)-SUMIF(101:101,C32,102:102)+100</f>
        <v>100</v>
      </c>
      <c r="I32" s="580" t="s">
        <v>1413</v>
      </c>
      <c r="J32" s="540">
        <f>SUMIF(101:101,I32,102:102)-SUMIF(101:101,C32,102:102)+100</f>
        <v>98</v>
      </c>
      <c r="K32" s="584">
        <v>2</v>
      </c>
      <c r="L32" s="2143"/>
      <c r="M32" s="2135"/>
      <c r="N32" s="2135"/>
      <c r="O32" s="2142"/>
      <c r="P32" s="3730"/>
      <c r="Q32" s="1572" t="str">
        <f t="shared" si="8"/>
        <v>土地级别</v>
      </c>
      <c r="R32" s="1573" t="s">
        <v>8</v>
      </c>
      <c r="S32" s="1574">
        <f t="shared" si="10"/>
        <v>100</v>
      </c>
      <c r="T32" s="1573" t="s">
        <v>8</v>
      </c>
      <c r="U32" s="1574">
        <f t="shared" si="11"/>
        <v>100</v>
      </c>
      <c r="V32" s="1573" t="s">
        <v>8</v>
      </c>
      <c r="W32" s="1574">
        <f t="shared" si="12"/>
        <v>98</v>
      </c>
      <c r="X32" s="1567"/>
      <c r="Y32" s="3730"/>
      <c r="Z32" s="1575" t="str">
        <f t="shared" si="13"/>
        <v>土地级别</v>
      </c>
      <c r="AA32" s="1576">
        <f t="shared" si="3"/>
        <v>1</v>
      </c>
      <c r="AB32" s="1576">
        <f t="shared" si="4"/>
        <v>1</v>
      </c>
      <c r="AC32" s="1576">
        <f t="shared" si="5"/>
        <v>1.0204081632653061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30"/>
      <c r="Q33" s="1572">
        <f t="shared" si="8"/>
        <v>111</v>
      </c>
      <c r="R33" s="1573" t="s">
        <v>8</v>
      </c>
      <c r="S33" s="1574">
        <f t="shared" si="10"/>
        <v>100</v>
      </c>
      <c r="T33" s="1573" t="s">
        <v>8</v>
      </c>
      <c r="U33" s="1574">
        <f t="shared" si="11"/>
        <v>100</v>
      </c>
      <c r="V33" s="1573" t="s">
        <v>8</v>
      </c>
      <c r="W33" s="1574">
        <f t="shared" si="12"/>
        <v>100</v>
      </c>
      <c r="X33" s="1567"/>
      <c r="Y33" s="3730"/>
      <c r="Z33" s="1575">
        <f t="shared" si="13"/>
        <v>111</v>
      </c>
      <c r="AA33" s="1576">
        <f t="shared" si="3"/>
        <v>1</v>
      </c>
      <c r="AB33" s="1576">
        <f t="shared" si="4"/>
        <v>1</v>
      </c>
      <c r="AC33" s="1576">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31" t="s">
        <v>549</v>
      </c>
      <c r="Q34" s="1572">
        <f t="shared" si="8"/>
        <v>111</v>
      </c>
      <c r="R34" s="1573" t="s">
        <v>8</v>
      </c>
      <c r="S34" s="1574">
        <f t="shared" si="10"/>
        <v>100</v>
      </c>
      <c r="T34" s="1573" t="s">
        <v>8</v>
      </c>
      <c r="U34" s="1574">
        <f t="shared" si="11"/>
        <v>100</v>
      </c>
      <c r="V34" s="1573" t="s">
        <v>8</v>
      </c>
      <c r="W34" s="1574">
        <f t="shared" si="12"/>
        <v>100</v>
      </c>
      <c r="X34" s="1567"/>
      <c r="Y34" s="3732" t="s">
        <v>549</v>
      </c>
      <c r="Z34" s="1575">
        <f t="shared" si="13"/>
        <v>111</v>
      </c>
      <c r="AA34" s="1576">
        <f t="shared" si="3"/>
        <v>1</v>
      </c>
      <c r="AB34" s="1576">
        <f t="shared" si="4"/>
        <v>1</v>
      </c>
      <c r="AC34" s="1576">
        <f t="shared" si="5"/>
        <v>1</v>
      </c>
    </row>
    <row r="35" spans="1:29" s="1339" customFormat="1" ht="15.75" hidden="1"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32"/>
      <c r="Q35" s="1572">
        <f t="shared" si="8"/>
        <v>111</v>
      </c>
      <c r="R35" s="1577" t="s">
        <v>8</v>
      </c>
      <c r="S35" s="1578">
        <f t="shared" si="10"/>
        <v>100</v>
      </c>
      <c r="T35" s="1577" t="s">
        <v>8</v>
      </c>
      <c r="U35" s="1578">
        <f t="shared" si="11"/>
        <v>100</v>
      </c>
      <c r="V35" s="1577" t="s">
        <v>8</v>
      </c>
      <c r="W35" s="1578">
        <f t="shared" si="12"/>
        <v>100</v>
      </c>
      <c r="X35" s="1579"/>
      <c r="Y35" s="3732"/>
      <c r="Z35" s="1580">
        <f t="shared" si="13"/>
        <v>111</v>
      </c>
      <c r="AA35" s="1576">
        <f t="shared" si="3"/>
        <v>1</v>
      </c>
      <c r="AB35" s="1576">
        <f t="shared" si="4"/>
        <v>1</v>
      </c>
      <c r="AC35" s="1576">
        <f t="shared" si="5"/>
        <v>1</v>
      </c>
    </row>
    <row r="36" spans="1:29" ht="15">
      <c r="A36" s="2932" t="s">
        <v>2758</v>
      </c>
      <c r="B36" s="595" t="s">
        <v>551</v>
      </c>
      <c r="C36" s="596">
        <f>'数据-基础表'!A3</f>
        <v>182153.37</v>
      </c>
      <c r="D36" s="597">
        <v>100</v>
      </c>
      <c r="E36" s="596">
        <f>顺义案例!D3</f>
        <v>31386.9</v>
      </c>
      <c r="F36" s="597">
        <f>LOOKUP(E36,110:110,111:111)-LOOKUP(C36,110:110,111:111)+100</f>
        <v>94</v>
      </c>
      <c r="G36" s="596">
        <f>顺义案例!D4</f>
        <v>45231.1</v>
      </c>
      <c r="H36" s="597">
        <f>LOOKUP(G36,110:110,111:111)-LOOKUP(C36,110:110,111:111)+100</f>
        <v>94</v>
      </c>
      <c r="I36" s="598">
        <f>顺义案例!D5</f>
        <v>401615.3</v>
      </c>
      <c r="J36" s="597">
        <f>LOOKUP(I36,110:110,111:111)-LOOKUP(C36,110:110,111:111)+100</f>
        <v>102</v>
      </c>
      <c r="K36" s="581"/>
      <c r="L36" s="2143"/>
      <c r="M36" s="2135"/>
      <c r="N36" s="2135"/>
      <c r="O36" s="2142"/>
      <c r="P36" s="3732"/>
      <c r="Q36" s="1572" t="str">
        <f>B36</f>
        <v>宗地面积</v>
      </c>
      <c r="R36" s="1573" t="s">
        <v>8</v>
      </c>
      <c r="S36" s="1574">
        <f t="shared" si="10"/>
        <v>94</v>
      </c>
      <c r="T36" s="1573" t="s">
        <v>8</v>
      </c>
      <c r="U36" s="1574">
        <f t="shared" si="11"/>
        <v>94</v>
      </c>
      <c r="V36" s="1573" t="s">
        <v>8</v>
      </c>
      <c r="W36" s="1574">
        <f t="shared" si="12"/>
        <v>102</v>
      </c>
      <c r="X36" s="1567"/>
      <c r="Y36" s="3732"/>
      <c r="Z36" s="1575" t="str">
        <f t="shared" si="13"/>
        <v>宗地面积</v>
      </c>
      <c r="AA36" s="1576">
        <f t="shared" si="3"/>
        <v>1.0638297872340425</v>
      </c>
      <c r="AB36" s="1576">
        <f t="shared" si="4"/>
        <v>1.0638297872340425</v>
      </c>
      <c r="AC36" s="1576">
        <f t="shared" si="5"/>
        <v>0.98039215686274506</v>
      </c>
    </row>
    <row r="37" spans="1:29" ht="15">
      <c r="A37" s="594"/>
      <c r="B37" s="527" t="s">
        <v>552</v>
      </c>
      <c r="C37" s="599" t="s">
        <v>3497</v>
      </c>
      <c r="D37" s="540">
        <v>100</v>
      </c>
      <c r="E37" s="599" t="s">
        <v>3497</v>
      </c>
      <c r="F37" s="540">
        <f>SUMIF(112:112,E37,113:113)-SUMIF(112:112,C37,113:113)+100</f>
        <v>100</v>
      </c>
      <c r="G37" s="599" t="s">
        <v>3497</v>
      </c>
      <c r="H37" s="540">
        <f>SUMIF(112:112,G37,113:113)-SUMIF(112:112,C37,113:113)+100</f>
        <v>100</v>
      </c>
      <c r="I37" s="599" t="s">
        <v>3497</v>
      </c>
      <c r="J37" s="540">
        <f>SUMIF(112:112,I37,113:113)-SUMIF(112:112,C37,113:113)+100</f>
        <v>100</v>
      </c>
      <c r="K37" s="584"/>
      <c r="L37" s="2143"/>
      <c r="M37" s="2135"/>
      <c r="N37" s="2135"/>
      <c r="O37" s="2142"/>
      <c r="P37" s="3732"/>
      <c r="Q37" s="1572" t="str">
        <f t="shared" ref="Q37:Q42" si="14">B37</f>
        <v>宗地形状</v>
      </c>
      <c r="R37" s="1573" t="s">
        <v>8</v>
      </c>
      <c r="S37" s="1574">
        <f t="shared" si="10"/>
        <v>100</v>
      </c>
      <c r="T37" s="1573" t="s">
        <v>8</v>
      </c>
      <c r="U37" s="1574">
        <f t="shared" si="11"/>
        <v>100</v>
      </c>
      <c r="V37" s="1573" t="s">
        <v>8</v>
      </c>
      <c r="W37" s="1574">
        <f t="shared" si="12"/>
        <v>100</v>
      </c>
      <c r="X37" s="1567"/>
      <c r="Y37" s="3732"/>
      <c r="Z37" s="1575" t="str">
        <f t="shared" si="13"/>
        <v>宗地形状</v>
      </c>
      <c r="AA37" s="1576">
        <f t="shared" si="3"/>
        <v>1</v>
      </c>
      <c r="AB37" s="1576">
        <f t="shared" si="4"/>
        <v>1</v>
      </c>
      <c r="AC37" s="1576">
        <f t="shared" si="5"/>
        <v>1</v>
      </c>
    </row>
    <row r="38" spans="1:29" s="1220" customFormat="1" ht="15">
      <c r="A38" s="600"/>
      <c r="B38" s="1896" t="s">
        <v>2427</v>
      </c>
      <c r="C38" s="601" t="s">
        <v>3477</v>
      </c>
      <c r="D38" s="255">
        <v>100</v>
      </c>
      <c r="E38" s="601" t="s">
        <v>3481</v>
      </c>
      <c r="F38" s="540">
        <f>SUMIF(114:114,E38,115:115)-SUMIF(114:114,C38,115:115)+100</f>
        <v>99</v>
      </c>
      <c r="G38" s="601" t="s">
        <v>3482</v>
      </c>
      <c r="H38" s="540">
        <f>SUMIF(114:114,G38,115:115)-SUMIF(114:114,C38,115:115)+100</f>
        <v>96</v>
      </c>
      <c r="I38" s="601" t="s">
        <v>3477</v>
      </c>
      <c r="J38" s="540">
        <f>SUMIF(114:114,I38,115:115)-SUMIF(114:114,C38,115:115)+100</f>
        <v>100</v>
      </c>
      <c r="K38" s="584">
        <v>1</v>
      </c>
      <c r="L38" s="2136"/>
      <c r="M38" s="2137"/>
      <c r="N38" s="2137"/>
      <c r="O38" s="2138"/>
      <c r="P38" s="3732"/>
      <c r="Q38" s="1572" t="str">
        <f t="shared" si="14"/>
        <v>宗地开发程度</v>
      </c>
      <c r="R38" s="1568" t="s">
        <v>8</v>
      </c>
      <c r="S38" s="1569">
        <f t="shared" si="10"/>
        <v>99</v>
      </c>
      <c r="T38" s="1568" t="s">
        <v>8</v>
      </c>
      <c r="U38" s="1569">
        <f t="shared" si="11"/>
        <v>96</v>
      </c>
      <c r="V38" s="1568" t="s">
        <v>8</v>
      </c>
      <c r="W38" s="1569">
        <f t="shared" si="12"/>
        <v>100</v>
      </c>
      <c r="X38" s="1570"/>
      <c r="Y38" s="3732"/>
      <c r="Z38" s="1150" t="str">
        <f t="shared" si="13"/>
        <v>宗地开发程度</v>
      </c>
      <c r="AA38" s="1571">
        <f t="shared" si="3"/>
        <v>1.0101010101010102</v>
      </c>
      <c r="AB38" s="1571">
        <f t="shared" si="4"/>
        <v>1.0416666666666667</v>
      </c>
      <c r="AC38" s="1571">
        <f t="shared" si="5"/>
        <v>1</v>
      </c>
    </row>
    <row r="39" spans="1:29" ht="15">
      <c r="A39" s="594"/>
      <c r="B39" s="527" t="s">
        <v>554</v>
      </c>
      <c r="C39" s="599" t="s">
        <v>3503</v>
      </c>
      <c r="D39" s="540">
        <v>100</v>
      </c>
      <c r="E39" s="599" t="s">
        <v>3503</v>
      </c>
      <c r="F39" s="540">
        <f>SUMIF(116:116,E39,117:117)-SUMIF(116:116,C39,117:117)+100</f>
        <v>100</v>
      </c>
      <c r="G39" s="599" t="s">
        <v>3503</v>
      </c>
      <c r="H39" s="540">
        <f>SUMIF(116:116,G39,117:117)-SUMIF(116:116,C39,117:117)+100</f>
        <v>100</v>
      </c>
      <c r="I39" s="599" t="s">
        <v>3503</v>
      </c>
      <c r="J39" s="540">
        <f>SUMIF(116:116,I39,117:117)-SUMIF(116:116,C39,117:117)+100</f>
        <v>100</v>
      </c>
      <c r="K39" s="584"/>
      <c r="L39" s="2143"/>
      <c r="M39" s="2135"/>
      <c r="N39" s="2135"/>
      <c r="O39" s="2142"/>
      <c r="P39" s="3732" t="s">
        <v>600</v>
      </c>
      <c r="Q39" s="1572" t="str">
        <f t="shared" si="14"/>
        <v>工程地质条件</v>
      </c>
      <c r="R39" s="1573" t="s">
        <v>8</v>
      </c>
      <c r="S39" s="1574">
        <f t="shared" si="10"/>
        <v>100</v>
      </c>
      <c r="T39" s="1573" t="s">
        <v>8</v>
      </c>
      <c r="U39" s="1574">
        <f t="shared" si="11"/>
        <v>100</v>
      </c>
      <c r="V39" s="1573" t="s">
        <v>8</v>
      </c>
      <c r="W39" s="1574">
        <f t="shared" si="12"/>
        <v>100</v>
      </c>
      <c r="X39" s="1567"/>
      <c r="Y39" s="3732"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32"/>
      <c r="Q40" s="1572">
        <f t="shared" si="14"/>
        <v>111</v>
      </c>
      <c r="R40" s="1573" t="s">
        <v>8</v>
      </c>
      <c r="S40" s="1574">
        <f t="shared" si="10"/>
        <v>100</v>
      </c>
      <c r="T40" s="1573" t="s">
        <v>8</v>
      </c>
      <c r="U40" s="1574">
        <f t="shared" si="11"/>
        <v>100</v>
      </c>
      <c r="V40" s="1573" t="s">
        <v>8</v>
      </c>
      <c r="W40" s="1574">
        <f t="shared" si="12"/>
        <v>100</v>
      </c>
      <c r="X40" s="1567"/>
      <c r="Y40" s="373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32"/>
      <c r="Q41" s="1572">
        <f t="shared" si="14"/>
        <v>111</v>
      </c>
      <c r="R41" s="1573" t="s">
        <v>8</v>
      </c>
      <c r="S41" s="1574">
        <f t="shared" si="10"/>
        <v>100</v>
      </c>
      <c r="T41" s="1573" t="s">
        <v>8</v>
      </c>
      <c r="U41" s="1574">
        <f t="shared" si="11"/>
        <v>100</v>
      </c>
      <c r="V41" s="1573" t="s">
        <v>8</v>
      </c>
      <c r="W41" s="1574">
        <f t="shared" si="12"/>
        <v>100</v>
      </c>
      <c r="X41" s="1567"/>
      <c r="Y41" s="373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32"/>
      <c r="Q42" s="1572">
        <f t="shared" si="14"/>
        <v>111</v>
      </c>
      <c r="R42" s="1577" t="s">
        <v>8</v>
      </c>
      <c r="S42" s="1578">
        <f t="shared" si="10"/>
        <v>100</v>
      </c>
      <c r="T42" s="1577" t="s">
        <v>8</v>
      </c>
      <c r="U42" s="1578">
        <f t="shared" si="11"/>
        <v>100</v>
      </c>
      <c r="V42" s="1577" t="s">
        <v>8</v>
      </c>
      <c r="W42" s="1578">
        <f t="shared" si="12"/>
        <v>100</v>
      </c>
      <c r="X42" s="1579"/>
      <c r="Y42" s="3732"/>
      <c r="Z42" s="1580">
        <f t="shared" si="13"/>
        <v>111</v>
      </c>
      <c r="AA42" s="1576">
        <f t="shared" si="3"/>
        <v>1</v>
      </c>
      <c r="AB42" s="1576">
        <f t="shared" si="4"/>
        <v>1</v>
      </c>
      <c r="AC42" s="1576">
        <f t="shared" si="5"/>
        <v>1</v>
      </c>
    </row>
    <row r="43" spans="1:29" ht="15">
      <c r="A43" s="607" t="s">
        <v>555</v>
      </c>
      <c r="B43" s="608" t="s">
        <v>2934</v>
      </c>
      <c r="C43" s="609" t="s">
        <v>1</v>
      </c>
      <c r="D43" s="610"/>
      <c r="E43" s="611">
        <v>3679</v>
      </c>
      <c r="F43" s="612"/>
      <c r="G43" s="613">
        <v>3083</v>
      </c>
      <c r="H43" s="614"/>
      <c r="I43" s="611">
        <f>ROUND(顺义案例!J5,0)</f>
        <v>2723</v>
      </c>
      <c r="J43" s="614"/>
      <c r="K43" s="1340"/>
      <c r="L43" s="2145"/>
      <c r="M43" s="2135"/>
      <c r="N43" s="2135"/>
      <c r="O43" s="2146"/>
      <c r="P43" s="3727" t="str">
        <f>A43</f>
        <v>成交单价</v>
      </c>
      <c r="Q43" s="3727"/>
      <c r="R43" s="3741">
        <f>E43</f>
        <v>3679</v>
      </c>
      <c r="S43" s="3741"/>
      <c r="T43" s="3741">
        <f>G43</f>
        <v>3083</v>
      </c>
      <c r="U43" s="3741"/>
      <c r="V43" s="3741">
        <f>I43</f>
        <v>2723</v>
      </c>
      <c r="W43" s="3741"/>
      <c r="X43" s="1559"/>
      <c r="Y43" s="1581"/>
      <c r="Z43" s="1559"/>
      <c r="AA43" s="1559"/>
      <c r="AB43" s="1559"/>
      <c r="AC43" s="1559"/>
    </row>
    <row r="44" spans="1:29" ht="15.75" thickBot="1">
      <c r="A44" s="615" t="s">
        <v>2696</v>
      </c>
      <c r="B44" s="616"/>
      <c r="C44" s="617">
        <f>R45</f>
        <v>3241</v>
      </c>
      <c r="D44" s="618"/>
      <c r="E44" s="617">
        <f>R44</f>
        <v>3804</v>
      </c>
      <c r="F44" s="619"/>
      <c r="G44" s="620">
        <f>T44</f>
        <v>3192</v>
      </c>
      <c r="H44" s="618"/>
      <c r="I44" s="617">
        <f>V44</f>
        <v>2728</v>
      </c>
      <c r="J44" s="618"/>
      <c r="K44" s="1341"/>
      <c r="L44" s="2145"/>
      <c r="M44" s="2135"/>
      <c r="N44" s="2135"/>
      <c r="O44" s="2146"/>
      <c r="P44" s="3727" t="str">
        <f>A44</f>
        <v>比较价格（元/平方米）</v>
      </c>
      <c r="Q44" s="3727"/>
      <c r="R44" s="3751">
        <f>ROUND(PRODUCT(R43,AA9:AA42),0)</f>
        <v>3804</v>
      </c>
      <c r="S44" s="3751"/>
      <c r="T44" s="3751">
        <f>ROUND(PRODUCT(T43,AB9:AB42),0)</f>
        <v>3192</v>
      </c>
      <c r="U44" s="3751"/>
      <c r="V44" s="3751">
        <f>ROUND(PRODUCT(V43,AC9:AC42),0)</f>
        <v>2728</v>
      </c>
      <c r="W44" s="3751"/>
      <c r="X44" s="1559"/>
      <c r="Y44" s="1559"/>
      <c r="Z44" s="1559"/>
      <c r="AA44" s="1559"/>
      <c r="AB44" s="1559"/>
      <c r="AC44" s="1559"/>
    </row>
    <row r="45" spans="1:29" ht="15.75" thickBot="1">
      <c r="A45" s="621" t="s">
        <v>3505</v>
      </c>
      <c r="B45" s="622"/>
      <c r="C45" s="623">
        <f>R45</f>
        <v>3241</v>
      </c>
      <c r="D45" s="623"/>
      <c r="E45" s="623"/>
      <c r="F45" s="623"/>
      <c r="G45" s="623"/>
      <c r="H45" s="623"/>
      <c r="I45" s="623"/>
      <c r="J45" s="623"/>
      <c r="K45" s="1342"/>
      <c r="L45" s="2145"/>
      <c r="M45" s="2135"/>
      <c r="N45" s="2135"/>
      <c r="O45" s="2146"/>
      <c r="P45" s="3748" t="str">
        <f>A45</f>
        <v>估价对象工业用房的比较价格（楼面单价，元/平方米）</v>
      </c>
      <c r="Q45" s="3749"/>
      <c r="R45" s="3750">
        <f>ROUND(AVERAGE(R44:V44),0)</f>
        <v>3241</v>
      </c>
      <c r="S45" s="3750"/>
      <c r="T45" s="3750"/>
      <c r="U45" s="3750"/>
      <c r="V45" s="3750"/>
      <c r="W45" s="375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f>IF(E43&lt;E44,E44/E43-1,E43/E44-1)</f>
        <v>3.3976624082631135E-2</v>
      </c>
      <c r="F48" s="627" t="str">
        <f>IF(OR(E48&gt;=0.3,E48&lt;=-0.3),"超过30%","")</f>
        <v/>
      </c>
      <c r="G48" s="626">
        <f>IF(G43&lt;G44,G44/G43-1,G43/G44-1)</f>
        <v>3.5355173532273687E-2</v>
      </c>
      <c r="H48" s="627" t="str">
        <f>IF(OR(G48&gt;=0.3,G48&lt;=-0.3),"超过30%","")</f>
        <v/>
      </c>
      <c r="I48" s="626">
        <f>IF(I43&lt;I44,I44/I43-1,I43/I44-1)</f>
        <v>1.8362100624311761E-3</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f>IF(E44&lt;G44,G44/E44-1,E44/G44-1)</f>
        <v>0.19172932330827064</v>
      </c>
      <c r="F49" s="627" t="str">
        <f>IF(OR(E49&gt;=0.2,E49&lt;=-0.2),"超过20%","")</f>
        <v/>
      </c>
      <c r="G49" s="626">
        <f>IF(G44&lt;I44,I44/G44-1,G44/I44-1)</f>
        <v>0.17008797653958951</v>
      </c>
      <c r="H49" s="627" t="str">
        <f>IF(OR(G49&gt;=0.2,G49&lt;=-0.2),"超过20%","")</f>
        <v/>
      </c>
      <c r="I49" s="626">
        <f>IF(I44&lt;E44,E44/I44-1,I44/E44-1)</f>
        <v>0.39442815249266872</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f>IF(E43&lt;G43,G43/E43-1,E43/G43-1)</f>
        <v>0.1933181965617905</v>
      </c>
      <c r="F50" s="627" t="str">
        <f>IF(OR(E50&gt;=0.3,E50&lt;=-0.3),"超过30%","")</f>
        <v/>
      </c>
      <c r="G50" s="626">
        <f>IF(G43&lt;I43,I43/G43-1,G43/I43-1)</f>
        <v>0.13220712449504224</v>
      </c>
      <c r="H50" s="627" t="str">
        <f>IF(OR(G50&gt;=0.3,G50&lt;=-0.3),"超过30%","")</f>
        <v/>
      </c>
      <c r="I50" s="626">
        <f>IF(I43&lt;E43,E43/I43-1,I43/E43-1)</f>
        <v>0.35108336393683448</v>
      </c>
      <c r="J50" s="627" t="str">
        <f>IF(OR(I50&gt;=0.3,I50&lt;=-0.3),"超过30%","")</f>
        <v>超过30%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829" t="s">
        <v>2286</v>
      </c>
      <c r="H52" s="3830"/>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f>C45</f>
        <v>3241</v>
      </c>
      <c r="C53" s="635">
        <v>1</v>
      </c>
      <c r="D53" s="2229">
        <v>1</v>
      </c>
      <c r="E53" s="635">
        <f>'数据-汇总表'!E8+'数据-汇总表'!E9</f>
        <v>59362.400000000001</v>
      </c>
      <c r="F53" s="1951">
        <f t="shared" ref="F53:F62" si="15">ROUND(B53*E53/10000,0)</f>
        <v>19239</v>
      </c>
      <c r="G53" s="3831"/>
      <c r="H53" s="3832"/>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f>ROUND($C$45*C54*D54,0)</f>
        <v>0</v>
      </c>
      <c r="C54" s="378">
        <f t="shared" ref="C54:C62" si="16">IF($C$52="北京市系数",I54,J54)</f>
        <v>0</v>
      </c>
      <c r="D54" s="2230">
        <v>0.25</v>
      </c>
      <c r="E54" s="639"/>
      <c r="F54" s="1951">
        <f t="shared" si="15"/>
        <v>0</v>
      </c>
      <c r="G54" s="3833"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f t="shared" ref="B55:B62" si="17">ROUND($C$45*C55*D55,0)</f>
        <v>0</v>
      </c>
      <c r="C55" s="378">
        <f t="shared" si="16"/>
        <v>0</v>
      </c>
      <c r="D55" s="2230">
        <v>0.25</v>
      </c>
      <c r="E55" s="639"/>
      <c r="F55" s="1951">
        <f t="shared" si="15"/>
        <v>0</v>
      </c>
      <c r="G55" s="3833"/>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f t="shared" si="17"/>
        <v>0</v>
      </c>
      <c r="C56" s="378">
        <f t="shared" si="16"/>
        <v>0</v>
      </c>
      <c r="D56" s="2230">
        <v>0.25</v>
      </c>
      <c r="E56" s="639"/>
      <c r="F56" s="1951">
        <f t="shared" si="15"/>
        <v>0</v>
      </c>
      <c r="G56" s="3833"/>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f t="shared" si="17"/>
        <v>0</v>
      </c>
      <c r="C57" s="378">
        <f t="shared" si="16"/>
        <v>0</v>
      </c>
      <c r="D57" s="2230">
        <v>0.25</v>
      </c>
      <c r="E57" s="639"/>
      <c r="F57" s="1951">
        <f t="shared" si="15"/>
        <v>0</v>
      </c>
      <c r="G57" s="3833"/>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f t="shared" si="17"/>
        <v>0</v>
      </c>
      <c r="C58" s="378">
        <f t="shared" si="16"/>
        <v>0</v>
      </c>
      <c r="D58" s="2230">
        <v>0.25</v>
      </c>
      <c r="E58" s="641">
        <f>'数据-汇总表'!E11</f>
        <v>0</v>
      </c>
      <c r="F58" s="1951">
        <f t="shared" si="15"/>
        <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f t="shared" si="17"/>
        <v>0</v>
      </c>
      <c r="C59" s="378">
        <f t="shared" si="16"/>
        <v>0</v>
      </c>
      <c r="D59" s="2230">
        <v>0.25</v>
      </c>
      <c r="E59" s="641">
        <f>'数据-汇总表'!E12</f>
        <v>0</v>
      </c>
      <c r="F59" s="1951">
        <f t="shared" si="15"/>
        <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f t="shared" si="17"/>
        <v>0</v>
      </c>
      <c r="C60" s="378">
        <f t="shared" si="16"/>
        <v>0</v>
      </c>
      <c r="D60" s="2230">
        <v>0.25</v>
      </c>
      <c r="E60" s="641">
        <f>'数据-汇总表'!E13</f>
        <v>0</v>
      </c>
      <c r="F60" s="1951">
        <f t="shared" si="15"/>
        <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f t="shared" si="17"/>
        <v>0</v>
      </c>
      <c r="C61" s="378">
        <f t="shared" si="16"/>
        <v>0</v>
      </c>
      <c r="D61" s="2230">
        <v>0.25</v>
      </c>
      <c r="E61" s="641">
        <f>'数据-汇总表'!E14</f>
        <v>0</v>
      </c>
      <c r="F61" s="1951">
        <f t="shared" si="15"/>
        <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f t="shared" si="17"/>
        <v>0</v>
      </c>
      <c r="C62" s="378">
        <f t="shared" si="16"/>
        <v>0</v>
      </c>
      <c r="D62" s="2230">
        <v>0.25</v>
      </c>
      <c r="E62" s="641">
        <f>'数据-汇总表'!E15</f>
        <v>0</v>
      </c>
      <c r="F62" s="1951">
        <f t="shared" si="15"/>
        <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2296</v>
      </c>
      <c r="E63" s="643">
        <f>IF(B43="楼面地价",SUM(E53:E62),'数据-汇总表'!D3)</f>
        <v>182153.37</v>
      </c>
      <c r="F63" s="644">
        <f>IF(B43="楼面地价",SUM(F53:F62),ROUND(C45*E63/10000,0))</f>
        <v>59036</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2652</v>
      </c>
      <c r="B68" s="479" t="str">
        <f>"北京市平均增长率"&amp;TEXT(基准地价!P24,"0.00%")</f>
        <v>北京市平均增长率1.35%</v>
      </c>
      <c r="C68" s="894">
        <v>100</v>
      </c>
      <c r="D68" s="730">
        <v>100</v>
      </c>
      <c r="E68" s="730">
        <v>100</v>
      </c>
      <c r="F68" s="730">
        <v>100</v>
      </c>
      <c r="G68" s="730">
        <v>100</v>
      </c>
      <c r="H68" s="730">
        <v>100</v>
      </c>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3412" t="s">
        <v>3472</v>
      </c>
      <c r="D72" s="3412" t="s">
        <v>3474</v>
      </c>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v>100</v>
      </c>
      <c r="D73" s="671">
        <v>102</v>
      </c>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99</v>
      </c>
      <c r="E86" s="679">
        <f>D86-$K17</f>
        <v>98</v>
      </c>
      <c r="F86" s="679">
        <f>E86-$K17</f>
        <v>97</v>
      </c>
      <c r="G86" s="679">
        <f>F86-$K17</f>
        <v>96</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98</v>
      </c>
      <c r="E88" s="679">
        <f>D88-$K19</f>
        <v>96</v>
      </c>
      <c r="F88" s="679">
        <f>E88-$K19</f>
        <v>94</v>
      </c>
      <c r="G88" s="679">
        <f>F88-$K19</f>
        <v>92</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98</v>
      </c>
      <c r="E94" s="679">
        <f>D94-$K25</f>
        <v>96</v>
      </c>
      <c r="F94" s="679">
        <f>E94-$K25</f>
        <v>94</v>
      </c>
      <c r="G94" s="679">
        <f>F94-$K25</f>
        <v>92</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99</v>
      </c>
      <c r="E96" s="679">
        <f>D96-$K27</f>
        <v>98</v>
      </c>
      <c r="F96" s="679">
        <f>E96-$K27</f>
        <v>97</v>
      </c>
      <c r="G96" s="679">
        <f>F96-$K27</f>
        <v>96</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3418" t="s">
        <v>3490</v>
      </c>
      <c r="D99" s="3418" t="s">
        <v>3491</v>
      </c>
      <c r="E99" s="3418" t="s">
        <v>3492</v>
      </c>
      <c r="F99" s="3418" t="s">
        <v>3494</v>
      </c>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99</v>
      </c>
      <c r="E100" s="679">
        <f t="shared" si="23"/>
        <v>98</v>
      </c>
      <c r="F100" s="679">
        <f t="shared" si="23"/>
        <v>97</v>
      </c>
      <c r="G100" s="679">
        <f t="shared" si="23"/>
        <v>96</v>
      </c>
      <c r="H100" s="679">
        <f t="shared" si="23"/>
        <v>95</v>
      </c>
      <c r="I100" s="679">
        <f t="shared" si="23"/>
        <v>94</v>
      </c>
      <c r="J100" s="679">
        <f t="shared" si="23"/>
        <v>93</v>
      </c>
      <c r="K100" s="679">
        <f t="shared" si="23"/>
        <v>92</v>
      </c>
      <c r="L100" s="679">
        <f t="shared" si="23"/>
        <v>91</v>
      </c>
      <c r="M100" s="679">
        <f t="shared" si="23"/>
        <v>90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3421" t="s">
        <v>3495</v>
      </c>
      <c r="D101" s="3421" t="s">
        <v>3496</v>
      </c>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79">
        <f t="shared" si="24"/>
        <v>80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550</v>
      </c>
      <c r="B109" s="665" t="s">
        <v>592</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200000(含)-500000</v>
      </c>
      <c r="H109" s="704" t="str">
        <f t="shared" si="25"/>
        <v>500000(含)-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50000</v>
      </c>
      <c r="E110" s="730">
        <v>100000</v>
      </c>
      <c r="F110" s="730">
        <v>150000</v>
      </c>
      <c r="G110" s="730">
        <v>200000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92</v>
      </c>
      <c r="D111" s="726">
        <v>94</v>
      </c>
      <c r="E111" s="726">
        <v>96</v>
      </c>
      <c r="F111" s="726">
        <v>98</v>
      </c>
      <c r="G111" s="726">
        <v>100</v>
      </c>
      <c r="H111" s="726">
        <v>102</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3421" t="s">
        <v>3498</v>
      </c>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t="s">
        <v>3484</v>
      </c>
      <c r="D114" s="1375" t="s">
        <v>3500</v>
      </c>
      <c r="E114" s="1375" t="s">
        <v>3501</v>
      </c>
      <c r="F114" s="1375" t="s">
        <v>3502</v>
      </c>
      <c r="G114" s="1375" t="s">
        <v>3483</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3418" t="s">
        <v>3504</v>
      </c>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2"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6"/>
  <sheetViews>
    <sheetView workbookViewId="0">
      <selection activeCell="K6" sqref="K6"/>
    </sheetView>
  </sheetViews>
  <sheetFormatPr defaultRowHeight="13.5"/>
  <cols>
    <col min="1" max="1" width="17.375" customWidth="1"/>
    <col min="6" max="6" width="7.375" customWidth="1"/>
    <col min="7" max="7" width="12.75" customWidth="1"/>
    <col min="11" max="11" width="12.75" bestFit="1" customWidth="1"/>
  </cols>
  <sheetData>
    <row r="1" spans="1:16357" s="3409" customFormat="1" ht="63" customHeight="1">
      <c r="A1" s="3408" t="s">
        <v>3443</v>
      </c>
      <c r="B1" s="3408" t="s">
        <v>3444</v>
      </c>
      <c r="C1" s="3408" t="s">
        <v>3445</v>
      </c>
      <c r="D1" s="3408" t="s">
        <v>3446</v>
      </c>
      <c r="E1" s="3408" t="s">
        <v>3447</v>
      </c>
      <c r="F1" s="3408" t="s">
        <v>2034</v>
      </c>
      <c r="G1" s="3408" t="s">
        <v>3448</v>
      </c>
      <c r="H1" s="3408" t="s">
        <v>3449</v>
      </c>
      <c r="I1" s="3408" t="s">
        <v>3450</v>
      </c>
      <c r="J1" s="3408" t="s">
        <v>3451</v>
      </c>
      <c r="K1" s="3456" t="s">
        <v>3525</v>
      </c>
      <c r="L1" s="3408" t="s">
        <v>3452</v>
      </c>
      <c r="M1" s="3408" t="s">
        <v>3453</v>
      </c>
      <c r="N1" s="3408" t="s">
        <v>3454</v>
      </c>
      <c r="O1" s="3408" t="s">
        <v>3455</v>
      </c>
      <c r="P1" s="3408" t="s">
        <v>3456</v>
      </c>
      <c r="Q1" s="3408" t="s">
        <v>3457</v>
      </c>
      <c r="R1" s="3408"/>
    </row>
    <row r="2" spans="1:16357" s="3401" customFormat="1" ht="37.5" customHeight="1">
      <c r="A2" s="3410" t="s">
        <v>3458</v>
      </c>
      <c r="B2" s="3239" t="s">
        <v>3459</v>
      </c>
      <c r="C2" s="3239" t="s">
        <v>3460</v>
      </c>
      <c r="D2" s="3239">
        <v>4280.58</v>
      </c>
      <c r="E2" s="3239">
        <v>3424</v>
      </c>
      <c r="F2" s="3239">
        <v>0.8</v>
      </c>
      <c r="G2" s="3239" t="s">
        <v>3461</v>
      </c>
      <c r="H2" s="3239">
        <v>642.09</v>
      </c>
      <c r="I2" s="3239">
        <v>100</v>
      </c>
      <c r="J2" s="3239">
        <v>1875.25</v>
      </c>
      <c r="K2" s="3239">
        <f>H2*10000/D2</f>
        <v>1500.0070083960586</v>
      </c>
      <c r="L2" s="3239" t="s">
        <v>2820</v>
      </c>
      <c r="M2" s="3239">
        <v>0</v>
      </c>
      <c r="N2" s="3239" t="s">
        <v>3462</v>
      </c>
      <c r="O2" s="3239" t="s">
        <v>2820</v>
      </c>
      <c r="P2" s="3239" t="s">
        <v>2820</v>
      </c>
      <c r="Q2" s="3239" t="s">
        <v>2820</v>
      </c>
      <c r="R2" s="3239"/>
    </row>
    <row r="3" spans="1:16357" s="3401" customFormat="1" ht="37.5" customHeight="1">
      <c r="A3" s="3402" t="s">
        <v>3468</v>
      </c>
      <c r="B3" s="3403" t="s">
        <v>3459</v>
      </c>
      <c r="C3" s="3403" t="s">
        <v>3463</v>
      </c>
      <c r="D3" s="3403">
        <v>31386.9</v>
      </c>
      <c r="E3" s="3403">
        <v>25110</v>
      </c>
      <c r="F3" s="3403">
        <v>0.8</v>
      </c>
      <c r="G3" s="3403" t="s">
        <v>3464</v>
      </c>
      <c r="H3" s="3403">
        <v>11547.52</v>
      </c>
      <c r="I3" s="3403">
        <v>245.27</v>
      </c>
      <c r="J3" s="3403">
        <v>4598.7700000000004</v>
      </c>
      <c r="K3" s="3403">
        <f>H3*10000/D3</f>
        <v>3679.0890467041982</v>
      </c>
      <c r="L3" s="3403" t="s">
        <v>2820</v>
      </c>
      <c r="M3" s="3403">
        <v>0</v>
      </c>
      <c r="N3" s="3403" t="s">
        <v>3462</v>
      </c>
      <c r="O3" s="3403" t="s">
        <v>2820</v>
      </c>
      <c r="P3" s="3403" t="s">
        <v>2820</v>
      </c>
      <c r="Q3" s="3403" t="s">
        <v>2820</v>
      </c>
      <c r="R3" s="3403"/>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04"/>
      <c r="AZ3" s="3404"/>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c r="CF3" s="3404"/>
      <c r="CG3" s="3404"/>
      <c r="CH3" s="3404"/>
      <c r="CI3" s="3404"/>
      <c r="CJ3" s="3404"/>
      <c r="CK3" s="3404"/>
      <c r="CL3" s="3404"/>
      <c r="CM3" s="3404"/>
      <c r="CN3" s="3404"/>
      <c r="CO3" s="3404"/>
      <c r="CP3" s="3404"/>
      <c r="CQ3" s="3404"/>
      <c r="CR3" s="3404"/>
      <c r="CS3" s="3404"/>
      <c r="CT3" s="3404"/>
      <c r="CU3" s="3404"/>
      <c r="CV3" s="3404"/>
      <c r="CW3" s="3404"/>
      <c r="CX3" s="3404"/>
      <c r="CY3" s="3404"/>
      <c r="CZ3" s="3404"/>
      <c r="DA3" s="3404"/>
      <c r="DB3" s="3404"/>
      <c r="DC3" s="3404"/>
      <c r="DD3" s="3404"/>
      <c r="DE3" s="3404"/>
      <c r="DF3" s="3404"/>
      <c r="DG3" s="3404"/>
      <c r="DH3" s="3404"/>
      <c r="DI3" s="3404"/>
      <c r="DJ3" s="3404"/>
      <c r="DK3" s="3404"/>
      <c r="DL3" s="3404"/>
      <c r="DM3" s="3404"/>
      <c r="DN3" s="3404"/>
      <c r="DO3" s="3404"/>
      <c r="DP3" s="3404"/>
      <c r="DQ3" s="3404"/>
      <c r="DR3" s="3404"/>
      <c r="DS3" s="3404"/>
      <c r="DT3" s="3404"/>
      <c r="DU3" s="3404"/>
      <c r="DV3" s="3404"/>
      <c r="DW3" s="3404"/>
      <c r="DX3" s="3404"/>
      <c r="DY3" s="3404"/>
      <c r="DZ3" s="3404"/>
      <c r="EA3" s="3404"/>
      <c r="EB3" s="3404"/>
      <c r="EC3" s="3404"/>
      <c r="ED3" s="3404"/>
      <c r="EE3" s="3404"/>
      <c r="EF3" s="3404"/>
      <c r="EG3" s="3404"/>
      <c r="EH3" s="3404"/>
      <c r="EI3" s="3404"/>
      <c r="EJ3" s="3404"/>
      <c r="EK3" s="3404"/>
      <c r="EL3" s="3404"/>
      <c r="EM3" s="3404"/>
      <c r="EN3" s="3404"/>
      <c r="EO3" s="3404"/>
      <c r="EP3" s="3404"/>
      <c r="EQ3" s="3404"/>
      <c r="ER3" s="3404"/>
      <c r="ES3" s="3404"/>
      <c r="ET3" s="3404"/>
      <c r="EU3" s="3404"/>
      <c r="EV3" s="3404"/>
      <c r="EW3" s="3404"/>
      <c r="EX3" s="3404"/>
      <c r="EY3" s="3404"/>
      <c r="EZ3" s="3404"/>
      <c r="FA3" s="3404"/>
      <c r="FB3" s="3404"/>
      <c r="FC3" s="3404"/>
      <c r="FD3" s="3404"/>
      <c r="FE3" s="3404"/>
      <c r="FF3" s="3404"/>
      <c r="FG3" s="3404"/>
      <c r="FH3" s="3404"/>
      <c r="FI3" s="3404"/>
      <c r="FJ3" s="3404"/>
      <c r="FK3" s="3404"/>
      <c r="FL3" s="3404"/>
      <c r="FM3" s="3404"/>
      <c r="FN3" s="3404"/>
      <c r="FO3" s="3404"/>
      <c r="FP3" s="3404"/>
      <c r="FQ3" s="3404"/>
      <c r="FR3" s="3404"/>
      <c r="FS3" s="3404"/>
      <c r="FT3" s="3404"/>
      <c r="FU3" s="3404"/>
      <c r="FV3" s="3404"/>
      <c r="FW3" s="3404"/>
      <c r="FX3" s="3404"/>
      <c r="FY3" s="3404"/>
      <c r="FZ3" s="3404"/>
      <c r="GA3" s="3404"/>
      <c r="GB3" s="3404"/>
      <c r="GC3" s="3404"/>
      <c r="GD3" s="3404"/>
      <c r="GE3" s="3404"/>
      <c r="GF3" s="3404"/>
      <c r="GG3" s="3404"/>
      <c r="GH3" s="3404"/>
      <c r="GI3" s="3404"/>
      <c r="GJ3" s="3404"/>
      <c r="GK3" s="3404"/>
      <c r="GL3" s="3404"/>
      <c r="GM3" s="3404"/>
      <c r="GN3" s="3404"/>
      <c r="GO3" s="3404"/>
      <c r="GP3" s="3404"/>
      <c r="GQ3" s="3404"/>
      <c r="GR3" s="3404"/>
      <c r="GS3" s="3404"/>
      <c r="GT3" s="3404"/>
      <c r="GU3" s="3404"/>
      <c r="GV3" s="3404"/>
      <c r="GW3" s="3404"/>
      <c r="GX3" s="3404"/>
      <c r="GY3" s="3404"/>
      <c r="GZ3" s="3404"/>
      <c r="HA3" s="3404"/>
      <c r="HB3" s="3404"/>
      <c r="HC3" s="3404"/>
      <c r="HD3" s="3404"/>
      <c r="HE3" s="3404"/>
      <c r="HF3" s="3404"/>
      <c r="HG3" s="3404"/>
      <c r="HH3" s="3404"/>
      <c r="HI3" s="3404"/>
      <c r="HJ3" s="3404"/>
      <c r="HK3" s="3404"/>
      <c r="HL3" s="3404"/>
      <c r="HM3" s="3404"/>
      <c r="HN3" s="3404"/>
      <c r="HO3" s="3404"/>
      <c r="HP3" s="3404"/>
      <c r="HQ3" s="3404"/>
      <c r="HR3" s="3404"/>
      <c r="HS3" s="3404"/>
      <c r="HT3" s="3404"/>
      <c r="HU3" s="3404"/>
      <c r="HV3" s="3404"/>
      <c r="HW3" s="3404"/>
      <c r="HX3" s="3404"/>
      <c r="HY3" s="3404"/>
      <c r="HZ3" s="3404"/>
      <c r="IA3" s="3404"/>
      <c r="IB3" s="3404"/>
      <c r="IC3" s="3404"/>
      <c r="ID3" s="3404"/>
      <c r="IE3" s="3404"/>
      <c r="IF3" s="3404"/>
      <c r="IG3" s="3404"/>
      <c r="IH3" s="3404"/>
      <c r="II3" s="3404"/>
      <c r="IJ3" s="3404"/>
      <c r="IK3" s="3404"/>
      <c r="IL3" s="3404"/>
      <c r="IM3" s="3404"/>
      <c r="IN3" s="3404"/>
      <c r="IO3" s="3404"/>
      <c r="IP3" s="3404"/>
      <c r="IQ3" s="3404"/>
      <c r="IR3" s="3404"/>
      <c r="IS3" s="3404"/>
      <c r="IT3" s="3404"/>
      <c r="IU3" s="3404"/>
      <c r="IV3" s="3404"/>
      <c r="IW3" s="3404"/>
      <c r="IX3" s="3404"/>
      <c r="IY3" s="3404"/>
      <c r="IZ3" s="3404"/>
      <c r="JA3" s="3404"/>
      <c r="JB3" s="3404"/>
      <c r="JC3" s="3404"/>
      <c r="JD3" s="3404"/>
      <c r="JE3" s="3404"/>
      <c r="JF3" s="3404"/>
      <c r="JG3" s="3404"/>
      <c r="JH3" s="3404"/>
      <c r="JI3" s="3404"/>
      <c r="JJ3" s="3404"/>
      <c r="JK3" s="3404"/>
      <c r="JL3" s="3404"/>
      <c r="JM3" s="3404"/>
      <c r="JN3" s="3404"/>
      <c r="JO3" s="3404"/>
      <c r="JP3" s="3404"/>
      <c r="JQ3" s="3404"/>
      <c r="JR3" s="3404"/>
      <c r="JS3" s="3404"/>
      <c r="JT3" s="3404"/>
      <c r="JU3" s="3404"/>
      <c r="JV3" s="3404"/>
      <c r="JW3" s="3404"/>
      <c r="JX3" s="3404"/>
      <c r="JY3" s="3404"/>
      <c r="JZ3" s="3404"/>
      <c r="KA3" s="3404"/>
      <c r="KB3" s="3404"/>
      <c r="KC3" s="3404"/>
      <c r="KD3" s="3404"/>
      <c r="KE3" s="3404"/>
      <c r="KF3" s="3404"/>
      <c r="KG3" s="3404"/>
      <c r="KH3" s="3404"/>
      <c r="KI3" s="3404"/>
      <c r="KJ3" s="3404"/>
      <c r="KK3" s="3404"/>
      <c r="KL3" s="3404"/>
      <c r="KM3" s="3404"/>
      <c r="KN3" s="3404"/>
      <c r="KO3" s="3404"/>
      <c r="KP3" s="3404"/>
      <c r="KQ3" s="3404"/>
      <c r="KR3" s="3404"/>
      <c r="KS3" s="3404"/>
      <c r="KT3" s="3404"/>
      <c r="KU3" s="3404"/>
      <c r="KV3" s="3404"/>
      <c r="KW3" s="3404"/>
      <c r="KX3" s="3404"/>
      <c r="KY3" s="3404"/>
      <c r="KZ3" s="3404"/>
      <c r="LA3" s="3404"/>
      <c r="LB3" s="3404"/>
      <c r="LC3" s="3404"/>
      <c r="LD3" s="3404"/>
      <c r="LE3" s="3404"/>
      <c r="LF3" s="3404"/>
      <c r="LG3" s="3404"/>
      <c r="LH3" s="3404"/>
      <c r="LI3" s="3404"/>
      <c r="LJ3" s="3404"/>
      <c r="LK3" s="3404"/>
      <c r="LL3" s="3404"/>
      <c r="LM3" s="3404"/>
      <c r="LN3" s="3404"/>
      <c r="LO3" s="3404"/>
      <c r="LP3" s="3404"/>
      <c r="LQ3" s="3404"/>
      <c r="LR3" s="3404"/>
      <c r="LS3" s="3404"/>
      <c r="LT3" s="3404"/>
      <c r="LU3" s="3404"/>
      <c r="LV3" s="3404"/>
      <c r="LW3" s="3404"/>
      <c r="LX3" s="3404"/>
      <c r="LY3" s="3404"/>
      <c r="LZ3" s="3404"/>
      <c r="MA3" s="3404"/>
      <c r="MB3" s="3404"/>
      <c r="MC3" s="3404"/>
      <c r="MD3" s="3404"/>
      <c r="ME3" s="3404"/>
      <c r="MF3" s="3404"/>
      <c r="MG3" s="3404"/>
      <c r="MH3" s="3404"/>
      <c r="MI3" s="3404"/>
      <c r="MJ3" s="3404"/>
      <c r="MK3" s="3404"/>
      <c r="ML3" s="3404"/>
      <c r="MM3" s="3404"/>
      <c r="MN3" s="3404"/>
      <c r="MO3" s="3404"/>
      <c r="MP3" s="3404"/>
      <c r="MQ3" s="3404"/>
      <c r="MR3" s="3404"/>
      <c r="MS3" s="3404"/>
      <c r="MT3" s="3404"/>
      <c r="MU3" s="3404"/>
      <c r="MV3" s="3404"/>
      <c r="MW3" s="3404"/>
      <c r="MX3" s="3404"/>
      <c r="MY3" s="3404"/>
      <c r="MZ3" s="3404"/>
      <c r="NA3" s="3404"/>
      <c r="NB3" s="3404"/>
      <c r="NC3" s="3404"/>
      <c r="ND3" s="3404"/>
      <c r="NE3" s="3404"/>
      <c r="NF3" s="3404"/>
      <c r="NG3" s="3404"/>
      <c r="NH3" s="3404"/>
      <c r="NI3" s="3404"/>
      <c r="NJ3" s="3404"/>
      <c r="NK3" s="3404"/>
      <c r="NL3" s="3404"/>
      <c r="NM3" s="3404"/>
      <c r="NN3" s="3404"/>
      <c r="NO3" s="3404"/>
      <c r="NP3" s="3404"/>
      <c r="NQ3" s="3404"/>
      <c r="NR3" s="3404"/>
      <c r="NS3" s="3404"/>
      <c r="NT3" s="3404"/>
      <c r="NU3" s="3404"/>
      <c r="NV3" s="3404"/>
      <c r="NW3" s="3404"/>
      <c r="NX3" s="3404"/>
      <c r="NY3" s="3404"/>
      <c r="NZ3" s="3404"/>
      <c r="OA3" s="3404"/>
      <c r="OB3" s="3404"/>
      <c r="OC3" s="3404"/>
      <c r="OD3" s="3404"/>
      <c r="OE3" s="3404"/>
      <c r="OF3" s="3404"/>
      <c r="OG3" s="3404"/>
      <c r="OH3" s="3404"/>
      <c r="OI3" s="3404"/>
      <c r="OJ3" s="3404"/>
      <c r="OK3" s="3404"/>
      <c r="OL3" s="3404"/>
      <c r="OM3" s="3404"/>
      <c r="ON3" s="3404"/>
      <c r="OO3" s="3404"/>
      <c r="OP3" s="3404"/>
      <c r="OQ3" s="3404"/>
      <c r="OR3" s="3404"/>
      <c r="OS3" s="3404"/>
      <c r="OT3" s="3404"/>
      <c r="OU3" s="3404"/>
      <c r="OV3" s="3404"/>
      <c r="OW3" s="3404"/>
      <c r="OX3" s="3404"/>
      <c r="OY3" s="3404"/>
      <c r="OZ3" s="3404"/>
      <c r="PA3" s="3404"/>
      <c r="PB3" s="3404"/>
      <c r="PC3" s="3404"/>
      <c r="PD3" s="3404"/>
      <c r="PE3" s="3404"/>
      <c r="PF3" s="3404"/>
      <c r="PG3" s="3404"/>
      <c r="PH3" s="3404"/>
      <c r="PI3" s="3404"/>
      <c r="PJ3" s="3404"/>
      <c r="PK3" s="3404"/>
      <c r="PL3" s="3404"/>
      <c r="PM3" s="3404"/>
      <c r="PN3" s="3404"/>
      <c r="PO3" s="3404"/>
      <c r="PP3" s="3404"/>
      <c r="PQ3" s="3404"/>
      <c r="PR3" s="3404"/>
      <c r="PS3" s="3404"/>
      <c r="PT3" s="3404"/>
      <c r="PU3" s="3404"/>
      <c r="PV3" s="3404"/>
      <c r="PW3" s="3404"/>
      <c r="PX3" s="3404"/>
      <c r="PY3" s="3404"/>
      <c r="PZ3" s="3404"/>
      <c r="QA3" s="3404"/>
      <c r="QB3" s="3404"/>
      <c r="QC3" s="3404"/>
      <c r="QD3" s="3404"/>
      <c r="QE3" s="3404"/>
      <c r="QF3" s="3404"/>
      <c r="QG3" s="3404"/>
      <c r="QH3" s="3404"/>
      <c r="QI3" s="3404"/>
      <c r="QJ3" s="3404"/>
      <c r="QK3" s="3404"/>
      <c r="QL3" s="3404"/>
      <c r="QM3" s="3404"/>
      <c r="QN3" s="3404"/>
      <c r="QO3" s="3404"/>
      <c r="QP3" s="3404"/>
      <c r="QQ3" s="3404"/>
      <c r="QR3" s="3404"/>
      <c r="QS3" s="3404"/>
      <c r="QT3" s="3404"/>
      <c r="QU3" s="3404"/>
      <c r="QV3" s="3404"/>
      <c r="QW3" s="3404"/>
      <c r="QX3" s="3404"/>
      <c r="QY3" s="3404"/>
      <c r="QZ3" s="3404"/>
      <c r="RA3" s="3404"/>
      <c r="RB3" s="3404"/>
      <c r="RC3" s="3404"/>
      <c r="RD3" s="3404"/>
      <c r="RE3" s="3404"/>
      <c r="RF3" s="3404"/>
      <c r="RG3" s="3404"/>
      <c r="RH3" s="3404"/>
      <c r="RI3" s="3404"/>
      <c r="RJ3" s="3404"/>
      <c r="RK3" s="3404"/>
      <c r="RL3" s="3404"/>
      <c r="RM3" s="3404"/>
      <c r="RN3" s="3404"/>
      <c r="RO3" s="3404"/>
      <c r="RP3" s="3404"/>
      <c r="RQ3" s="3404"/>
      <c r="RR3" s="3404"/>
      <c r="RS3" s="3404"/>
      <c r="RT3" s="3404"/>
      <c r="RU3" s="3404"/>
      <c r="RV3" s="3404"/>
      <c r="RW3" s="3404"/>
      <c r="RX3" s="3404"/>
      <c r="RY3" s="3404"/>
      <c r="RZ3" s="3404"/>
      <c r="SA3" s="3404"/>
      <c r="SB3" s="3404"/>
      <c r="SC3" s="3404"/>
      <c r="SD3" s="3404"/>
      <c r="SE3" s="3404"/>
      <c r="SF3" s="3404"/>
      <c r="SG3" s="3404"/>
      <c r="SH3" s="3404"/>
      <c r="SI3" s="3404"/>
      <c r="SJ3" s="3404"/>
      <c r="SK3" s="3404"/>
      <c r="SL3" s="3404"/>
      <c r="SM3" s="3404"/>
      <c r="SN3" s="3404"/>
      <c r="SO3" s="3404"/>
      <c r="SP3" s="3404"/>
      <c r="SQ3" s="3404"/>
      <c r="SR3" s="3404"/>
      <c r="SS3" s="3404"/>
      <c r="ST3" s="3404"/>
      <c r="SU3" s="3404"/>
      <c r="SV3" s="3404"/>
      <c r="SW3" s="3404"/>
      <c r="SX3" s="3404"/>
      <c r="SY3" s="3404"/>
      <c r="SZ3" s="3404"/>
      <c r="TA3" s="3404"/>
      <c r="TB3" s="3404"/>
      <c r="TC3" s="3404"/>
      <c r="TD3" s="3404"/>
      <c r="TE3" s="3404"/>
      <c r="TF3" s="3404"/>
      <c r="TG3" s="3404"/>
      <c r="TH3" s="3404"/>
      <c r="TI3" s="3404"/>
      <c r="TJ3" s="3404"/>
      <c r="TK3" s="3404"/>
      <c r="TL3" s="3404"/>
      <c r="TM3" s="3404"/>
      <c r="TN3" s="3404"/>
      <c r="TO3" s="3404"/>
      <c r="TP3" s="3404"/>
      <c r="TQ3" s="3404"/>
      <c r="TR3" s="3404"/>
      <c r="TS3" s="3404"/>
      <c r="TT3" s="3404"/>
      <c r="TU3" s="3404"/>
      <c r="TV3" s="3404"/>
      <c r="TW3" s="3404"/>
      <c r="TX3" s="3404"/>
      <c r="TY3" s="3404"/>
      <c r="TZ3" s="3404"/>
      <c r="UA3" s="3404"/>
      <c r="UB3" s="3404"/>
      <c r="UC3" s="3404"/>
      <c r="UD3" s="3404"/>
      <c r="UE3" s="3404"/>
      <c r="UF3" s="3404"/>
      <c r="UG3" s="3404"/>
      <c r="UH3" s="3404"/>
      <c r="UI3" s="3404"/>
      <c r="UJ3" s="3404"/>
      <c r="UK3" s="3404"/>
      <c r="UL3" s="3404"/>
      <c r="UM3" s="3404"/>
      <c r="UN3" s="3404"/>
      <c r="UO3" s="3404"/>
      <c r="UP3" s="3404"/>
      <c r="UQ3" s="3404"/>
      <c r="UR3" s="3404"/>
      <c r="US3" s="3404"/>
      <c r="UT3" s="3404"/>
      <c r="UU3" s="3404"/>
      <c r="UV3" s="3404"/>
      <c r="UW3" s="3404"/>
      <c r="UX3" s="3404"/>
      <c r="UY3" s="3404"/>
      <c r="UZ3" s="3404"/>
      <c r="VA3" s="3404"/>
      <c r="VB3" s="3404"/>
      <c r="VC3" s="3404"/>
      <c r="VD3" s="3404"/>
      <c r="VE3" s="3404"/>
      <c r="VF3" s="3404"/>
      <c r="VG3" s="3404"/>
      <c r="VH3" s="3404"/>
      <c r="VI3" s="3404"/>
      <c r="VJ3" s="3404"/>
      <c r="VK3" s="3404"/>
      <c r="VL3" s="3404"/>
      <c r="VM3" s="3404"/>
      <c r="VN3" s="3404"/>
      <c r="VO3" s="3404"/>
      <c r="VP3" s="3404"/>
      <c r="VQ3" s="3404"/>
      <c r="VR3" s="3404"/>
      <c r="VS3" s="3404"/>
      <c r="VT3" s="3404"/>
      <c r="VU3" s="3404"/>
      <c r="VV3" s="3404"/>
      <c r="VW3" s="3404"/>
      <c r="VX3" s="3404"/>
      <c r="VY3" s="3404"/>
      <c r="VZ3" s="3404"/>
      <c r="WA3" s="3404"/>
      <c r="WB3" s="3404"/>
      <c r="WC3" s="3404"/>
      <c r="WD3" s="3404"/>
      <c r="WE3" s="3404"/>
      <c r="WF3" s="3404"/>
      <c r="WG3" s="3404"/>
      <c r="WH3" s="3404"/>
      <c r="WI3" s="3404"/>
      <c r="WJ3" s="3404"/>
      <c r="WK3" s="3404"/>
      <c r="WL3" s="3404"/>
      <c r="WM3" s="3404"/>
      <c r="WN3" s="3404"/>
      <c r="WO3" s="3404"/>
      <c r="WP3" s="3404"/>
      <c r="WQ3" s="3404"/>
      <c r="WR3" s="3404"/>
      <c r="WS3" s="3404"/>
      <c r="WT3" s="3404"/>
      <c r="WU3" s="3404"/>
      <c r="WV3" s="3404"/>
      <c r="WW3" s="3404"/>
      <c r="WX3" s="3404"/>
      <c r="WY3" s="3404"/>
      <c r="WZ3" s="3404"/>
      <c r="XA3" s="3404"/>
      <c r="XB3" s="3404"/>
      <c r="XC3" s="3404"/>
      <c r="XD3" s="3404"/>
      <c r="XE3" s="3404"/>
      <c r="XF3" s="3404"/>
      <c r="XG3" s="3404"/>
      <c r="XH3" s="3404"/>
      <c r="XI3" s="3404"/>
      <c r="XJ3" s="3404"/>
      <c r="XK3" s="3404"/>
      <c r="XL3" s="3404"/>
      <c r="XM3" s="3404"/>
      <c r="XN3" s="3404"/>
      <c r="XO3" s="3404"/>
      <c r="XP3" s="3404"/>
      <c r="XQ3" s="3404"/>
      <c r="XR3" s="3404"/>
      <c r="XS3" s="3404"/>
      <c r="XT3" s="3404"/>
      <c r="XU3" s="3404"/>
      <c r="XV3" s="3404"/>
      <c r="XW3" s="3404"/>
      <c r="XX3" s="3404"/>
      <c r="XY3" s="3404"/>
      <c r="XZ3" s="3404"/>
      <c r="YA3" s="3404"/>
      <c r="YB3" s="3404"/>
      <c r="YC3" s="3404"/>
      <c r="YD3" s="3404"/>
      <c r="YE3" s="3404"/>
      <c r="YF3" s="3404"/>
      <c r="YG3" s="3404"/>
      <c r="YH3" s="3404"/>
      <c r="YI3" s="3404"/>
      <c r="YJ3" s="3404"/>
      <c r="YK3" s="3404"/>
      <c r="YL3" s="3404"/>
      <c r="YM3" s="3404"/>
      <c r="YN3" s="3404"/>
      <c r="YO3" s="3404"/>
      <c r="YP3" s="3404"/>
      <c r="YQ3" s="3404"/>
      <c r="YR3" s="3404"/>
      <c r="YS3" s="3404"/>
      <c r="YT3" s="3404"/>
      <c r="YU3" s="3404"/>
      <c r="YV3" s="3404"/>
      <c r="YW3" s="3404"/>
      <c r="YX3" s="3404"/>
      <c r="YY3" s="3404"/>
      <c r="YZ3" s="3404"/>
      <c r="ZA3" s="3404"/>
      <c r="ZB3" s="3404"/>
      <c r="ZC3" s="3404"/>
      <c r="ZD3" s="3404"/>
      <c r="ZE3" s="3404"/>
      <c r="ZF3" s="3404"/>
      <c r="ZG3" s="3404"/>
      <c r="ZH3" s="3404"/>
      <c r="ZI3" s="3404"/>
      <c r="ZJ3" s="3404"/>
      <c r="ZK3" s="3404"/>
      <c r="ZL3" s="3404"/>
      <c r="ZM3" s="3404"/>
      <c r="ZN3" s="3404"/>
      <c r="ZO3" s="3404"/>
      <c r="ZP3" s="3404"/>
      <c r="ZQ3" s="3404"/>
      <c r="ZR3" s="3404"/>
      <c r="ZS3" s="3404"/>
      <c r="ZT3" s="3404"/>
      <c r="ZU3" s="3404"/>
      <c r="ZV3" s="3404"/>
      <c r="ZW3" s="3404"/>
      <c r="ZX3" s="3404"/>
      <c r="ZY3" s="3404"/>
      <c r="ZZ3" s="3404"/>
      <c r="AAA3" s="3404"/>
      <c r="AAB3" s="3404"/>
      <c r="AAC3" s="3404"/>
      <c r="AAD3" s="3404"/>
      <c r="AAE3" s="3404"/>
      <c r="AAF3" s="3404"/>
      <c r="AAG3" s="3404"/>
      <c r="AAH3" s="3404"/>
      <c r="AAI3" s="3404"/>
      <c r="AAJ3" s="3404"/>
      <c r="AAK3" s="3404"/>
      <c r="AAL3" s="3404"/>
      <c r="AAM3" s="3404"/>
      <c r="AAN3" s="3404"/>
      <c r="AAO3" s="3404"/>
      <c r="AAP3" s="3404"/>
      <c r="AAQ3" s="3404"/>
      <c r="AAR3" s="3404"/>
      <c r="AAS3" s="3404"/>
      <c r="AAT3" s="3404"/>
      <c r="AAU3" s="3404"/>
      <c r="AAV3" s="3404"/>
      <c r="AAW3" s="3404"/>
      <c r="AAX3" s="3404"/>
      <c r="AAY3" s="3404"/>
      <c r="AAZ3" s="3404"/>
      <c r="ABA3" s="3404"/>
      <c r="ABB3" s="3404"/>
      <c r="ABC3" s="3404"/>
      <c r="ABD3" s="3404"/>
      <c r="ABE3" s="3404"/>
      <c r="ABF3" s="3404"/>
      <c r="ABG3" s="3404"/>
      <c r="ABH3" s="3404"/>
      <c r="ABI3" s="3404"/>
      <c r="ABJ3" s="3404"/>
      <c r="ABK3" s="3404"/>
      <c r="ABL3" s="3404"/>
      <c r="ABM3" s="3404"/>
      <c r="ABN3" s="3404"/>
      <c r="ABO3" s="3404"/>
      <c r="ABP3" s="3404"/>
      <c r="ABQ3" s="3404"/>
      <c r="ABR3" s="3404"/>
      <c r="ABS3" s="3404"/>
      <c r="ABT3" s="3404"/>
      <c r="ABU3" s="3404"/>
      <c r="ABV3" s="3404"/>
      <c r="ABW3" s="3404"/>
      <c r="ABX3" s="3404"/>
      <c r="ABY3" s="3404"/>
      <c r="ABZ3" s="3404"/>
      <c r="ACA3" s="3404"/>
      <c r="ACB3" s="3404"/>
      <c r="ACC3" s="3404"/>
      <c r="ACD3" s="3404"/>
      <c r="ACE3" s="3404"/>
      <c r="ACF3" s="3404"/>
      <c r="ACG3" s="3404"/>
      <c r="ACH3" s="3404"/>
      <c r="ACI3" s="3404"/>
      <c r="ACJ3" s="3404"/>
      <c r="ACK3" s="3404"/>
      <c r="ACL3" s="3404"/>
      <c r="ACM3" s="3404"/>
      <c r="ACN3" s="3404"/>
      <c r="ACO3" s="3404"/>
      <c r="ACP3" s="3404"/>
      <c r="ACQ3" s="3404"/>
      <c r="ACR3" s="3404"/>
      <c r="ACS3" s="3404"/>
      <c r="ACT3" s="3404"/>
      <c r="ACU3" s="3404"/>
      <c r="ACV3" s="3404"/>
      <c r="ACW3" s="3404"/>
      <c r="ACX3" s="3404"/>
      <c r="ACY3" s="3404"/>
      <c r="ACZ3" s="3404"/>
      <c r="ADA3" s="3404"/>
      <c r="ADB3" s="3404"/>
      <c r="ADC3" s="3404"/>
      <c r="ADD3" s="3404"/>
      <c r="ADE3" s="3404"/>
      <c r="ADF3" s="3404"/>
      <c r="ADG3" s="3404"/>
      <c r="ADH3" s="3404"/>
      <c r="ADI3" s="3404"/>
      <c r="ADJ3" s="3404"/>
      <c r="ADK3" s="3404"/>
      <c r="ADL3" s="3404"/>
      <c r="ADM3" s="3404"/>
      <c r="ADN3" s="3404"/>
      <c r="ADO3" s="3404"/>
      <c r="ADP3" s="3404"/>
      <c r="ADQ3" s="3404"/>
      <c r="ADR3" s="3404"/>
      <c r="ADS3" s="3404"/>
      <c r="ADT3" s="3404"/>
      <c r="ADU3" s="3404"/>
      <c r="ADV3" s="3404"/>
      <c r="ADW3" s="3404"/>
      <c r="ADX3" s="3404"/>
      <c r="ADY3" s="3404"/>
      <c r="ADZ3" s="3404"/>
      <c r="AEA3" s="3404"/>
      <c r="AEB3" s="3404"/>
      <c r="AEC3" s="3404"/>
      <c r="AED3" s="3404"/>
      <c r="AEE3" s="3404"/>
      <c r="AEF3" s="3404"/>
      <c r="AEG3" s="3404"/>
      <c r="AEH3" s="3404"/>
      <c r="AEI3" s="3404"/>
      <c r="AEJ3" s="3404"/>
      <c r="AEK3" s="3404"/>
      <c r="AEL3" s="3404"/>
      <c r="AEM3" s="3404"/>
      <c r="AEN3" s="3404"/>
      <c r="AEO3" s="3404"/>
      <c r="AEP3" s="3404"/>
      <c r="AEQ3" s="3404"/>
      <c r="AER3" s="3404"/>
      <c r="AES3" s="3404"/>
      <c r="AET3" s="3404"/>
      <c r="AEU3" s="3404"/>
      <c r="AEV3" s="3404"/>
      <c r="AEW3" s="3404"/>
      <c r="AEX3" s="3404"/>
      <c r="AEY3" s="3404"/>
      <c r="AEZ3" s="3404"/>
      <c r="AFA3" s="3404"/>
      <c r="AFB3" s="3404"/>
      <c r="AFC3" s="3404"/>
      <c r="AFD3" s="3404"/>
      <c r="AFE3" s="3404"/>
      <c r="AFF3" s="3404"/>
      <c r="AFG3" s="3404"/>
      <c r="AFH3" s="3404"/>
      <c r="AFI3" s="3404"/>
      <c r="AFJ3" s="3404"/>
      <c r="AFK3" s="3404"/>
      <c r="AFL3" s="3404"/>
      <c r="AFM3" s="3404"/>
      <c r="AFN3" s="3404"/>
      <c r="AFO3" s="3404"/>
      <c r="AFP3" s="3404"/>
      <c r="AFQ3" s="3404"/>
      <c r="AFR3" s="3404"/>
      <c r="AFS3" s="3404"/>
      <c r="AFT3" s="3404"/>
      <c r="AFU3" s="3404"/>
      <c r="AFV3" s="3404"/>
      <c r="AFW3" s="3404"/>
      <c r="AFX3" s="3404"/>
      <c r="AFY3" s="3404"/>
      <c r="AFZ3" s="3404"/>
      <c r="AGA3" s="3404"/>
      <c r="AGB3" s="3404"/>
      <c r="AGC3" s="3404"/>
      <c r="AGD3" s="3404"/>
      <c r="AGE3" s="3404"/>
      <c r="AGF3" s="3404"/>
      <c r="AGG3" s="3404"/>
      <c r="AGH3" s="3404"/>
      <c r="AGI3" s="3404"/>
      <c r="AGJ3" s="3404"/>
      <c r="AGK3" s="3404"/>
      <c r="AGL3" s="3404"/>
      <c r="AGM3" s="3404"/>
      <c r="AGN3" s="3404"/>
      <c r="AGO3" s="3404"/>
      <c r="AGP3" s="3404"/>
      <c r="AGQ3" s="3404"/>
      <c r="AGR3" s="3404"/>
      <c r="AGS3" s="3404"/>
      <c r="AGT3" s="3404"/>
      <c r="AGU3" s="3404"/>
      <c r="AGV3" s="3404"/>
      <c r="AGW3" s="3404"/>
      <c r="AGX3" s="3404"/>
      <c r="AGY3" s="3404"/>
      <c r="AGZ3" s="3404"/>
      <c r="AHA3" s="3404"/>
      <c r="AHB3" s="3404"/>
      <c r="AHC3" s="3404"/>
      <c r="AHD3" s="3404"/>
      <c r="AHE3" s="3404"/>
      <c r="AHF3" s="3404"/>
      <c r="AHG3" s="3404"/>
      <c r="AHH3" s="3404"/>
      <c r="AHI3" s="3404"/>
      <c r="AHJ3" s="3404"/>
      <c r="AHK3" s="3404"/>
      <c r="AHL3" s="3404"/>
      <c r="AHM3" s="3404"/>
      <c r="AHN3" s="3404"/>
      <c r="AHO3" s="3404"/>
      <c r="AHP3" s="3404"/>
      <c r="AHQ3" s="3404"/>
      <c r="AHR3" s="3404"/>
      <c r="AHS3" s="3404"/>
      <c r="AHT3" s="3404"/>
      <c r="AHU3" s="3404"/>
      <c r="AHV3" s="3404"/>
      <c r="AHW3" s="3404"/>
      <c r="AHX3" s="3404"/>
      <c r="AHY3" s="3404"/>
      <c r="AHZ3" s="3404"/>
      <c r="AIA3" s="3404"/>
      <c r="AIB3" s="3404"/>
      <c r="AIC3" s="3404"/>
      <c r="AID3" s="3404"/>
      <c r="AIE3" s="3404"/>
      <c r="AIF3" s="3404"/>
      <c r="AIG3" s="3404"/>
      <c r="AIH3" s="3404"/>
      <c r="AII3" s="3404"/>
      <c r="AIJ3" s="3404"/>
      <c r="AIK3" s="3404"/>
      <c r="AIL3" s="3404"/>
      <c r="AIM3" s="3404"/>
      <c r="AIN3" s="3404"/>
      <c r="AIO3" s="3404"/>
      <c r="AIP3" s="3404"/>
      <c r="AIQ3" s="3404"/>
      <c r="AIR3" s="3404"/>
      <c r="AIS3" s="3404"/>
      <c r="AIT3" s="3404"/>
      <c r="AIU3" s="3404"/>
      <c r="AIV3" s="3404"/>
      <c r="AIW3" s="3404"/>
      <c r="AIX3" s="3404"/>
      <c r="AIY3" s="3404"/>
      <c r="AIZ3" s="3404"/>
      <c r="AJA3" s="3404"/>
      <c r="AJB3" s="3404"/>
      <c r="AJC3" s="3404"/>
      <c r="AJD3" s="3404"/>
      <c r="AJE3" s="3404"/>
      <c r="AJF3" s="3404"/>
      <c r="AJG3" s="3404"/>
      <c r="AJH3" s="3404"/>
      <c r="AJI3" s="3404"/>
      <c r="AJJ3" s="3404"/>
      <c r="AJK3" s="3404"/>
      <c r="AJL3" s="3404"/>
      <c r="AJM3" s="3404"/>
      <c r="AJN3" s="3404"/>
      <c r="AJO3" s="3404"/>
      <c r="AJP3" s="3404"/>
      <c r="AJQ3" s="3404"/>
      <c r="AJR3" s="3404"/>
      <c r="AJS3" s="3404"/>
      <c r="AJT3" s="3404"/>
      <c r="AJU3" s="3404"/>
      <c r="AJV3" s="3404"/>
      <c r="AJW3" s="3404"/>
      <c r="AJX3" s="3404"/>
      <c r="AJY3" s="3404"/>
      <c r="AJZ3" s="3404"/>
      <c r="AKA3" s="3404"/>
      <c r="AKB3" s="3404"/>
      <c r="AKC3" s="3404"/>
      <c r="AKD3" s="3404"/>
      <c r="AKE3" s="3404"/>
      <c r="AKF3" s="3404"/>
      <c r="AKG3" s="3404"/>
      <c r="AKH3" s="3404"/>
      <c r="AKI3" s="3404"/>
      <c r="AKJ3" s="3404"/>
      <c r="AKK3" s="3404"/>
      <c r="AKL3" s="3404"/>
      <c r="AKM3" s="3404"/>
      <c r="AKN3" s="3404"/>
      <c r="AKO3" s="3404"/>
      <c r="AKP3" s="3404"/>
      <c r="AKQ3" s="3404"/>
      <c r="AKR3" s="3404"/>
      <c r="AKS3" s="3404"/>
      <c r="AKT3" s="3404"/>
      <c r="AKU3" s="3404"/>
      <c r="AKV3" s="3404"/>
      <c r="AKW3" s="3404"/>
      <c r="AKX3" s="3404"/>
      <c r="AKY3" s="3404"/>
      <c r="AKZ3" s="3404"/>
      <c r="ALA3" s="3404"/>
      <c r="ALB3" s="3404"/>
      <c r="ALC3" s="3404"/>
      <c r="ALD3" s="3404"/>
      <c r="ALE3" s="3404"/>
      <c r="ALF3" s="3404"/>
      <c r="ALG3" s="3404"/>
      <c r="ALH3" s="3404"/>
      <c r="ALI3" s="3404"/>
      <c r="ALJ3" s="3404"/>
      <c r="ALK3" s="3404"/>
      <c r="ALL3" s="3404"/>
      <c r="ALM3" s="3404"/>
      <c r="ALN3" s="3404"/>
      <c r="ALO3" s="3404"/>
      <c r="ALP3" s="3404"/>
      <c r="ALQ3" s="3404"/>
      <c r="ALR3" s="3404"/>
      <c r="ALS3" s="3404"/>
      <c r="ALT3" s="3404"/>
      <c r="ALU3" s="3404"/>
      <c r="ALV3" s="3404"/>
      <c r="ALW3" s="3404"/>
      <c r="ALX3" s="3404"/>
      <c r="ALY3" s="3404"/>
      <c r="ALZ3" s="3404"/>
      <c r="AMA3" s="3404"/>
      <c r="AMB3" s="3404"/>
      <c r="AMC3" s="3404"/>
      <c r="AMD3" s="3404"/>
      <c r="AME3" s="3404"/>
      <c r="AMF3" s="3404"/>
      <c r="AMG3" s="3404"/>
      <c r="AMH3" s="3404"/>
      <c r="AMI3" s="3404"/>
      <c r="AMJ3" s="3404"/>
      <c r="AMK3" s="3404"/>
      <c r="AML3" s="3404"/>
      <c r="AMM3" s="3404"/>
      <c r="AMN3" s="3404"/>
      <c r="AMO3" s="3404"/>
      <c r="AMP3" s="3404"/>
      <c r="AMQ3" s="3404"/>
      <c r="AMR3" s="3404"/>
      <c r="AMS3" s="3404"/>
      <c r="AMT3" s="3404"/>
      <c r="AMU3" s="3404"/>
      <c r="AMV3" s="3404"/>
      <c r="AMW3" s="3404"/>
      <c r="AMX3" s="3404"/>
      <c r="AMY3" s="3404"/>
      <c r="AMZ3" s="3404"/>
      <c r="ANA3" s="3404"/>
      <c r="ANB3" s="3404"/>
      <c r="ANC3" s="3404"/>
      <c r="AND3" s="3404"/>
      <c r="ANE3" s="3404"/>
      <c r="ANF3" s="3404"/>
      <c r="ANG3" s="3404"/>
      <c r="ANH3" s="3404"/>
      <c r="ANI3" s="3404"/>
      <c r="ANJ3" s="3404"/>
      <c r="ANK3" s="3404"/>
      <c r="ANL3" s="3404"/>
      <c r="ANM3" s="3404"/>
      <c r="ANN3" s="3404"/>
      <c r="ANO3" s="3404"/>
      <c r="ANP3" s="3404"/>
      <c r="ANQ3" s="3404"/>
      <c r="ANR3" s="3404"/>
      <c r="ANS3" s="3404"/>
      <c r="ANT3" s="3404"/>
      <c r="ANU3" s="3404"/>
      <c r="ANV3" s="3404"/>
      <c r="ANW3" s="3404"/>
      <c r="ANX3" s="3404"/>
      <c r="ANY3" s="3404"/>
      <c r="ANZ3" s="3404"/>
      <c r="AOA3" s="3404"/>
      <c r="AOB3" s="3404"/>
      <c r="AOC3" s="3404"/>
      <c r="AOD3" s="3404"/>
      <c r="AOE3" s="3404"/>
      <c r="AOF3" s="3404"/>
      <c r="AOG3" s="3404"/>
      <c r="AOH3" s="3404"/>
      <c r="AOI3" s="3404"/>
      <c r="AOJ3" s="3404"/>
      <c r="AOK3" s="3404"/>
      <c r="AOL3" s="3404"/>
      <c r="AOM3" s="3404"/>
      <c r="AON3" s="3404"/>
      <c r="AOO3" s="3404"/>
      <c r="AOP3" s="3404"/>
      <c r="AOQ3" s="3404"/>
      <c r="AOR3" s="3404"/>
      <c r="AOS3" s="3404"/>
      <c r="AOT3" s="3404"/>
      <c r="AOU3" s="3404"/>
      <c r="AOV3" s="3404"/>
      <c r="AOW3" s="3404"/>
      <c r="AOX3" s="3404"/>
      <c r="AOY3" s="3404"/>
      <c r="AOZ3" s="3404"/>
      <c r="APA3" s="3404"/>
      <c r="APB3" s="3404"/>
      <c r="APC3" s="3404"/>
      <c r="APD3" s="3404"/>
      <c r="APE3" s="3404"/>
      <c r="APF3" s="3404"/>
      <c r="APG3" s="3404"/>
      <c r="APH3" s="3404"/>
      <c r="API3" s="3404"/>
      <c r="APJ3" s="3404"/>
      <c r="APK3" s="3404"/>
      <c r="APL3" s="3404"/>
      <c r="APM3" s="3404"/>
      <c r="APN3" s="3404"/>
      <c r="APO3" s="3404"/>
      <c r="APP3" s="3404"/>
      <c r="APQ3" s="3404"/>
      <c r="APR3" s="3404"/>
      <c r="APS3" s="3404"/>
      <c r="APT3" s="3404"/>
      <c r="APU3" s="3404"/>
      <c r="APV3" s="3404"/>
      <c r="APW3" s="3404"/>
      <c r="APX3" s="3404"/>
      <c r="APY3" s="3404"/>
      <c r="APZ3" s="3404"/>
      <c r="AQA3" s="3404"/>
      <c r="AQB3" s="3404"/>
      <c r="AQC3" s="3404"/>
      <c r="AQD3" s="3404"/>
      <c r="AQE3" s="3404"/>
      <c r="AQF3" s="3404"/>
      <c r="AQG3" s="3404"/>
      <c r="AQH3" s="3404"/>
      <c r="AQI3" s="3404"/>
      <c r="AQJ3" s="3404"/>
      <c r="AQK3" s="3404"/>
      <c r="AQL3" s="3404"/>
      <c r="AQM3" s="3404"/>
      <c r="AQN3" s="3404"/>
      <c r="AQO3" s="3404"/>
      <c r="AQP3" s="3404"/>
      <c r="AQQ3" s="3404"/>
      <c r="AQR3" s="3404"/>
      <c r="AQS3" s="3404"/>
      <c r="AQT3" s="3404"/>
      <c r="AQU3" s="3404"/>
      <c r="AQV3" s="3404"/>
      <c r="AQW3" s="3404"/>
      <c r="AQX3" s="3404"/>
      <c r="AQY3" s="3404"/>
      <c r="AQZ3" s="3404"/>
      <c r="ARA3" s="3404"/>
      <c r="ARB3" s="3404"/>
      <c r="ARC3" s="3404"/>
      <c r="ARD3" s="3404"/>
      <c r="ARE3" s="3404"/>
      <c r="ARF3" s="3404"/>
      <c r="ARG3" s="3404"/>
      <c r="ARH3" s="3404"/>
      <c r="ARI3" s="3404"/>
      <c r="ARJ3" s="3404"/>
      <c r="ARK3" s="3404"/>
      <c r="ARL3" s="3404"/>
      <c r="ARM3" s="3404"/>
      <c r="ARN3" s="3404"/>
      <c r="ARO3" s="3404"/>
      <c r="ARP3" s="3404"/>
      <c r="ARQ3" s="3404"/>
      <c r="ARR3" s="3404"/>
      <c r="ARS3" s="3404"/>
      <c r="ART3" s="3404"/>
      <c r="ARU3" s="3404"/>
      <c r="ARV3" s="3404"/>
      <c r="ARW3" s="3404"/>
      <c r="ARX3" s="3404"/>
      <c r="ARY3" s="3404"/>
      <c r="ARZ3" s="3404"/>
      <c r="ASA3" s="3404"/>
      <c r="ASB3" s="3404"/>
      <c r="ASC3" s="3404"/>
      <c r="ASD3" s="3404"/>
      <c r="ASE3" s="3404"/>
      <c r="ASF3" s="3404"/>
      <c r="ASG3" s="3404"/>
      <c r="ASH3" s="3404"/>
      <c r="ASI3" s="3404"/>
      <c r="ASJ3" s="3404"/>
      <c r="ASK3" s="3404"/>
      <c r="ASL3" s="3404"/>
      <c r="ASM3" s="3404"/>
      <c r="ASN3" s="3404"/>
      <c r="ASO3" s="3404"/>
      <c r="ASP3" s="3404"/>
      <c r="ASQ3" s="3404"/>
      <c r="ASR3" s="3404"/>
      <c r="ASS3" s="3404"/>
      <c r="AST3" s="3404"/>
      <c r="ASU3" s="3404"/>
      <c r="ASV3" s="3404"/>
      <c r="ASW3" s="3404"/>
      <c r="ASX3" s="3404"/>
      <c r="ASY3" s="3404"/>
      <c r="ASZ3" s="3404"/>
      <c r="ATA3" s="3404"/>
      <c r="ATB3" s="3404"/>
      <c r="ATC3" s="3404"/>
      <c r="ATD3" s="3404"/>
      <c r="ATE3" s="3404"/>
      <c r="ATF3" s="3404"/>
      <c r="ATG3" s="3404"/>
      <c r="ATH3" s="3404"/>
      <c r="ATI3" s="3404"/>
      <c r="ATJ3" s="3404"/>
      <c r="ATK3" s="3404"/>
      <c r="ATL3" s="3404"/>
      <c r="ATM3" s="3404"/>
      <c r="ATN3" s="3404"/>
      <c r="ATO3" s="3404"/>
      <c r="ATP3" s="3404"/>
      <c r="ATQ3" s="3404"/>
      <c r="ATR3" s="3404"/>
      <c r="ATS3" s="3404"/>
      <c r="ATT3" s="3404"/>
      <c r="ATU3" s="3404"/>
      <c r="ATV3" s="3404"/>
      <c r="ATW3" s="3404"/>
      <c r="ATX3" s="3404"/>
      <c r="ATY3" s="3404"/>
      <c r="ATZ3" s="3404"/>
      <c r="AUA3" s="3404"/>
      <c r="AUB3" s="3404"/>
      <c r="AUC3" s="3404"/>
      <c r="AUD3" s="3404"/>
      <c r="AUE3" s="3404"/>
      <c r="AUF3" s="3404"/>
      <c r="AUG3" s="3404"/>
      <c r="AUH3" s="3404"/>
      <c r="AUI3" s="3404"/>
      <c r="AUJ3" s="3404"/>
      <c r="AUK3" s="3404"/>
      <c r="AUL3" s="3404"/>
      <c r="AUM3" s="3404"/>
      <c r="AUN3" s="3404"/>
      <c r="AUO3" s="3404"/>
      <c r="AUP3" s="3404"/>
      <c r="AUQ3" s="3404"/>
      <c r="AUR3" s="3404"/>
      <c r="AUS3" s="3404"/>
      <c r="AUT3" s="3404"/>
      <c r="AUU3" s="3404"/>
      <c r="AUV3" s="3404"/>
      <c r="AUW3" s="3404"/>
      <c r="AUX3" s="3404"/>
      <c r="AUY3" s="3404"/>
      <c r="AUZ3" s="3404"/>
      <c r="AVA3" s="3404"/>
      <c r="AVB3" s="3404"/>
      <c r="AVC3" s="3404"/>
      <c r="AVD3" s="3404"/>
      <c r="AVE3" s="3404"/>
      <c r="AVF3" s="3404"/>
      <c r="AVG3" s="3404"/>
      <c r="AVH3" s="3404"/>
      <c r="AVI3" s="3404"/>
      <c r="AVJ3" s="3404"/>
      <c r="AVK3" s="3404"/>
      <c r="AVL3" s="3404"/>
      <c r="AVM3" s="3404"/>
      <c r="AVN3" s="3404"/>
      <c r="AVO3" s="3404"/>
      <c r="AVP3" s="3404"/>
      <c r="AVQ3" s="3404"/>
      <c r="AVR3" s="3404"/>
      <c r="AVS3" s="3404"/>
      <c r="AVT3" s="3404"/>
      <c r="AVU3" s="3404"/>
      <c r="AVV3" s="3404"/>
      <c r="AVW3" s="3404"/>
      <c r="AVX3" s="3404"/>
      <c r="AVY3" s="3404"/>
      <c r="AVZ3" s="3404"/>
      <c r="AWA3" s="3404"/>
      <c r="AWB3" s="3404"/>
      <c r="AWC3" s="3404"/>
      <c r="AWD3" s="3404"/>
      <c r="AWE3" s="3404"/>
      <c r="AWF3" s="3404"/>
      <c r="AWG3" s="3404"/>
      <c r="AWH3" s="3404"/>
      <c r="AWI3" s="3404"/>
      <c r="AWJ3" s="3404"/>
      <c r="AWK3" s="3404"/>
      <c r="AWL3" s="3404"/>
      <c r="AWM3" s="3404"/>
      <c r="AWN3" s="3404"/>
      <c r="AWO3" s="3404"/>
      <c r="AWP3" s="3404"/>
      <c r="AWQ3" s="3404"/>
      <c r="AWR3" s="3404"/>
      <c r="AWS3" s="3404"/>
      <c r="AWT3" s="3404"/>
      <c r="AWU3" s="3404"/>
      <c r="AWV3" s="3404"/>
      <c r="AWW3" s="3404"/>
      <c r="AWX3" s="3404"/>
      <c r="AWY3" s="3404"/>
      <c r="AWZ3" s="3404"/>
      <c r="AXA3" s="3404"/>
      <c r="AXB3" s="3404"/>
      <c r="AXC3" s="3404"/>
      <c r="AXD3" s="3404"/>
      <c r="AXE3" s="3404"/>
      <c r="AXF3" s="3404"/>
      <c r="AXG3" s="3404"/>
      <c r="AXH3" s="3404"/>
      <c r="AXI3" s="3404"/>
      <c r="AXJ3" s="3404"/>
      <c r="AXK3" s="3404"/>
      <c r="AXL3" s="3404"/>
      <c r="AXM3" s="3404"/>
      <c r="AXN3" s="3404"/>
      <c r="AXO3" s="3404"/>
      <c r="AXP3" s="3404"/>
      <c r="AXQ3" s="3404"/>
      <c r="AXR3" s="3404"/>
      <c r="AXS3" s="3404"/>
      <c r="AXT3" s="3404"/>
      <c r="AXU3" s="3404"/>
      <c r="AXV3" s="3404"/>
      <c r="AXW3" s="3404"/>
      <c r="AXX3" s="3404"/>
      <c r="AXY3" s="3404"/>
      <c r="AXZ3" s="3404"/>
      <c r="AYA3" s="3404"/>
      <c r="AYB3" s="3404"/>
      <c r="AYC3" s="3404"/>
      <c r="AYD3" s="3404"/>
      <c r="AYE3" s="3404"/>
      <c r="AYF3" s="3404"/>
      <c r="AYG3" s="3404"/>
      <c r="AYH3" s="3404"/>
      <c r="AYI3" s="3404"/>
      <c r="AYJ3" s="3404"/>
      <c r="AYK3" s="3404"/>
      <c r="AYL3" s="3404"/>
      <c r="AYM3" s="3404"/>
      <c r="AYN3" s="3404"/>
      <c r="AYO3" s="3404"/>
      <c r="AYP3" s="3404"/>
      <c r="AYQ3" s="3404"/>
      <c r="AYR3" s="3404"/>
      <c r="AYS3" s="3404"/>
      <c r="AYT3" s="3404"/>
      <c r="AYU3" s="3404"/>
      <c r="AYV3" s="3404"/>
      <c r="AYW3" s="3404"/>
      <c r="AYX3" s="3404"/>
      <c r="AYY3" s="3404"/>
      <c r="AYZ3" s="3404"/>
      <c r="AZA3" s="3404"/>
      <c r="AZB3" s="3404"/>
      <c r="AZC3" s="3404"/>
      <c r="AZD3" s="3404"/>
      <c r="AZE3" s="3404"/>
      <c r="AZF3" s="3404"/>
      <c r="AZG3" s="3404"/>
      <c r="AZH3" s="3404"/>
      <c r="AZI3" s="3404"/>
      <c r="AZJ3" s="3404"/>
      <c r="AZK3" s="3404"/>
      <c r="AZL3" s="3404"/>
      <c r="AZM3" s="3404"/>
      <c r="AZN3" s="3404"/>
      <c r="AZO3" s="3404"/>
      <c r="AZP3" s="3404"/>
      <c r="AZQ3" s="3404"/>
      <c r="AZR3" s="3404"/>
      <c r="AZS3" s="3404"/>
      <c r="AZT3" s="3404"/>
      <c r="AZU3" s="3404"/>
      <c r="AZV3" s="3404"/>
      <c r="AZW3" s="3404"/>
      <c r="AZX3" s="3404"/>
      <c r="AZY3" s="3404"/>
      <c r="AZZ3" s="3404"/>
      <c r="BAA3" s="3404"/>
      <c r="BAB3" s="3404"/>
      <c r="BAC3" s="3404"/>
      <c r="BAD3" s="3404"/>
      <c r="BAE3" s="3404"/>
      <c r="BAF3" s="3404"/>
      <c r="BAG3" s="3404"/>
      <c r="BAH3" s="3404"/>
      <c r="BAI3" s="3404"/>
      <c r="BAJ3" s="3404"/>
      <c r="BAK3" s="3404"/>
      <c r="BAL3" s="3404"/>
      <c r="BAM3" s="3404"/>
      <c r="BAN3" s="3404"/>
      <c r="BAO3" s="3404"/>
      <c r="BAP3" s="3404"/>
      <c r="BAQ3" s="3404"/>
      <c r="BAR3" s="3404"/>
      <c r="BAS3" s="3404"/>
      <c r="BAT3" s="3404"/>
      <c r="BAU3" s="3404"/>
      <c r="BAV3" s="3404"/>
      <c r="BAW3" s="3404"/>
      <c r="BAX3" s="3404"/>
      <c r="BAY3" s="3404"/>
      <c r="BAZ3" s="3404"/>
      <c r="BBA3" s="3404"/>
      <c r="BBB3" s="3404"/>
      <c r="BBC3" s="3404"/>
      <c r="BBD3" s="3404"/>
      <c r="BBE3" s="3404"/>
      <c r="BBF3" s="3404"/>
      <c r="BBG3" s="3404"/>
      <c r="BBH3" s="3404"/>
      <c r="BBI3" s="3404"/>
      <c r="BBJ3" s="3404"/>
      <c r="BBK3" s="3404"/>
      <c r="BBL3" s="3404"/>
      <c r="BBM3" s="3404"/>
      <c r="BBN3" s="3404"/>
      <c r="BBO3" s="3404"/>
      <c r="BBP3" s="3404"/>
      <c r="BBQ3" s="3404"/>
      <c r="BBR3" s="3404"/>
      <c r="BBS3" s="3404"/>
      <c r="BBT3" s="3404"/>
      <c r="BBU3" s="3404"/>
      <c r="BBV3" s="3404"/>
      <c r="BBW3" s="3404"/>
      <c r="BBX3" s="3404"/>
      <c r="BBY3" s="3404"/>
      <c r="BBZ3" s="3404"/>
      <c r="BCA3" s="3404"/>
      <c r="BCB3" s="3404"/>
      <c r="BCC3" s="3404"/>
      <c r="BCD3" s="3404"/>
      <c r="BCE3" s="3404"/>
      <c r="BCF3" s="3404"/>
      <c r="BCG3" s="3404"/>
      <c r="BCH3" s="3404"/>
      <c r="BCI3" s="3404"/>
      <c r="BCJ3" s="3404"/>
      <c r="BCK3" s="3404"/>
      <c r="BCL3" s="3404"/>
      <c r="BCM3" s="3404"/>
      <c r="BCN3" s="3404"/>
      <c r="BCO3" s="3404"/>
      <c r="BCP3" s="3404"/>
      <c r="BCQ3" s="3404"/>
      <c r="BCR3" s="3404"/>
      <c r="BCS3" s="3404"/>
      <c r="BCT3" s="3404"/>
      <c r="BCU3" s="3404"/>
      <c r="BCV3" s="3404"/>
      <c r="BCW3" s="3404"/>
      <c r="BCX3" s="3404"/>
      <c r="BCY3" s="3404"/>
      <c r="BCZ3" s="3404"/>
      <c r="BDA3" s="3404"/>
      <c r="BDB3" s="3404"/>
      <c r="BDC3" s="3404"/>
      <c r="BDD3" s="3404"/>
      <c r="BDE3" s="3404"/>
      <c r="BDF3" s="3404"/>
      <c r="BDG3" s="3404"/>
      <c r="BDH3" s="3404"/>
      <c r="BDI3" s="3404"/>
      <c r="BDJ3" s="3404"/>
      <c r="BDK3" s="3404"/>
      <c r="BDL3" s="3404"/>
      <c r="BDM3" s="3404"/>
      <c r="BDN3" s="3404"/>
      <c r="BDO3" s="3404"/>
      <c r="BDP3" s="3404"/>
      <c r="BDQ3" s="3404"/>
      <c r="BDR3" s="3404"/>
      <c r="BDS3" s="3404"/>
      <c r="BDT3" s="3404"/>
      <c r="BDU3" s="3404"/>
      <c r="BDV3" s="3404"/>
      <c r="BDW3" s="3404"/>
      <c r="BDX3" s="3404"/>
      <c r="BDY3" s="3404"/>
      <c r="BDZ3" s="3404"/>
      <c r="BEA3" s="3404"/>
      <c r="BEB3" s="3404"/>
      <c r="BEC3" s="3404"/>
      <c r="BED3" s="3404"/>
      <c r="BEE3" s="3404"/>
      <c r="BEF3" s="3404"/>
      <c r="BEG3" s="3404"/>
      <c r="BEH3" s="3404"/>
      <c r="BEI3" s="3404"/>
      <c r="BEJ3" s="3404"/>
      <c r="BEK3" s="3404"/>
      <c r="BEL3" s="3404"/>
      <c r="BEM3" s="3404"/>
      <c r="BEN3" s="3404"/>
      <c r="BEO3" s="3404"/>
      <c r="BEP3" s="3404"/>
      <c r="BEQ3" s="3404"/>
      <c r="BER3" s="3404"/>
      <c r="BES3" s="3404"/>
      <c r="BET3" s="3404"/>
      <c r="BEU3" s="3404"/>
      <c r="BEV3" s="3404"/>
      <c r="BEW3" s="3404"/>
      <c r="BEX3" s="3404"/>
      <c r="BEY3" s="3404"/>
      <c r="BEZ3" s="3404"/>
      <c r="BFA3" s="3404"/>
      <c r="BFB3" s="3404"/>
      <c r="BFC3" s="3404"/>
      <c r="BFD3" s="3404"/>
      <c r="BFE3" s="3404"/>
      <c r="BFF3" s="3404"/>
      <c r="BFG3" s="3404"/>
      <c r="BFH3" s="3404"/>
      <c r="BFI3" s="3404"/>
      <c r="BFJ3" s="3404"/>
      <c r="BFK3" s="3404"/>
      <c r="BFL3" s="3404"/>
      <c r="BFM3" s="3404"/>
      <c r="BFN3" s="3404"/>
      <c r="BFO3" s="3404"/>
      <c r="BFP3" s="3404"/>
      <c r="BFQ3" s="3404"/>
      <c r="BFR3" s="3404"/>
      <c r="BFS3" s="3404"/>
      <c r="BFT3" s="3404"/>
      <c r="BFU3" s="3404"/>
      <c r="BFV3" s="3404"/>
      <c r="BFW3" s="3404"/>
      <c r="BFX3" s="3404"/>
      <c r="BFY3" s="3404"/>
      <c r="BFZ3" s="3404"/>
      <c r="BGA3" s="3404"/>
      <c r="BGB3" s="3404"/>
      <c r="BGC3" s="3404"/>
      <c r="BGD3" s="3404"/>
      <c r="BGE3" s="3404"/>
      <c r="BGF3" s="3404"/>
      <c r="BGG3" s="3404"/>
      <c r="BGH3" s="3404"/>
      <c r="BGI3" s="3404"/>
      <c r="BGJ3" s="3404"/>
      <c r="BGK3" s="3404"/>
      <c r="BGL3" s="3404"/>
      <c r="BGM3" s="3404"/>
      <c r="BGN3" s="3404"/>
      <c r="BGO3" s="3404"/>
      <c r="BGP3" s="3404"/>
      <c r="BGQ3" s="3404"/>
      <c r="BGR3" s="3404"/>
      <c r="BGS3" s="3404"/>
      <c r="BGT3" s="3404"/>
      <c r="BGU3" s="3404"/>
      <c r="BGV3" s="3404"/>
      <c r="BGW3" s="3404"/>
      <c r="BGX3" s="3404"/>
      <c r="BGY3" s="3404"/>
      <c r="BGZ3" s="3404"/>
      <c r="BHA3" s="3404"/>
      <c r="BHB3" s="3404"/>
      <c r="BHC3" s="3404"/>
      <c r="BHD3" s="3404"/>
      <c r="BHE3" s="3404"/>
      <c r="BHF3" s="3404"/>
      <c r="BHG3" s="3404"/>
      <c r="BHH3" s="3404"/>
      <c r="BHI3" s="3404"/>
      <c r="BHJ3" s="3404"/>
      <c r="BHK3" s="3404"/>
      <c r="BHL3" s="3404"/>
      <c r="BHM3" s="3404"/>
      <c r="BHN3" s="3404"/>
      <c r="BHO3" s="3404"/>
      <c r="BHP3" s="3404"/>
      <c r="BHQ3" s="3404"/>
      <c r="BHR3" s="3404"/>
      <c r="BHS3" s="3404"/>
      <c r="BHT3" s="3404"/>
      <c r="BHU3" s="3404"/>
      <c r="BHV3" s="3404"/>
      <c r="BHW3" s="3404"/>
      <c r="BHX3" s="3404"/>
      <c r="BHY3" s="3404"/>
      <c r="BHZ3" s="3404"/>
      <c r="BIA3" s="3404"/>
      <c r="BIB3" s="3404"/>
      <c r="BIC3" s="3404"/>
      <c r="BID3" s="3404"/>
      <c r="BIE3" s="3404"/>
      <c r="BIF3" s="3404"/>
      <c r="BIG3" s="3404"/>
      <c r="BIH3" s="3404"/>
      <c r="BII3" s="3404"/>
      <c r="BIJ3" s="3404"/>
      <c r="BIK3" s="3404"/>
      <c r="BIL3" s="3404"/>
      <c r="BIM3" s="3404"/>
      <c r="BIN3" s="3404"/>
      <c r="BIO3" s="3404"/>
      <c r="BIP3" s="3404"/>
      <c r="BIQ3" s="3404"/>
      <c r="BIR3" s="3404"/>
      <c r="BIS3" s="3404"/>
      <c r="BIT3" s="3404"/>
      <c r="BIU3" s="3404"/>
      <c r="BIV3" s="3404"/>
      <c r="BIW3" s="3404"/>
      <c r="BIX3" s="3404"/>
      <c r="BIY3" s="3404"/>
      <c r="BIZ3" s="3404"/>
      <c r="BJA3" s="3404"/>
      <c r="BJB3" s="3404"/>
      <c r="BJC3" s="3404"/>
      <c r="BJD3" s="3404"/>
      <c r="BJE3" s="3404"/>
      <c r="BJF3" s="3404"/>
      <c r="BJG3" s="3404"/>
      <c r="BJH3" s="3404"/>
      <c r="BJI3" s="3404"/>
      <c r="BJJ3" s="3404"/>
      <c r="BJK3" s="3404"/>
      <c r="BJL3" s="3404"/>
      <c r="BJM3" s="3404"/>
      <c r="BJN3" s="3404"/>
      <c r="BJO3" s="3404"/>
      <c r="BJP3" s="3404"/>
      <c r="BJQ3" s="3404"/>
      <c r="BJR3" s="3404"/>
      <c r="BJS3" s="3404"/>
      <c r="BJT3" s="3404"/>
      <c r="BJU3" s="3404"/>
      <c r="BJV3" s="3404"/>
      <c r="BJW3" s="3404"/>
      <c r="BJX3" s="3404"/>
      <c r="BJY3" s="3404"/>
      <c r="BJZ3" s="3404"/>
      <c r="BKA3" s="3404"/>
      <c r="BKB3" s="3404"/>
      <c r="BKC3" s="3404"/>
      <c r="BKD3" s="3404"/>
      <c r="BKE3" s="3404"/>
      <c r="BKF3" s="3404"/>
      <c r="BKG3" s="3404"/>
      <c r="BKH3" s="3404"/>
      <c r="BKI3" s="3404"/>
      <c r="BKJ3" s="3404"/>
      <c r="BKK3" s="3404"/>
      <c r="BKL3" s="3404"/>
      <c r="BKM3" s="3404"/>
      <c r="BKN3" s="3404"/>
      <c r="BKO3" s="3404"/>
      <c r="BKP3" s="3404"/>
      <c r="BKQ3" s="3404"/>
      <c r="BKR3" s="3404"/>
      <c r="BKS3" s="3404"/>
      <c r="BKT3" s="3404"/>
      <c r="BKU3" s="3404"/>
      <c r="BKV3" s="3404"/>
      <c r="BKW3" s="3404"/>
      <c r="BKX3" s="3404"/>
      <c r="BKY3" s="3404"/>
      <c r="BKZ3" s="3404"/>
      <c r="BLA3" s="3404"/>
      <c r="BLB3" s="3404"/>
      <c r="BLC3" s="3404"/>
      <c r="BLD3" s="3404"/>
      <c r="BLE3" s="3404"/>
      <c r="BLF3" s="3404"/>
      <c r="BLG3" s="3404"/>
      <c r="BLH3" s="3404"/>
      <c r="BLI3" s="3404"/>
      <c r="BLJ3" s="3404"/>
      <c r="BLK3" s="3404"/>
      <c r="BLL3" s="3404"/>
      <c r="BLM3" s="3404"/>
      <c r="BLN3" s="3404"/>
      <c r="BLO3" s="3404"/>
      <c r="BLP3" s="3404"/>
      <c r="BLQ3" s="3404"/>
      <c r="BLR3" s="3404"/>
      <c r="BLS3" s="3404"/>
      <c r="BLT3" s="3404"/>
      <c r="BLU3" s="3404"/>
      <c r="BLV3" s="3404"/>
      <c r="BLW3" s="3404"/>
      <c r="BLX3" s="3404"/>
      <c r="BLY3" s="3404"/>
      <c r="BLZ3" s="3404"/>
      <c r="BMA3" s="3404"/>
      <c r="BMB3" s="3404"/>
      <c r="BMC3" s="3404"/>
      <c r="BMD3" s="3404"/>
      <c r="BME3" s="3404"/>
      <c r="BMF3" s="3404"/>
      <c r="BMG3" s="3404"/>
      <c r="BMH3" s="3404"/>
      <c r="BMI3" s="3404"/>
      <c r="BMJ3" s="3404"/>
      <c r="BMK3" s="3404"/>
      <c r="BML3" s="3404"/>
      <c r="BMM3" s="3404"/>
      <c r="BMN3" s="3404"/>
      <c r="BMO3" s="3404"/>
      <c r="BMP3" s="3404"/>
      <c r="BMQ3" s="3404"/>
      <c r="BMR3" s="3404"/>
      <c r="BMS3" s="3404"/>
      <c r="BMT3" s="3404"/>
      <c r="BMU3" s="3404"/>
      <c r="BMV3" s="3404"/>
      <c r="BMW3" s="3404"/>
      <c r="BMX3" s="3404"/>
      <c r="BMY3" s="3404"/>
      <c r="BMZ3" s="3404"/>
      <c r="BNA3" s="3404"/>
      <c r="BNB3" s="3404"/>
      <c r="BNC3" s="3404"/>
      <c r="BND3" s="3404"/>
      <c r="BNE3" s="3404"/>
      <c r="BNF3" s="3404"/>
      <c r="BNG3" s="3404"/>
      <c r="BNH3" s="3404"/>
      <c r="BNI3" s="3404"/>
      <c r="BNJ3" s="3404"/>
      <c r="BNK3" s="3404"/>
      <c r="BNL3" s="3404"/>
      <c r="BNM3" s="3404"/>
      <c r="BNN3" s="3404"/>
      <c r="BNO3" s="3404"/>
      <c r="BNP3" s="3404"/>
      <c r="BNQ3" s="3404"/>
      <c r="BNR3" s="3404"/>
      <c r="BNS3" s="3404"/>
      <c r="BNT3" s="3404"/>
      <c r="BNU3" s="3404"/>
      <c r="BNV3" s="3404"/>
      <c r="BNW3" s="3404"/>
      <c r="BNX3" s="3404"/>
      <c r="BNY3" s="3404"/>
      <c r="BNZ3" s="3404"/>
      <c r="BOA3" s="3404"/>
      <c r="BOB3" s="3404"/>
      <c r="BOC3" s="3404"/>
      <c r="BOD3" s="3404"/>
      <c r="BOE3" s="3404"/>
      <c r="BOF3" s="3404"/>
      <c r="BOG3" s="3404"/>
      <c r="BOH3" s="3404"/>
      <c r="BOI3" s="3404"/>
      <c r="BOJ3" s="3404"/>
      <c r="BOK3" s="3404"/>
      <c r="BOL3" s="3404"/>
      <c r="BOM3" s="3404"/>
      <c r="BON3" s="3404"/>
      <c r="BOO3" s="3404"/>
      <c r="BOP3" s="3404"/>
      <c r="BOQ3" s="3404"/>
      <c r="BOR3" s="3404"/>
      <c r="BOS3" s="3404"/>
      <c r="BOT3" s="3404"/>
      <c r="BOU3" s="3404"/>
      <c r="BOV3" s="3404"/>
      <c r="BOW3" s="3404"/>
      <c r="BOX3" s="3404"/>
      <c r="BOY3" s="3404"/>
      <c r="BOZ3" s="3404"/>
      <c r="BPA3" s="3404"/>
      <c r="BPB3" s="3404"/>
      <c r="BPC3" s="3404"/>
      <c r="BPD3" s="3404"/>
      <c r="BPE3" s="3404"/>
      <c r="BPF3" s="3404"/>
      <c r="BPG3" s="3404"/>
      <c r="BPH3" s="3404"/>
      <c r="BPI3" s="3404"/>
      <c r="BPJ3" s="3404"/>
      <c r="BPK3" s="3404"/>
      <c r="BPL3" s="3404"/>
      <c r="BPM3" s="3404"/>
      <c r="BPN3" s="3404"/>
      <c r="BPO3" s="3404"/>
      <c r="BPP3" s="3404"/>
      <c r="BPQ3" s="3404"/>
      <c r="BPR3" s="3404"/>
      <c r="BPS3" s="3404"/>
      <c r="BPT3" s="3404"/>
      <c r="BPU3" s="3404"/>
      <c r="BPV3" s="3404"/>
      <c r="BPW3" s="3404"/>
      <c r="BPX3" s="3404"/>
      <c r="BPY3" s="3404"/>
      <c r="BPZ3" s="3404"/>
      <c r="BQA3" s="3404"/>
      <c r="BQB3" s="3404"/>
      <c r="BQC3" s="3404"/>
      <c r="BQD3" s="3404"/>
      <c r="BQE3" s="3404"/>
      <c r="BQF3" s="3404"/>
      <c r="BQG3" s="3404"/>
      <c r="BQH3" s="3404"/>
      <c r="BQI3" s="3404"/>
      <c r="BQJ3" s="3404"/>
      <c r="BQK3" s="3404"/>
      <c r="BQL3" s="3404"/>
      <c r="BQM3" s="3404"/>
      <c r="BQN3" s="3404"/>
      <c r="BQO3" s="3404"/>
      <c r="BQP3" s="3404"/>
      <c r="BQQ3" s="3404"/>
      <c r="BQR3" s="3404"/>
      <c r="BQS3" s="3404"/>
      <c r="BQT3" s="3404"/>
      <c r="BQU3" s="3404"/>
      <c r="BQV3" s="3404"/>
      <c r="BQW3" s="3404"/>
      <c r="BQX3" s="3404"/>
      <c r="BQY3" s="3404"/>
      <c r="BQZ3" s="3404"/>
      <c r="BRA3" s="3404"/>
      <c r="BRB3" s="3404"/>
      <c r="BRC3" s="3404"/>
      <c r="BRD3" s="3404"/>
      <c r="BRE3" s="3404"/>
      <c r="BRF3" s="3404"/>
      <c r="BRG3" s="3404"/>
      <c r="BRH3" s="3404"/>
      <c r="BRI3" s="3404"/>
      <c r="BRJ3" s="3404"/>
      <c r="BRK3" s="3404"/>
      <c r="BRL3" s="3404"/>
      <c r="BRM3" s="3404"/>
      <c r="BRN3" s="3404"/>
      <c r="BRO3" s="3404"/>
      <c r="BRP3" s="3404"/>
      <c r="BRQ3" s="3404"/>
      <c r="BRR3" s="3404"/>
      <c r="BRS3" s="3404"/>
      <c r="BRT3" s="3404"/>
      <c r="BRU3" s="3404"/>
      <c r="BRV3" s="3404"/>
      <c r="BRW3" s="3404"/>
      <c r="BRX3" s="3404"/>
      <c r="BRY3" s="3404"/>
      <c r="BRZ3" s="3404"/>
      <c r="BSA3" s="3404"/>
      <c r="BSB3" s="3404"/>
      <c r="BSC3" s="3404"/>
      <c r="BSD3" s="3404"/>
      <c r="BSE3" s="3404"/>
      <c r="BSF3" s="3404"/>
      <c r="BSG3" s="3404"/>
      <c r="BSH3" s="3404"/>
      <c r="BSI3" s="3404"/>
      <c r="BSJ3" s="3404"/>
      <c r="BSK3" s="3404"/>
      <c r="BSL3" s="3404"/>
      <c r="BSM3" s="3404"/>
      <c r="BSN3" s="3404"/>
      <c r="BSO3" s="3404"/>
      <c r="BSP3" s="3404"/>
      <c r="BSQ3" s="3404"/>
      <c r="BSR3" s="3404"/>
      <c r="BSS3" s="3404"/>
      <c r="BST3" s="3404"/>
      <c r="BSU3" s="3404"/>
      <c r="BSV3" s="3404"/>
      <c r="BSW3" s="3404"/>
      <c r="BSX3" s="3404"/>
      <c r="BSY3" s="3404"/>
      <c r="BSZ3" s="3404"/>
      <c r="BTA3" s="3404"/>
      <c r="BTB3" s="3404"/>
      <c r="BTC3" s="3404"/>
      <c r="BTD3" s="3404"/>
      <c r="BTE3" s="3404"/>
      <c r="BTF3" s="3404"/>
      <c r="BTG3" s="3404"/>
      <c r="BTH3" s="3404"/>
      <c r="BTI3" s="3404"/>
      <c r="BTJ3" s="3404"/>
      <c r="BTK3" s="3404"/>
      <c r="BTL3" s="3404"/>
      <c r="BTM3" s="3404"/>
      <c r="BTN3" s="3404"/>
      <c r="BTO3" s="3404"/>
      <c r="BTP3" s="3404"/>
      <c r="BTQ3" s="3404"/>
      <c r="BTR3" s="3404"/>
      <c r="BTS3" s="3404"/>
      <c r="BTT3" s="3404"/>
      <c r="BTU3" s="3404"/>
      <c r="BTV3" s="3404"/>
      <c r="BTW3" s="3404"/>
      <c r="BTX3" s="3404"/>
      <c r="BTY3" s="3404"/>
      <c r="BTZ3" s="3404"/>
      <c r="BUA3" s="3404"/>
      <c r="BUB3" s="3404"/>
      <c r="BUC3" s="3404"/>
      <c r="BUD3" s="3404"/>
      <c r="BUE3" s="3404"/>
      <c r="BUF3" s="3404"/>
      <c r="BUG3" s="3404"/>
      <c r="BUH3" s="3404"/>
      <c r="BUI3" s="3404"/>
      <c r="BUJ3" s="3404"/>
      <c r="BUK3" s="3404"/>
      <c r="BUL3" s="3404"/>
      <c r="BUM3" s="3404"/>
      <c r="BUN3" s="3404"/>
      <c r="BUO3" s="3404"/>
      <c r="BUP3" s="3404"/>
      <c r="BUQ3" s="3404"/>
      <c r="BUR3" s="3404"/>
      <c r="BUS3" s="3404"/>
      <c r="BUT3" s="3404"/>
      <c r="BUU3" s="3404"/>
      <c r="BUV3" s="3404"/>
      <c r="BUW3" s="3404"/>
      <c r="BUX3" s="3404"/>
      <c r="BUY3" s="3404"/>
      <c r="BUZ3" s="3404"/>
      <c r="BVA3" s="3404"/>
      <c r="BVB3" s="3404"/>
      <c r="BVC3" s="3404"/>
      <c r="BVD3" s="3404"/>
      <c r="BVE3" s="3404"/>
      <c r="BVF3" s="3404"/>
      <c r="BVG3" s="3404"/>
      <c r="BVH3" s="3404"/>
      <c r="BVI3" s="3404"/>
      <c r="BVJ3" s="3404"/>
      <c r="BVK3" s="3404"/>
      <c r="BVL3" s="3404"/>
      <c r="BVM3" s="3404"/>
      <c r="BVN3" s="3404"/>
      <c r="BVO3" s="3404"/>
      <c r="BVP3" s="3404"/>
      <c r="BVQ3" s="3404"/>
      <c r="BVR3" s="3404"/>
      <c r="BVS3" s="3404"/>
      <c r="BVT3" s="3404"/>
      <c r="BVU3" s="3404"/>
      <c r="BVV3" s="3404"/>
      <c r="BVW3" s="3404"/>
      <c r="BVX3" s="3404"/>
      <c r="BVY3" s="3404"/>
      <c r="BVZ3" s="3404"/>
      <c r="BWA3" s="3404"/>
      <c r="BWB3" s="3404"/>
      <c r="BWC3" s="3404"/>
      <c r="BWD3" s="3404"/>
      <c r="BWE3" s="3404"/>
      <c r="BWF3" s="3404"/>
      <c r="BWG3" s="3404"/>
      <c r="BWH3" s="3404"/>
      <c r="BWI3" s="3404"/>
      <c r="BWJ3" s="3404"/>
      <c r="BWK3" s="3404"/>
      <c r="BWL3" s="3404"/>
      <c r="BWM3" s="3404"/>
      <c r="BWN3" s="3404"/>
      <c r="BWO3" s="3404"/>
      <c r="BWP3" s="3404"/>
      <c r="BWQ3" s="3404"/>
      <c r="BWR3" s="3404"/>
      <c r="BWS3" s="3404"/>
      <c r="BWT3" s="3404"/>
      <c r="BWU3" s="3404"/>
      <c r="BWV3" s="3404"/>
      <c r="BWW3" s="3404"/>
      <c r="BWX3" s="3404"/>
      <c r="BWY3" s="3404"/>
      <c r="BWZ3" s="3404"/>
      <c r="BXA3" s="3404"/>
      <c r="BXB3" s="3404"/>
      <c r="BXC3" s="3404"/>
      <c r="BXD3" s="3404"/>
      <c r="BXE3" s="3404"/>
      <c r="BXF3" s="3404"/>
      <c r="BXG3" s="3404"/>
      <c r="BXH3" s="3404"/>
      <c r="BXI3" s="3404"/>
      <c r="BXJ3" s="3404"/>
      <c r="BXK3" s="3404"/>
      <c r="BXL3" s="3404"/>
      <c r="BXM3" s="3404"/>
      <c r="BXN3" s="3404"/>
      <c r="BXO3" s="3404"/>
      <c r="BXP3" s="3404"/>
      <c r="BXQ3" s="3404"/>
      <c r="BXR3" s="3404"/>
      <c r="BXS3" s="3404"/>
      <c r="BXT3" s="3404"/>
      <c r="BXU3" s="3404"/>
      <c r="BXV3" s="3404"/>
      <c r="BXW3" s="3404"/>
      <c r="BXX3" s="3404"/>
      <c r="BXY3" s="3404"/>
      <c r="BXZ3" s="3404"/>
      <c r="BYA3" s="3404"/>
      <c r="BYB3" s="3404"/>
      <c r="BYC3" s="3404"/>
      <c r="BYD3" s="3404"/>
      <c r="BYE3" s="3404"/>
      <c r="BYF3" s="3404"/>
      <c r="BYG3" s="3404"/>
      <c r="BYH3" s="3404"/>
      <c r="BYI3" s="3404"/>
      <c r="BYJ3" s="3404"/>
      <c r="BYK3" s="3404"/>
      <c r="BYL3" s="3404"/>
      <c r="BYM3" s="3404"/>
      <c r="BYN3" s="3404"/>
      <c r="BYO3" s="3404"/>
      <c r="BYP3" s="3404"/>
      <c r="BYQ3" s="3404"/>
      <c r="BYR3" s="3404"/>
      <c r="BYS3" s="3404"/>
      <c r="BYT3" s="3404"/>
      <c r="BYU3" s="3404"/>
      <c r="BYV3" s="3404"/>
      <c r="BYW3" s="3404"/>
      <c r="BYX3" s="3404"/>
      <c r="BYY3" s="3404"/>
      <c r="BYZ3" s="3404"/>
      <c r="BZA3" s="3404"/>
      <c r="BZB3" s="3404"/>
      <c r="BZC3" s="3404"/>
      <c r="BZD3" s="3404"/>
      <c r="BZE3" s="3404"/>
      <c r="BZF3" s="3404"/>
      <c r="BZG3" s="3404"/>
      <c r="BZH3" s="3404"/>
      <c r="BZI3" s="3404"/>
      <c r="BZJ3" s="3404"/>
      <c r="BZK3" s="3404"/>
      <c r="BZL3" s="3404"/>
      <c r="BZM3" s="3404"/>
      <c r="BZN3" s="3404"/>
      <c r="BZO3" s="3404"/>
      <c r="BZP3" s="3404"/>
      <c r="BZQ3" s="3404"/>
      <c r="BZR3" s="3404"/>
      <c r="BZS3" s="3404"/>
      <c r="BZT3" s="3404"/>
      <c r="BZU3" s="3404"/>
      <c r="BZV3" s="3404"/>
      <c r="BZW3" s="3404"/>
      <c r="BZX3" s="3404"/>
      <c r="BZY3" s="3404"/>
      <c r="BZZ3" s="3404"/>
      <c r="CAA3" s="3404"/>
      <c r="CAB3" s="3404"/>
      <c r="CAC3" s="3404"/>
      <c r="CAD3" s="3404"/>
      <c r="CAE3" s="3404"/>
      <c r="CAF3" s="3404"/>
      <c r="CAG3" s="3404"/>
      <c r="CAH3" s="3404"/>
      <c r="CAI3" s="3404"/>
      <c r="CAJ3" s="3404"/>
      <c r="CAK3" s="3404"/>
      <c r="CAL3" s="3404"/>
      <c r="CAM3" s="3404"/>
      <c r="CAN3" s="3404"/>
      <c r="CAO3" s="3404"/>
      <c r="CAP3" s="3404"/>
      <c r="CAQ3" s="3404"/>
      <c r="CAR3" s="3404"/>
      <c r="CAS3" s="3404"/>
      <c r="CAT3" s="3404"/>
      <c r="CAU3" s="3404"/>
      <c r="CAV3" s="3404"/>
      <c r="CAW3" s="3404"/>
      <c r="CAX3" s="3404"/>
      <c r="CAY3" s="3404"/>
      <c r="CAZ3" s="3404"/>
      <c r="CBA3" s="3404"/>
      <c r="CBB3" s="3404"/>
      <c r="CBC3" s="3404"/>
      <c r="CBD3" s="3404"/>
      <c r="CBE3" s="3404"/>
      <c r="CBF3" s="3404"/>
      <c r="CBG3" s="3404"/>
      <c r="CBH3" s="3404"/>
      <c r="CBI3" s="3404"/>
      <c r="CBJ3" s="3404"/>
      <c r="CBK3" s="3404"/>
      <c r="CBL3" s="3404"/>
      <c r="CBM3" s="3404"/>
      <c r="CBN3" s="3404"/>
      <c r="CBO3" s="3404"/>
      <c r="CBP3" s="3404"/>
      <c r="CBQ3" s="3404"/>
      <c r="CBR3" s="3404"/>
      <c r="CBS3" s="3404"/>
      <c r="CBT3" s="3404"/>
      <c r="CBU3" s="3404"/>
      <c r="CBV3" s="3404"/>
      <c r="CBW3" s="3404"/>
      <c r="CBX3" s="3404"/>
      <c r="CBY3" s="3404"/>
      <c r="CBZ3" s="3404"/>
      <c r="CCA3" s="3404"/>
      <c r="CCB3" s="3404"/>
      <c r="CCC3" s="3404"/>
      <c r="CCD3" s="3404"/>
      <c r="CCE3" s="3404"/>
      <c r="CCF3" s="3404"/>
      <c r="CCG3" s="3404"/>
      <c r="CCH3" s="3404"/>
      <c r="CCI3" s="3404"/>
      <c r="CCJ3" s="3404"/>
      <c r="CCK3" s="3404"/>
      <c r="CCL3" s="3404"/>
      <c r="CCM3" s="3404"/>
      <c r="CCN3" s="3404"/>
      <c r="CCO3" s="3404"/>
      <c r="CCP3" s="3404"/>
      <c r="CCQ3" s="3404"/>
      <c r="CCR3" s="3404"/>
      <c r="CCS3" s="3404"/>
      <c r="CCT3" s="3404"/>
      <c r="CCU3" s="3404"/>
      <c r="CCV3" s="3404"/>
      <c r="CCW3" s="3404"/>
      <c r="CCX3" s="3404"/>
      <c r="CCY3" s="3404"/>
      <c r="CCZ3" s="3404"/>
      <c r="CDA3" s="3404"/>
      <c r="CDB3" s="3404"/>
      <c r="CDC3" s="3404"/>
      <c r="CDD3" s="3404"/>
      <c r="CDE3" s="3404"/>
      <c r="CDF3" s="3404"/>
      <c r="CDG3" s="3404"/>
      <c r="CDH3" s="3404"/>
      <c r="CDI3" s="3404"/>
      <c r="CDJ3" s="3404"/>
      <c r="CDK3" s="3404"/>
      <c r="CDL3" s="3404"/>
      <c r="CDM3" s="3404"/>
      <c r="CDN3" s="3404"/>
      <c r="CDO3" s="3404"/>
      <c r="CDP3" s="3404"/>
      <c r="CDQ3" s="3404"/>
      <c r="CDR3" s="3404"/>
      <c r="CDS3" s="3404"/>
      <c r="CDT3" s="3404"/>
      <c r="CDU3" s="3404"/>
      <c r="CDV3" s="3404"/>
      <c r="CDW3" s="3404"/>
      <c r="CDX3" s="3404"/>
      <c r="CDY3" s="3404"/>
      <c r="CDZ3" s="3404"/>
      <c r="CEA3" s="3404"/>
      <c r="CEB3" s="3404"/>
      <c r="CEC3" s="3404"/>
      <c r="CED3" s="3404"/>
      <c r="CEE3" s="3404"/>
      <c r="CEF3" s="3404"/>
      <c r="CEG3" s="3404"/>
      <c r="CEH3" s="3404"/>
      <c r="CEI3" s="3404"/>
      <c r="CEJ3" s="3404"/>
      <c r="CEK3" s="3404"/>
      <c r="CEL3" s="3404"/>
      <c r="CEM3" s="3404"/>
      <c r="CEN3" s="3404"/>
      <c r="CEO3" s="3404"/>
      <c r="CEP3" s="3404"/>
      <c r="CEQ3" s="3404"/>
      <c r="CER3" s="3404"/>
      <c r="CES3" s="3404"/>
      <c r="CET3" s="3404"/>
      <c r="CEU3" s="3404"/>
      <c r="CEV3" s="3404"/>
      <c r="CEW3" s="3404"/>
      <c r="CEX3" s="3404"/>
      <c r="CEY3" s="3404"/>
      <c r="CEZ3" s="3404"/>
      <c r="CFA3" s="3404"/>
      <c r="CFB3" s="3404"/>
      <c r="CFC3" s="3404"/>
      <c r="CFD3" s="3404"/>
      <c r="CFE3" s="3404"/>
      <c r="CFF3" s="3404"/>
      <c r="CFG3" s="3404"/>
      <c r="CFH3" s="3404"/>
      <c r="CFI3" s="3404"/>
      <c r="CFJ3" s="3404"/>
      <c r="CFK3" s="3404"/>
      <c r="CFL3" s="3404"/>
      <c r="CFM3" s="3404"/>
      <c r="CFN3" s="3404"/>
      <c r="CFO3" s="3404"/>
      <c r="CFP3" s="3404"/>
      <c r="CFQ3" s="3404"/>
      <c r="CFR3" s="3404"/>
      <c r="CFS3" s="3404"/>
      <c r="CFT3" s="3404"/>
      <c r="CFU3" s="3404"/>
      <c r="CFV3" s="3404"/>
      <c r="CFW3" s="3404"/>
      <c r="CFX3" s="3404"/>
      <c r="CFY3" s="3404"/>
      <c r="CFZ3" s="3404"/>
      <c r="CGA3" s="3404"/>
      <c r="CGB3" s="3404"/>
      <c r="CGC3" s="3404"/>
      <c r="CGD3" s="3404"/>
      <c r="CGE3" s="3404"/>
      <c r="CGF3" s="3404"/>
      <c r="CGG3" s="3404"/>
      <c r="CGH3" s="3404"/>
      <c r="CGI3" s="3404"/>
      <c r="CGJ3" s="3404"/>
      <c r="CGK3" s="3404"/>
      <c r="CGL3" s="3404"/>
      <c r="CGM3" s="3404"/>
      <c r="CGN3" s="3404"/>
      <c r="CGO3" s="3404"/>
      <c r="CGP3" s="3404"/>
      <c r="CGQ3" s="3404"/>
      <c r="CGR3" s="3404"/>
      <c r="CGS3" s="3404"/>
      <c r="CGT3" s="3404"/>
      <c r="CGU3" s="3404"/>
      <c r="CGV3" s="3404"/>
      <c r="CGW3" s="3404"/>
      <c r="CGX3" s="3404"/>
      <c r="CGY3" s="3404"/>
      <c r="CGZ3" s="3404"/>
      <c r="CHA3" s="3404"/>
      <c r="CHB3" s="3404"/>
      <c r="CHC3" s="3404"/>
      <c r="CHD3" s="3404"/>
      <c r="CHE3" s="3404"/>
      <c r="CHF3" s="3404"/>
      <c r="CHG3" s="3404"/>
      <c r="CHH3" s="3404"/>
      <c r="CHI3" s="3404"/>
      <c r="CHJ3" s="3404"/>
      <c r="CHK3" s="3404"/>
      <c r="CHL3" s="3404"/>
      <c r="CHM3" s="3404"/>
      <c r="CHN3" s="3404"/>
      <c r="CHO3" s="3404"/>
      <c r="CHP3" s="3404"/>
      <c r="CHQ3" s="3404"/>
      <c r="CHR3" s="3404"/>
      <c r="CHS3" s="3404"/>
      <c r="CHT3" s="3404"/>
      <c r="CHU3" s="3404"/>
      <c r="CHV3" s="3404"/>
      <c r="CHW3" s="3404"/>
      <c r="CHX3" s="3404"/>
      <c r="CHY3" s="3404"/>
      <c r="CHZ3" s="3404"/>
      <c r="CIA3" s="3404"/>
      <c r="CIB3" s="3404"/>
      <c r="CIC3" s="3404"/>
      <c r="CID3" s="3404"/>
      <c r="CIE3" s="3404"/>
      <c r="CIF3" s="3404"/>
      <c r="CIG3" s="3404"/>
      <c r="CIH3" s="3404"/>
      <c r="CII3" s="3404"/>
      <c r="CIJ3" s="3404"/>
      <c r="CIK3" s="3404"/>
      <c r="CIL3" s="3404"/>
      <c r="CIM3" s="3404"/>
      <c r="CIN3" s="3404"/>
      <c r="CIO3" s="3404"/>
      <c r="CIP3" s="3404"/>
      <c r="CIQ3" s="3404"/>
      <c r="CIR3" s="3404"/>
      <c r="CIS3" s="3404"/>
      <c r="CIT3" s="3404"/>
      <c r="CIU3" s="3404"/>
      <c r="CIV3" s="3404"/>
      <c r="CIW3" s="3404"/>
      <c r="CIX3" s="3404"/>
      <c r="CIY3" s="3404"/>
      <c r="CIZ3" s="3404"/>
      <c r="CJA3" s="3404"/>
      <c r="CJB3" s="3404"/>
      <c r="CJC3" s="3404"/>
      <c r="CJD3" s="3404"/>
      <c r="CJE3" s="3404"/>
      <c r="CJF3" s="3404"/>
      <c r="CJG3" s="3404"/>
      <c r="CJH3" s="3404"/>
      <c r="CJI3" s="3404"/>
      <c r="CJJ3" s="3404"/>
      <c r="CJK3" s="3404"/>
      <c r="CJL3" s="3404"/>
      <c r="CJM3" s="3404"/>
      <c r="CJN3" s="3404"/>
      <c r="CJO3" s="3404"/>
      <c r="CJP3" s="3404"/>
      <c r="CJQ3" s="3404"/>
      <c r="CJR3" s="3404"/>
      <c r="CJS3" s="3404"/>
      <c r="CJT3" s="3404"/>
      <c r="CJU3" s="3404"/>
      <c r="CJV3" s="3404"/>
      <c r="CJW3" s="3404"/>
      <c r="CJX3" s="3404"/>
      <c r="CJY3" s="3404"/>
      <c r="CJZ3" s="3404"/>
      <c r="CKA3" s="3404"/>
      <c r="CKB3" s="3404"/>
      <c r="CKC3" s="3404"/>
      <c r="CKD3" s="3404"/>
      <c r="CKE3" s="3404"/>
      <c r="CKF3" s="3404"/>
      <c r="CKG3" s="3404"/>
      <c r="CKH3" s="3404"/>
      <c r="CKI3" s="3404"/>
      <c r="CKJ3" s="3404"/>
      <c r="CKK3" s="3404"/>
      <c r="CKL3" s="3404"/>
      <c r="CKM3" s="3404"/>
      <c r="CKN3" s="3404"/>
      <c r="CKO3" s="3404"/>
      <c r="CKP3" s="3404"/>
      <c r="CKQ3" s="3404"/>
      <c r="CKR3" s="3404"/>
      <c r="CKS3" s="3404"/>
      <c r="CKT3" s="3404"/>
      <c r="CKU3" s="3404"/>
      <c r="CKV3" s="3404"/>
      <c r="CKW3" s="3404"/>
      <c r="CKX3" s="3404"/>
      <c r="CKY3" s="3404"/>
      <c r="CKZ3" s="3404"/>
      <c r="CLA3" s="3404"/>
      <c r="CLB3" s="3404"/>
      <c r="CLC3" s="3404"/>
      <c r="CLD3" s="3404"/>
      <c r="CLE3" s="3404"/>
      <c r="CLF3" s="3404"/>
      <c r="CLG3" s="3404"/>
      <c r="CLH3" s="3404"/>
      <c r="CLI3" s="3404"/>
      <c r="CLJ3" s="3404"/>
      <c r="CLK3" s="3404"/>
      <c r="CLL3" s="3404"/>
      <c r="CLM3" s="3404"/>
      <c r="CLN3" s="3404"/>
      <c r="CLO3" s="3404"/>
      <c r="CLP3" s="3404"/>
      <c r="CLQ3" s="3404"/>
      <c r="CLR3" s="3404"/>
      <c r="CLS3" s="3404"/>
      <c r="CLT3" s="3404"/>
      <c r="CLU3" s="3404"/>
      <c r="CLV3" s="3404"/>
      <c r="CLW3" s="3404"/>
      <c r="CLX3" s="3404"/>
      <c r="CLY3" s="3404"/>
      <c r="CLZ3" s="3404"/>
      <c r="CMA3" s="3404"/>
      <c r="CMB3" s="3404"/>
      <c r="CMC3" s="3404"/>
      <c r="CMD3" s="3404"/>
      <c r="CME3" s="3404"/>
      <c r="CMF3" s="3404"/>
      <c r="CMG3" s="3404"/>
      <c r="CMH3" s="3404"/>
      <c r="CMI3" s="3404"/>
      <c r="CMJ3" s="3404"/>
      <c r="CMK3" s="3404"/>
      <c r="CML3" s="3404"/>
      <c r="CMM3" s="3404"/>
      <c r="CMN3" s="3404"/>
      <c r="CMO3" s="3404"/>
      <c r="CMP3" s="3404"/>
      <c r="CMQ3" s="3404"/>
      <c r="CMR3" s="3404"/>
      <c r="CMS3" s="3404"/>
      <c r="CMT3" s="3404"/>
      <c r="CMU3" s="3404"/>
      <c r="CMV3" s="3404"/>
      <c r="CMW3" s="3404"/>
      <c r="CMX3" s="3404"/>
      <c r="CMY3" s="3404"/>
      <c r="CMZ3" s="3404"/>
      <c r="CNA3" s="3404"/>
      <c r="CNB3" s="3404"/>
      <c r="CNC3" s="3404"/>
      <c r="CND3" s="3404"/>
      <c r="CNE3" s="3404"/>
      <c r="CNF3" s="3404"/>
      <c r="CNG3" s="3404"/>
      <c r="CNH3" s="3404"/>
      <c r="CNI3" s="3404"/>
      <c r="CNJ3" s="3404"/>
      <c r="CNK3" s="3404"/>
      <c r="CNL3" s="3404"/>
      <c r="CNM3" s="3404"/>
      <c r="CNN3" s="3404"/>
      <c r="CNO3" s="3404"/>
      <c r="CNP3" s="3404"/>
      <c r="CNQ3" s="3404"/>
      <c r="CNR3" s="3404"/>
      <c r="CNS3" s="3404"/>
      <c r="CNT3" s="3404"/>
      <c r="CNU3" s="3404"/>
      <c r="CNV3" s="3404"/>
      <c r="CNW3" s="3404"/>
      <c r="CNX3" s="3404"/>
      <c r="CNY3" s="3404"/>
      <c r="CNZ3" s="3404"/>
      <c r="COA3" s="3404"/>
      <c r="COB3" s="3404"/>
      <c r="COC3" s="3404"/>
      <c r="COD3" s="3404"/>
      <c r="COE3" s="3404"/>
      <c r="COF3" s="3404"/>
      <c r="COG3" s="3404"/>
      <c r="COH3" s="3404"/>
      <c r="COI3" s="3404"/>
      <c r="COJ3" s="3404"/>
      <c r="COK3" s="3404"/>
      <c r="COL3" s="3404"/>
      <c r="COM3" s="3404"/>
      <c r="CON3" s="3404"/>
      <c r="COO3" s="3404"/>
      <c r="COP3" s="3404"/>
      <c r="COQ3" s="3404"/>
      <c r="COR3" s="3404"/>
      <c r="COS3" s="3404"/>
      <c r="COT3" s="3404"/>
      <c r="COU3" s="3404"/>
      <c r="COV3" s="3404"/>
      <c r="COW3" s="3404"/>
      <c r="COX3" s="3404"/>
      <c r="COY3" s="3404"/>
      <c r="COZ3" s="3404"/>
      <c r="CPA3" s="3404"/>
      <c r="CPB3" s="3404"/>
      <c r="CPC3" s="3404"/>
      <c r="CPD3" s="3404"/>
      <c r="CPE3" s="3404"/>
      <c r="CPF3" s="3404"/>
      <c r="CPG3" s="3404"/>
      <c r="CPH3" s="3404"/>
      <c r="CPI3" s="3404"/>
      <c r="CPJ3" s="3404"/>
      <c r="CPK3" s="3404"/>
      <c r="CPL3" s="3404"/>
      <c r="CPM3" s="3404"/>
      <c r="CPN3" s="3404"/>
      <c r="CPO3" s="3404"/>
      <c r="CPP3" s="3404"/>
      <c r="CPQ3" s="3404"/>
      <c r="CPR3" s="3404"/>
      <c r="CPS3" s="3404"/>
      <c r="CPT3" s="3404"/>
      <c r="CPU3" s="3404"/>
      <c r="CPV3" s="3404"/>
      <c r="CPW3" s="3404"/>
      <c r="CPX3" s="3404"/>
      <c r="CPY3" s="3404"/>
      <c r="CPZ3" s="3404"/>
      <c r="CQA3" s="3404"/>
      <c r="CQB3" s="3404"/>
      <c r="CQC3" s="3404"/>
      <c r="CQD3" s="3404"/>
      <c r="CQE3" s="3404"/>
      <c r="CQF3" s="3404"/>
      <c r="CQG3" s="3404"/>
      <c r="CQH3" s="3404"/>
      <c r="CQI3" s="3404"/>
      <c r="CQJ3" s="3404"/>
      <c r="CQK3" s="3404"/>
      <c r="CQL3" s="3404"/>
      <c r="CQM3" s="3404"/>
      <c r="CQN3" s="3404"/>
      <c r="CQO3" s="3404"/>
      <c r="CQP3" s="3404"/>
      <c r="CQQ3" s="3404"/>
      <c r="CQR3" s="3404"/>
      <c r="CQS3" s="3404"/>
      <c r="CQT3" s="3404"/>
      <c r="CQU3" s="3404"/>
      <c r="CQV3" s="3404"/>
      <c r="CQW3" s="3404"/>
      <c r="CQX3" s="3404"/>
      <c r="CQY3" s="3404"/>
      <c r="CQZ3" s="3404"/>
      <c r="CRA3" s="3404"/>
      <c r="CRB3" s="3404"/>
      <c r="CRC3" s="3404"/>
      <c r="CRD3" s="3404"/>
      <c r="CRE3" s="3404"/>
      <c r="CRF3" s="3404"/>
      <c r="CRG3" s="3404"/>
      <c r="CRH3" s="3404"/>
      <c r="CRI3" s="3404"/>
      <c r="CRJ3" s="3404"/>
      <c r="CRK3" s="3404"/>
      <c r="CRL3" s="3404"/>
      <c r="CRM3" s="3404"/>
      <c r="CRN3" s="3404"/>
      <c r="CRO3" s="3404"/>
      <c r="CRP3" s="3404"/>
      <c r="CRQ3" s="3404"/>
      <c r="CRR3" s="3404"/>
      <c r="CRS3" s="3404"/>
      <c r="CRT3" s="3404"/>
      <c r="CRU3" s="3404"/>
      <c r="CRV3" s="3404"/>
      <c r="CRW3" s="3404"/>
      <c r="CRX3" s="3404"/>
      <c r="CRY3" s="3404"/>
      <c r="CRZ3" s="3404"/>
      <c r="CSA3" s="3404"/>
      <c r="CSB3" s="3404"/>
      <c r="CSC3" s="3404"/>
      <c r="CSD3" s="3404"/>
      <c r="CSE3" s="3404"/>
      <c r="CSF3" s="3404"/>
      <c r="CSG3" s="3404"/>
      <c r="CSH3" s="3404"/>
      <c r="CSI3" s="3404"/>
      <c r="CSJ3" s="3404"/>
      <c r="CSK3" s="3404"/>
      <c r="CSL3" s="3404"/>
      <c r="CSM3" s="3404"/>
      <c r="CSN3" s="3404"/>
      <c r="CSO3" s="3404"/>
      <c r="CSP3" s="3404"/>
      <c r="CSQ3" s="3404"/>
      <c r="CSR3" s="3404"/>
      <c r="CSS3" s="3404"/>
      <c r="CST3" s="3404"/>
      <c r="CSU3" s="3404"/>
      <c r="CSV3" s="3404"/>
      <c r="CSW3" s="3404"/>
      <c r="CSX3" s="3404"/>
      <c r="CSY3" s="3404"/>
      <c r="CSZ3" s="3404"/>
      <c r="CTA3" s="3404"/>
      <c r="CTB3" s="3404"/>
      <c r="CTC3" s="3404"/>
      <c r="CTD3" s="3404"/>
      <c r="CTE3" s="3404"/>
      <c r="CTF3" s="3404"/>
      <c r="CTG3" s="3404"/>
      <c r="CTH3" s="3404"/>
      <c r="CTI3" s="3404"/>
      <c r="CTJ3" s="3404"/>
      <c r="CTK3" s="3404"/>
      <c r="CTL3" s="3404"/>
      <c r="CTM3" s="3404"/>
      <c r="CTN3" s="3404"/>
      <c r="CTO3" s="3404"/>
      <c r="CTP3" s="3404"/>
      <c r="CTQ3" s="3404"/>
      <c r="CTR3" s="3404"/>
      <c r="CTS3" s="3404"/>
      <c r="CTT3" s="3404"/>
      <c r="CTU3" s="3404"/>
      <c r="CTV3" s="3404"/>
      <c r="CTW3" s="3404"/>
      <c r="CTX3" s="3404"/>
      <c r="CTY3" s="3404"/>
      <c r="CTZ3" s="3404"/>
      <c r="CUA3" s="3404"/>
      <c r="CUB3" s="3404"/>
      <c r="CUC3" s="3404"/>
      <c r="CUD3" s="3404"/>
      <c r="CUE3" s="3404"/>
      <c r="CUF3" s="3404"/>
      <c r="CUG3" s="3404"/>
      <c r="CUH3" s="3404"/>
      <c r="CUI3" s="3404"/>
      <c r="CUJ3" s="3404"/>
      <c r="CUK3" s="3404"/>
      <c r="CUL3" s="3404"/>
      <c r="CUM3" s="3404"/>
      <c r="CUN3" s="3404"/>
      <c r="CUO3" s="3404"/>
      <c r="CUP3" s="3404"/>
      <c r="CUQ3" s="3404"/>
      <c r="CUR3" s="3404"/>
      <c r="CUS3" s="3404"/>
      <c r="CUT3" s="3404"/>
      <c r="CUU3" s="3404"/>
      <c r="CUV3" s="3404"/>
      <c r="CUW3" s="3404"/>
      <c r="CUX3" s="3404"/>
      <c r="CUY3" s="3404"/>
      <c r="CUZ3" s="3404"/>
      <c r="CVA3" s="3404"/>
      <c r="CVB3" s="3404"/>
      <c r="CVC3" s="3404"/>
      <c r="CVD3" s="3404"/>
      <c r="CVE3" s="3404"/>
      <c r="CVF3" s="3404"/>
      <c r="CVG3" s="3404"/>
      <c r="CVH3" s="3404"/>
      <c r="CVI3" s="3404"/>
      <c r="CVJ3" s="3404"/>
      <c r="CVK3" s="3404"/>
      <c r="CVL3" s="3404"/>
      <c r="CVM3" s="3404"/>
      <c r="CVN3" s="3404"/>
      <c r="CVO3" s="3404"/>
      <c r="CVP3" s="3404"/>
      <c r="CVQ3" s="3404"/>
      <c r="CVR3" s="3404"/>
      <c r="CVS3" s="3404"/>
      <c r="CVT3" s="3404"/>
      <c r="CVU3" s="3404"/>
      <c r="CVV3" s="3404"/>
      <c r="CVW3" s="3404"/>
      <c r="CVX3" s="3404"/>
      <c r="CVY3" s="3404"/>
      <c r="CVZ3" s="3404"/>
      <c r="CWA3" s="3404"/>
      <c r="CWB3" s="3404"/>
      <c r="CWC3" s="3404"/>
      <c r="CWD3" s="3404"/>
      <c r="CWE3" s="3404"/>
      <c r="CWF3" s="3404"/>
      <c r="CWG3" s="3404"/>
      <c r="CWH3" s="3404"/>
      <c r="CWI3" s="3404"/>
      <c r="CWJ3" s="3404"/>
      <c r="CWK3" s="3404"/>
      <c r="CWL3" s="3404"/>
      <c r="CWM3" s="3404"/>
      <c r="CWN3" s="3404"/>
      <c r="CWO3" s="3404"/>
      <c r="CWP3" s="3404"/>
      <c r="CWQ3" s="3404"/>
      <c r="CWR3" s="3404"/>
      <c r="CWS3" s="3404"/>
      <c r="CWT3" s="3404"/>
      <c r="CWU3" s="3404"/>
      <c r="CWV3" s="3404"/>
      <c r="CWW3" s="3404"/>
      <c r="CWX3" s="3404"/>
      <c r="CWY3" s="3404"/>
      <c r="CWZ3" s="3404"/>
      <c r="CXA3" s="3404"/>
      <c r="CXB3" s="3404"/>
      <c r="CXC3" s="3404"/>
      <c r="CXD3" s="3404"/>
      <c r="CXE3" s="3404"/>
      <c r="CXF3" s="3404"/>
      <c r="CXG3" s="3404"/>
      <c r="CXH3" s="3404"/>
      <c r="CXI3" s="3404"/>
      <c r="CXJ3" s="3404"/>
      <c r="CXK3" s="3404"/>
      <c r="CXL3" s="3404"/>
      <c r="CXM3" s="3404"/>
      <c r="CXN3" s="3404"/>
      <c r="CXO3" s="3404"/>
      <c r="CXP3" s="3404"/>
      <c r="CXQ3" s="3404"/>
      <c r="CXR3" s="3404"/>
      <c r="CXS3" s="3404"/>
      <c r="CXT3" s="3404"/>
      <c r="CXU3" s="3404"/>
      <c r="CXV3" s="3404"/>
      <c r="CXW3" s="3404"/>
      <c r="CXX3" s="3404"/>
      <c r="CXY3" s="3404"/>
      <c r="CXZ3" s="3404"/>
      <c r="CYA3" s="3404"/>
      <c r="CYB3" s="3404"/>
      <c r="CYC3" s="3404"/>
      <c r="CYD3" s="3404"/>
      <c r="CYE3" s="3404"/>
      <c r="CYF3" s="3404"/>
      <c r="CYG3" s="3404"/>
      <c r="CYH3" s="3404"/>
      <c r="CYI3" s="3404"/>
      <c r="CYJ3" s="3404"/>
      <c r="CYK3" s="3404"/>
      <c r="CYL3" s="3404"/>
      <c r="CYM3" s="3404"/>
      <c r="CYN3" s="3404"/>
      <c r="CYO3" s="3404"/>
      <c r="CYP3" s="3404"/>
      <c r="CYQ3" s="3404"/>
      <c r="CYR3" s="3404"/>
      <c r="CYS3" s="3404"/>
      <c r="CYT3" s="3404"/>
      <c r="CYU3" s="3404"/>
      <c r="CYV3" s="3404"/>
      <c r="CYW3" s="3404"/>
      <c r="CYX3" s="3404"/>
      <c r="CYY3" s="3404"/>
      <c r="CYZ3" s="3404"/>
      <c r="CZA3" s="3404"/>
      <c r="CZB3" s="3404"/>
      <c r="CZC3" s="3404"/>
      <c r="CZD3" s="3404"/>
      <c r="CZE3" s="3404"/>
      <c r="CZF3" s="3404"/>
      <c r="CZG3" s="3404"/>
      <c r="CZH3" s="3404"/>
      <c r="CZI3" s="3404"/>
      <c r="CZJ3" s="3404"/>
      <c r="CZK3" s="3404"/>
      <c r="CZL3" s="3404"/>
      <c r="CZM3" s="3404"/>
      <c r="CZN3" s="3404"/>
      <c r="CZO3" s="3404"/>
      <c r="CZP3" s="3404"/>
      <c r="CZQ3" s="3404"/>
      <c r="CZR3" s="3404"/>
      <c r="CZS3" s="3404"/>
      <c r="CZT3" s="3404"/>
      <c r="CZU3" s="3404"/>
      <c r="CZV3" s="3404"/>
      <c r="CZW3" s="3404"/>
      <c r="CZX3" s="3404"/>
      <c r="CZY3" s="3404"/>
      <c r="CZZ3" s="3404"/>
      <c r="DAA3" s="3404"/>
      <c r="DAB3" s="3404"/>
      <c r="DAC3" s="3404"/>
      <c r="DAD3" s="3404"/>
      <c r="DAE3" s="3404"/>
      <c r="DAF3" s="3404"/>
      <c r="DAG3" s="3404"/>
      <c r="DAH3" s="3404"/>
      <c r="DAI3" s="3404"/>
      <c r="DAJ3" s="3404"/>
      <c r="DAK3" s="3404"/>
      <c r="DAL3" s="3404"/>
      <c r="DAM3" s="3404"/>
      <c r="DAN3" s="3404"/>
      <c r="DAO3" s="3404"/>
      <c r="DAP3" s="3404"/>
      <c r="DAQ3" s="3404"/>
      <c r="DAR3" s="3404"/>
      <c r="DAS3" s="3404"/>
      <c r="DAT3" s="3404"/>
      <c r="DAU3" s="3404"/>
      <c r="DAV3" s="3404"/>
      <c r="DAW3" s="3404"/>
      <c r="DAX3" s="3404"/>
      <c r="DAY3" s="3404"/>
      <c r="DAZ3" s="3404"/>
      <c r="DBA3" s="3404"/>
      <c r="DBB3" s="3404"/>
      <c r="DBC3" s="3404"/>
      <c r="DBD3" s="3404"/>
      <c r="DBE3" s="3404"/>
      <c r="DBF3" s="3404"/>
      <c r="DBG3" s="3404"/>
      <c r="DBH3" s="3404"/>
      <c r="DBI3" s="3404"/>
      <c r="DBJ3" s="3404"/>
      <c r="DBK3" s="3404"/>
      <c r="DBL3" s="3404"/>
      <c r="DBM3" s="3404"/>
      <c r="DBN3" s="3404"/>
      <c r="DBO3" s="3404"/>
      <c r="DBP3" s="3404"/>
      <c r="DBQ3" s="3404"/>
      <c r="DBR3" s="3404"/>
      <c r="DBS3" s="3404"/>
      <c r="DBT3" s="3404"/>
      <c r="DBU3" s="3404"/>
      <c r="DBV3" s="3404"/>
      <c r="DBW3" s="3404"/>
      <c r="DBX3" s="3404"/>
      <c r="DBY3" s="3404"/>
      <c r="DBZ3" s="3404"/>
      <c r="DCA3" s="3404"/>
      <c r="DCB3" s="3404"/>
      <c r="DCC3" s="3404"/>
      <c r="DCD3" s="3404"/>
      <c r="DCE3" s="3404"/>
      <c r="DCF3" s="3404"/>
      <c r="DCG3" s="3404"/>
      <c r="DCH3" s="3404"/>
      <c r="DCI3" s="3404"/>
      <c r="DCJ3" s="3404"/>
      <c r="DCK3" s="3404"/>
      <c r="DCL3" s="3404"/>
      <c r="DCM3" s="3404"/>
      <c r="DCN3" s="3404"/>
      <c r="DCO3" s="3404"/>
      <c r="DCP3" s="3404"/>
      <c r="DCQ3" s="3404"/>
      <c r="DCR3" s="3404"/>
      <c r="DCS3" s="3404"/>
      <c r="DCT3" s="3404"/>
      <c r="DCU3" s="3404"/>
      <c r="DCV3" s="3404"/>
      <c r="DCW3" s="3404"/>
      <c r="DCX3" s="3404"/>
      <c r="DCY3" s="3404"/>
      <c r="DCZ3" s="3404"/>
      <c r="DDA3" s="3404"/>
      <c r="DDB3" s="3404"/>
      <c r="DDC3" s="3404"/>
      <c r="DDD3" s="3404"/>
      <c r="DDE3" s="3404"/>
      <c r="DDF3" s="3404"/>
      <c r="DDG3" s="3404"/>
      <c r="DDH3" s="3404"/>
      <c r="DDI3" s="3404"/>
      <c r="DDJ3" s="3404"/>
      <c r="DDK3" s="3404"/>
      <c r="DDL3" s="3404"/>
      <c r="DDM3" s="3404"/>
      <c r="DDN3" s="3404"/>
      <c r="DDO3" s="3404"/>
      <c r="DDP3" s="3404"/>
      <c r="DDQ3" s="3404"/>
      <c r="DDR3" s="3404"/>
      <c r="DDS3" s="3404"/>
      <c r="DDT3" s="3404"/>
      <c r="DDU3" s="3404"/>
      <c r="DDV3" s="3404"/>
      <c r="DDW3" s="3404"/>
      <c r="DDX3" s="3404"/>
      <c r="DDY3" s="3404"/>
      <c r="DDZ3" s="3404"/>
      <c r="DEA3" s="3404"/>
      <c r="DEB3" s="3404"/>
      <c r="DEC3" s="3404"/>
      <c r="DED3" s="3404"/>
      <c r="DEE3" s="3404"/>
      <c r="DEF3" s="3404"/>
      <c r="DEG3" s="3404"/>
      <c r="DEH3" s="3404"/>
      <c r="DEI3" s="3404"/>
      <c r="DEJ3" s="3404"/>
      <c r="DEK3" s="3404"/>
      <c r="DEL3" s="3404"/>
      <c r="DEM3" s="3404"/>
      <c r="DEN3" s="3404"/>
      <c r="DEO3" s="3404"/>
      <c r="DEP3" s="3404"/>
      <c r="DEQ3" s="3404"/>
      <c r="DER3" s="3404"/>
      <c r="DES3" s="3404"/>
      <c r="DET3" s="3404"/>
      <c r="DEU3" s="3404"/>
      <c r="DEV3" s="3404"/>
      <c r="DEW3" s="3404"/>
      <c r="DEX3" s="3404"/>
      <c r="DEY3" s="3404"/>
      <c r="DEZ3" s="3404"/>
      <c r="DFA3" s="3404"/>
      <c r="DFB3" s="3404"/>
      <c r="DFC3" s="3404"/>
      <c r="DFD3" s="3404"/>
      <c r="DFE3" s="3404"/>
      <c r="DFF3" s="3404"/>
      <c r="DFG3" s="3404"/>
      <c r="DFH3" s="3404"/>
      <c r="DFI3" s="3404"/>
      <c r="DFJ3" s="3404"/>
      <c r="DFK3" s="3404"/>
      <c r="DFL3" s="3404"/>
      <c r="DFM3" s="3404"/>
      <c r="DFN3" s="3404"/>
      <c r="DFO3" s="3404"/>
      <c r="DFP3" s="3404"/>
      <c r="DFQ3" s="3404"/>
      <c r="DFR3" s="3404"/>
      <c r="DFS3" s="3404"/>
      <c r="DFT3" s="3404"/>
      <c r="DFU3" s="3404"/>
      <c r="DFV3" s="3404"/>
      <c r="DFW3" s="3404"/>
      <c r="DFX3" s="3404"/>
      <c r="DFY3" s="3404"/>
      <c r="DFZ3" s="3404"/>
      <c r="DGA3" s="3404"/>
      <c r="DGB3" s="3404"/>
      <c r="DGC3" s="3404"/>
      <c r="DGD3" s="3404"/>
      <c r="DGE3" s="3404"/>
      <c r="DGF3" s="3404"/>
      <c r="DGG3" s="3404"/>
      <c r="DGH3" s="3404"/>
      <c r="DGI3" s="3404"/>
      <c r="DGJ3" s="3404"/>
      <c r="DGK3" s="3404"/>
      <c r="DGL3" s="3404"/>
      <c r="DGM3" s="3404"/>
      <c r="DGN3" s="3404"/>
      <c r="DGO3" s="3404"/>
      <c r="DGP3" s="3404"/>
      <c r="DGQ3" s="3404"/>
      <c r="DGR3" s="3404"/>
      <c r="DGS3" s="3404"/>
      <c r="DGT3" s="3404"/>
      <c r="DGU3" s="3404"/>
      <c r="DGV3" s="3404"/>
      <c r="DGW3" s="3404"/>
      <c r="DGX3" s="3404"/>
      <c r="DGY3" s="3404"/>
      <c r="DGZ3" s="3404"/>
      <c r="DHA3" s="3404"/>
      <c r="DHB3" s="3404"/>
      <c r="DHC3" s="3404"/>
      <c r="DHD3" s="3404"/>
      <c r="DHE3" s="3404"/>
      <c r="DHF3" s="3404"/>
      <c r="DHG3" s="3404"/>
      <c r="DHH3" s="3404"/>
      <c r="DHI3" s="3404"/>
      <c r="DHJ3" s="3404"/>
      <c r="DHK3" s="3404"/>
      <c r="DHL3" s="3404"/>
      <c r="DHM3" s="3404"/>
      <c r="DHN3" s="3404"/>
      <c r="DHO3" s="3404"/>
      <c r="DHP3" s="3404"/>
      <c r="DHQ3" s="3404"/>
      <c r="DHR3" s="3404"/>
      <c r="DHS3" s="3404"/>
      <c r="DHT3" s="3404"/>
      <c r="DHU3" s="3404"/>
      <c r="DHV3" s="3404"/>
      <c r="DHW3" s="3404"/>
      <c r="DHX3" s="3404"/>
      <c r="DHY3" s="3404"/>
      <c r="DHZ3" s="3404"/>
      <c r="DIA3" s="3404"/>
      <c r="DIB3" s="3404"/>
      <c r="DIC3" s="3404"/>
      <c r="DID3" s="3404"/>
      <c r="DIE3" s="3404"/>
      <c r="DIF3" s="3404"/>
      <c r="DIG3" s="3404"/>
      <c r="DIH3" s="3404"/>
      <c r="DII3" s="3404"/>
      <c r="DIJ3" s="3404"/>
      <c r="DIK3" s="3404"/>
      <c r="DIL3" s="3404"/>
      <c r="DIM3" s="3404"/>
      <c r="DIN3" s="3404"/>
      <c r="DIO3" s="3404"/>
      <c r="DIP3" s="3404"/>
      <c r="DIQ3" s="3404"/>
      <c r="DIR3" s="3404"/>
      <c r="DIS3" s="3404"/>
      <c r="DIT3" s="3404"/>
      <c r="DIU3" s="3404"/>
      <c r="DIV3" s="3404"/>
      <c r="DIW3" s="3404"/>
      <c r="DIX3" s="3404"/>
      <c r="DIY3" s="3404"/>
      <c r="DIZ3" s="3404"/>
      <c r="DJA3" s="3404"/>
      <c r="DJB3" s="3404"/>
      <c r="DJC3" s="3404"/>
      <c r="DJD3" s="3404"/>
      <c r="DJE3" s="3404"/>
      <c r="DJF3" s="3404"/>
      <c r="DJG3" s="3404"/>
      <c r="DJH3" s="3404"/>
      <c r="DJI3" s="3404"/>
      <c r="DJJ3" s="3404"/>
      <c r="DJK3" s="3404"/>
      <c r="DJL3" s="3404"/>
      <c r="DJM3" s="3404"/>
      <c r="DJN3" s="3404"/>
      <c r="DJO3" s="3404"/>
      <c r="DJP3" s="3404"/>
      <c r="DJQ3" s="3404"/>
      <c r="DJR3" s="3404"/>
      <c r="DJS3" s="3404"/>
      <c r="DJT3" s="3404"/>
      <c r="DJU3" s="3404"/>
      <c r="DJV3" s="3404"/>
      <c r="DJW3" s="3404"/>
      <c r="DJX3" s="3404"/>
      <c r="DJY3" s="3404"/>
      <c r="DJZ3" s="3404"/>
      <c r="DKA3" s="3404"/>
      <c r="DKB3" s="3404"/>
      <c r="DKC3" s="3404"/>
      <c r="DKD3" s="3404"/>
      <c r="DKE3" s="3404"/>
      <c r="DKF3" s="3404"/>
      <c r="DKG3" s="3404"/>
      <c r="DKH3" s="3404"/>
      <c r="DKI3" s="3404"/>
      <c r="DKJ3" s="3404"/>
      <c r="DKK3" s="3404"/>
      <c r="DKL3" s="3404"/>
      <c r="DKM3" s="3404"/>
      <c r="DKN3" s="3404"/>
      <c r="DKO3" s="3404"/>
      <c r="DKP3" s="3404"/>
      <c r="DKQ3" s="3404"/>
      <c r="DKR3" s="3404"/>
      <c r="DKS3" s="3404"/>
      <c r="DKT3" s="3404"/>
      <c r="DKU3" s="3404"/>
      <c r="DKV3" s="3404"/>
      <c r="DKW3" s="3404"/>
      <c r="DKX3" s="3404"/>
      <c r="DKY3" s="3404"/>
      <c r="DKZ3" s="3404"/>
      <c r="DLA3" s="3404"/>
      <c r="DLB3" s="3404"/>
      <c r="DLC3" s="3404"/>
      <c r="DLD3" s="3404"/>
      <c r="DLE3" s="3404"/>
      <c r="DLF3" s="3404"/>
      <c r="DLG3" s="3404"/>
      <c r="DLH3" s="3404"/>
      <c r="DLI3" s="3404"/>
      <c r="DLJ3" s="3404"/>
      <c r="DLK3" s="3404"/>
      <c r="DLL3" s="3404"/>
      <c r="DLM3" s="3404"/>
      <c r="DLN3" s="3404"/>
      <c r="DLO3" s="3404"/>
      <c r="DLP3" s="3404"/>
      <c r="DLQ3" s="3404"/>
      <c r="DLR3" s="3404"/>
      <c r="DLS3" s="3404"/>
      <c r="DLT3" s="3404"/>
      <c r="DLU3" s="3404"/>
      <c r="DLV3" s="3404"/>
      <c r="DLW3" s="3404"/>
      <c r="DLX3" s="3404"/>
      <c r="DLY3" s="3404"/>
      <c r="DLZ3" s="3404"/>
      <c r="DMA3" s="3404"/>
      <c r="DMB3" s="3404"/>
      <c r="DMC3" s="3404"/>
      <c r="DMD3" s="3404"/>
      <c r="DME3" s="3404"/>
      <c r="DMF3" s="3404"/>
      <c r="DMG3" s="3404"/>
      <c r="DMH3" s="3404"/>
      <c r="DMI3" s="3404"/>
      <c r="DMJ3" s="3404"/>
      <c r="DMK3" s="3404"/>
      <c r="DML3" s="3404"/>
      <c r="DMM3" s="3404"/>
      <c r="DMN3" s="3404"/>
      <c r="DMO3" s="3404"/>
      <c r="DMP3" s="3404"/>
      <c r="DMQ3" s="3404"/>
      <c r="DMR3" s="3404"/>
      <c r="DMS3" s="3404"/>
      <c r="DMT3" s="3404"/>
      <c r="DMU3" s="3404"/>
      <c r="DMV3" s="3404"/>
      <c r="DMW3" s="3404"/>
      <c r="DMX3" s="3404"/>
      <c r="DMY3" s="3404"/>
      <c r="DMZ3" s="3404"/>
      <c r="DNA3" s="3404"/>
      <c r="DNB3" s="3404"/>
      <c r="DNC3" s="3404"/>
      <c r="DND3" s="3404"/>
      <c r="DNE3" s="3404"/>
      <c r="DNF3" s="3404"/>
      <c r="DNG3" s="3404"/>
      <c r="DNH3" s="3404"/>
      <c r="DNI3" s="3404"/>
      <c r="DNJ3" s="3404"/>
      <c r="DNK3" s="3404"/>
      <c r="DNL3" s="3404"/>
      <c r="DNM3" s="3404"/>
      <c r="DNN3" s="3404"/>
      <c r="DNO3" s="3404"/>
      <c r="DNP3" s="3404"/>
      <c r="DNQ3" s="3404"/>
      <c r="DNR3" s="3404"/>
      <c r="DNS3" s="3404"/>
      <c r="DNT3" s="3404"/>
      <c r="DNU3" s="3404"/>
      <c r="DNV3" s="3404"/>
      <c r="DNW3" s="3404"/>
      <c r="DNX3" s="3404"/>
      <c r="DNY3" s="3404"/>
      <c r="DNZ3" s="3404"/>
      <c r="DOA3" s="3404"/>
      <c r="DOB3" s="3404"/>
      <c r="DOC3" s="3404"/>
      <c r="DOD3" s="3404"/>
      <c r="DOE3" s="3404"/>
      <c r="DOF3" s="3404"/>
      <c r="DOG3" s="3404"/>
      <c r="DOH3" s="3404"/>
      <c r="DOI3" s="3404"/>
      <c r="DOJ3" s="3404"/>
      <c r="DOK3" s="3404"/>
      <c r="DOL3" s="3404"/>
      <c r="DOM3" s="3404"/>
      <c r="DON3" s="3404"/>
      <c r="DOO3" s="3404"/>
      <c r="DOP3" s="3404"/>
      <c r="DOQ3" s="3404"/>
      <c r="DOR3" s="3404"/>
      <c r="DOS3" s="3404"/>
      <c r="DOT3" s="3404"/>
      <c r="DOU3" s="3404"/>
      <c r="DOV3" s="3404"/>
      <c r="DOW3" s="3404"/>
      <c r="DOX3" s="3404"/>
      <c r="DOY3" s="3404"/>
      <c r="DOZ3" s="3404"/>
      <c r="DPA3" s="3404"/>
      <c r="DPB3" s="3404"/>
      <c r="DPC3" s="3404"/>
      <c r="DPD3" s="3404"/>
      <c r="DPE3" s="3404"/>
      <c r="DPF3" s="3404"/>
      <c r="DPG3" s="3404"/>
      <c r="DPH3" s="3404"/>
      <c r="DPI3" s="3404"/>
      <c r="DPJ3" s="3404"/>
      <c r="DPK3" s="3404"/>
      <c r="DPL3" s="3404"/>
      <c r="DPM3" s="3404"/>
      <c r="DPN3" s="3404"/>
      <c r="DPO3" s="3404"/>
      <c r="DPP3" s="3404"/>
      <c r="DPQ3" s="3404"/>
      <c r="DPR3" s="3404"/>
      <c r="DPS3" s="3404"/>
      <c r="DPT3" s="3404"/>
      <c r="DPU3" s="3404"/>
      <c r="DPV3" s="3404"/>
      <c r="DPW3" s="3404"/>
      <c r="DPX3" s="3404"/>
      <c r="DPY3" s="3404"/>
      <c r="DPZ3" s="3404"/>
      <c r="DQA3" s="3404"/>
      <c r="DQB3" s="3404"/>
      <c r="DQC3" s="3404"/>
      <c r="DQD3" s="3404"/>
      <c r="DQE3" s="3404"/>
      <c r="DQF3" s="3404"/>
      <c r="DQG3" s="3404"/>
      <c r="DQH3" s="3404"/>
      <c r="DQI3" s="3404"/>
      <c r="DQJ3" s="3404"/>
      <c r="DQK3" s="3404"/>
      <c r="DQL3" s="3404"/>
      <c r="DQM3" s="3404"/>
      <c r="DQN3" s="3404"/>
      <c r="DQO3" s="3404"/>
      <c r="DQP3" s="3404"/>
      <c r="DQQ3" s="3404"/>
      <c r="DQR3" s="3404"/>
      <c r="DQS3" s="3404"/>
      <c r="DQT3" s="3404"/>
      <c r="DQU3" s="3404"/>
      <c r="DQV3" s="3404"/>
      <c r="DQW3" s="3404"/>
      <c r="DQX3" s="3404"/>
      <c r="DQY3" s="3404"/>
      <c r="DQZ3" s="3404"/>
      <c r="DRA3" s="3404"/>
      <c r="DRB3" s="3404"/>
      <c r="DRC3" s="3404"/>
      <c r="DRD3" s="3404"/>
      <c r="DRE3" s="3404"/>
      <c r="DRF3" s="3404"/>
      <c r="DRG3" s="3404"/>
      <c r="DRH3" s="3404"/>
      <c r="DRI3" s="3404"/>
      <c r="DRJ3" s="3404"/>
      <c r="DRK3" s="3404"/>
      <c r="DRL3" s="3404"/>
      <c r="DRM3" s="3404"/>
      <c r="DRN3" s="3404"/>
      <c r="DRO3" s="3404"/>
      <c r="DRP3" s="3404"/>
      <c r="DRQ3" s="3404"/>
      <c r="DRR3" s="3404"/>
      <c r="DRS3" s="3404"/>
      <c r="DRT3" s="3404"/>
      <c r="DRU3" s="3404"/>
      <c r="DRV3" s="3404"/>
      <c r="DRW3" s="3404"/>
      <c r="DRX3" s="3404"/>
      <c r="DRY3" s="3404"/>
      <c r="DRZ3" s="3404"/>
      <c r="DSA3" s="3404"/>
      <c r="DSB3" s="3404"/>
      <c r="DSC3" s="3404"/>
      <c r="DSD3" s="3404"/>
      <c r="DSE3" s="3404"/>
      <c r="DSF3" s="3404"/>
      <c r="DSG3" s="3404"/>
      <c r="DSH3" s="3404"/>
      <c r="DSI3" s="3404"/>
      <c r="DSJ3" s="3404"/>
      <c r="DSK3" s="3404"/>
      <c r="DSL3" s="3404"/>
      <c r="DSM3" s="3404"/>
      <c r="DSN3" s="3404"/>
      <c r="DSO3" s="3404"/>
      <c r="DSP3" s="3404"/>
      <c r="DSQ3" s="3404"/>
      <c r="DSR3" s="3404"/>
      <c r="DSS3" s="3404"/>
      <c r="DST3" s="3404"/>
      <c r="DSU3" s="3404"/>
      <c r="DSV3" s="3404"/>
      <c r="DSW3" s="3404"/>
      <c r="DSX3" s="3404"/>
      <c r="DSY3" s="3404"/>
      <c r="DSZ3" s="3404"/>
      <c r="DTA3" s="3404"/>
      <c r="DTB3" s="3404"/>
      <c r="DTC3" s="3404"/>
      <c r="DTD3" s="3404"/>
      <c r="DTE3" s="3404"/>
      <c r="DTF3" s="3404"/>
      <c r="DTG3" s="3404"/>
      <c r="DTH3" s="3404"/>
      <c r="DTI3" s="3404"/>
      <c r="DTJ3" s="3404"/>
      <c r="DTK3" s="3404"/>
      <c r="DTL3" s="3404"/>
      <c r="DTM3" s="3404"/>
      <c r="DTN3" s="3404"/>
      <c r="DTO3" s="3404"/>
      <c r="DTP3" s="3404"/>
      <c r="DTQ3" s="3404"/>
      <c r="DTR3" s="3404"/>
      <c r="DTS3" s="3404"/>
      <c r="DTT3" s="3404"/>
      <c r="DTU3" s="3404"/>
      <c r="DTV3" s="3404"/>
      <c r="DTW3" s="3404"/>
      <c r="DTX3" s="3404"/>
      <c r="DTY3" s="3404"/>
      <c r="DTZ3" s="3404"/>
      <c r="DUA3" s="3404"/>
      <c r="DUB3" s="3404"/>
      <c r="DUC3" s="3404"/>
      <c r="DUD3" s="3404"/>
      <c r="DUE3" s="3404"/>
      <c r="DUF3" s="3404"/>
      <c r="DUG3" s="3404"/>
      <c r="DUH3" s="3404"/>
      <c r="DUI3" s="3404"/>
      <c r="DUJ3" s="3404"/>
      <c r="DUK3" s="3404"/>
      <c r="DUL3" s="3404"/>
      <c r="DUM3" s="3404"/>
      <c r="DUN3" s="3404"/>
      <c r="DUO3" s="3404"/>
      <c r="DUP3" s="3404"/>
      <c r="DUQ3" s="3404"/>
      <c r="DUR3" s="3404"/>
      <c r="DUS3" s="3404"/>
      <c r="DUT3" s="3404"/>
      <c r="DUU3" s="3404"/>
      <c r="DUV3" s="3404"/>
      <c r="DUW3" s="3404"/>
      <c r="DUX3" s="3404"/>
      <c r="DUY3" s="3404"/>
      <c r="DUZ3" s="3404"/>
      <c r="DVA3" s="3404"/>
      <c r="DVB3" s="3404"/>
      <c r="DVC3" s="3404"/>
      <c r="DVD3" s="3404"/>
      <c r="DVE3" s="3404"/>
      <c r="DVF3" s="3404"/>
      <c r="DVG3" s="3404"/>
      <c r="DVH3" s="3404"/>
      <c r="DVI3" s="3404"/>
      <c r="DVJ3" s="3404"/>
      <c r="DVK3" s="3404"/>
      <c r="DVL3" s="3404"/>
      <c r="DVM3" s="3404"/>
      <c r="DVN3" s="3404"/>
      <c r="DVO3" s="3404"/>
      <c r="DVP3" s="3404"/>
      <c r="DVQ3" s="3404"/>
      <c r="DVR3" s="3404"/>
      <c r="DVS3" s="3404"/>
      <c r="DVT3" s="3404"/>
      <c r="DVU3" s="3404"/>
      <c r="DVV3" s="3404"/>
      <c r="DVW3" s="3404"/>
      <c r="DVX3" s="3404"/>
      <c r="DVY3" s="3404"/>
      <c r="DVZ3" s="3404"/>
      <c r="DWA3" s="3404"/>
      <c r="DWB3" s="3404"/>
      <c r="DWC3" s="3404"/>
      <c r="DWD3" s="3404"/>
      <c r="DWE3" s="3404"/>
      <c r="DWF3" s="3404"/>
      <c r="DWG3" s="3404"/>
      <c r="DWH3" s="3404"/>
      <c r="DWI3" s="3404"/>
      <c r="DWJ3" s="3404"/>
      <c r="DWK3" s="3404"/>
      <c r="DWL3" s="3404"/>
      <c r="DWM3" s="3404"/>
      <c r="DWN3" s="3404"/>
      <c r="DWO3" s="3404"/>
      <c r="DWP3" s="3404"/>
      <c r="DWQ3" s="3404"/>
      <c r="DWR3" s="3404"/>
      <c r="DWS3" s="3404"/>
      <c r="DWT3" s="3404"/>
      <c r="DWU3" s="3404"/>
      <c r="DWV3" s="3404"/>
      <c r="DWW3" s="3404"/>
      <c r="DWX3" s="3404"/>
      <c r="DWY3" s="3404"/>
      <c r="DWZ3" s="3404"/>
      <c r="DXA3" s="3404"/>
      <c r="DXB3" s="3404"/>
      <c r="DXC3" s="3404"/>
      <c r="DXD3" s="3404"/>
      <c r="DXE3" s="3404"/>
      <c r="DXF3" s="3404"/>
      <c r="DXG3" s="3404"/>
      <c r="DXH3" s="3404"/>
      <c r="DXI3" s="3404"/>
      <c r="DXJ3" s="3404"/>
      <c r="DXK3" s="3404"/>
      <c r="DXL3" s="3404"/>
      <c r="DXM3" s="3404"/>
      <c r="DXN3" s="3404"/>
      <c r="DXO3" s="3404"/>
      <c r="DXP3" s="3404"/>
      <c r="DXQ3" s="3404"/>
      <c r="DXR3" s="3404"/>
      <c r="DXS3" s="3404"/>
      <c r="DXT3" s="3404"/>
      <c r="DXU3" s="3404"/>
      <c r="DXV3" s="3404"/>
      <c r="DXW3" s="3404"/>
      <c r="DXX3" s="3404"/>
      <c r="DXY3" s="3404"/>
      <c r="DXZ3" s="3404"/>
      <c r="DYA3" s="3404"/>
      <c r="DYB3" s="3404"/>
      <c r="DYC3" s="3404"/>
      <c r="DYD3" s="3404"/>
      <c r="DYE3" s="3404"/>
      <c r="DYF3" s="3404"/>
      <c r="DYG3" s="3404"/>
      <c r="DYH3" s="3404"/>
      <c r="DYI3" s="3404"/>
      <c r="DYJ3" s="3404"/>
      <c r="DYK3" s="3404"/>
      <c r="DYL3" s="3404"/>
      <c r="DYM3" s="3404"/>
      <c r="DYN3" s="3404"/>
      <c r="DYO3" s="3404"/>
      <c r="DYP3" s="3404"/>
      <c r="DYQ3" s="3404"/>
      <c r="DYR3" s="3404"/>
      <c r="DYS3" s="3404"/>
      <c r="DYT3" s="3404"/>
      <c r="DYU3" s="3404"/>
      <c r="DYV3" s="3404"/>
      <c r="DYW3" s="3404"/>
      <c r="DYX3" s="3404"/>
      <c r="DYY3" s="3404"/>
      <c r="DYZ3" s="3404"/>
      <c r="DZA3" s="3404"/>
      <c r="DZB3" s="3404"/>
      <c r="DZC3" s="3404"/>
      <c r="DZD3" s="3404"/>
      <c r="DZE3" s="3404"/>
      <c r="DZF3" s="3404"/>
      <c r="DZG3" s="3404"/>
      <c r="DZH3" s="3404"/>
      <c r="DZI3" s="3404"/>
      <c r="DZJ3" s="3404"/>
      <c r="DZK3" s="3404"/>
      <c r="DZL3" s="3404"/>
      <c r="DZM3" s="3404"/>
      <c r="DZN3" s="3404"/>
      <c r="DZO3" s="3404"/>
      <c r="DZP3" s="3404"/>
      <c r="DZQ3" s="3404"/>
      <c r="DZR3" s="3404"/>
      <c r="DZS3" s="3404"/>
      <c r="DZT3" s="3404"/>
      <c r="DZU3" s="3404"/>
      <c r="DZV3" s="3404"/>
      <c r="DZW3" s="3404"/>
      <c r="DZX3" s="3404"/>
      <c r="DZY3" s="3404"/>
      <c r="DZZ3" s="3404"/>
      <c r="EAA3" s="3404"/>
      <c r="EAB3" s="3404"/>
      <c r="EAC3" s="3404"/>
      <c r="EAD3" s="3404"/>
      <c r="EAE3" s="3404"/>
      <c r="EAF3" s="3404"/>
      <c r="EAG3" s="3404"/>
      <c r="EAH3" s="3404"/>
      <c r="EAI3" s="3404"/>
      <c r="EAJ3" s="3404"/>
      <c r="EAK3" s="3404"/>
      <c r="EAL3" s="3404"/>
      <c r="EAM3" s="3404"/>
      <c r="EAN3" s="3404"/>
      <c r="EAO3" s="3404"/>
      <c r="EAP3" s="3404"/>
      <c r="EAQ3" s="3404"/>
      <c r="EAR3" s="3404"/>
      <c r="EAS3" s="3404"/>
      <c r="EAT3" s="3404"/>
      <c r="EAU3" s="3404"/>
      <c r="EAV3" s="3404"/>
      <c r="EAW3" s="3404"/>
      <c r="EAX3" s="3404"/>
      <c r="EAY3" s="3404"/>
      <c r="EAZ3" s="3404"/>
      <c r="EBA3" s="3404"/>
      <c r="EBB3" s="3404"/>
      <c r="EBC3" s="3404"/>
      <c r="EBD3" s="3404"/>
      <c r="EBE3" s="3404"/>
      <c r="EBF3" s="3404"/>
      <c r="EBG3" s="3404"/>
      <c r="EBH3" s="3404"/>
      <c r="EBI3" s="3404"/>
      <c r="EBJ3" s="3404"/>
      <c r="EBK3" s="3404"/>
      <c r="EBL3" s="3404"/>
      <c r="EBM3" s="3404"/>
      <c r="EBN3" s="3404"/>
      <c r="EBO3" s="3404"/>
      <c r="EBP3" s="3404"/>
      <c r="EBQ3" s="3404"/>
      <c r="EBR3" s="3404"/>
      <c r="EBS3" s="3404"/>
      <c r="EBT3" s="3404"/>
      <c r="EBU3" s="3404"/>
      <c r="EBV3" s="3404"/>
      <c r="EBW3" s="3404"/>
      <c r="EBX3" s="3404"/>
      <c r="EBY3" s="3404"/>
      <c r="EBZ3" s="3404"/>
      <c r="ECA3" s="3404"/>
      <c r="ECB3" s="3404"/>
      <c r="ECC3" s="3404"/>
      <c r="ECD3" s="3404"/>
      <c r="ECE3" s="3404"/>
      <c r="ECF3" s="3404"/>
      <c r="ECG3" s="3404"/>
      <c r="ECH3" s="3404"/>
      <c r="ECI3" s="3404"/>
      <c r="ECJ3" s="3404"/>
      <c r="ECK3" s="3404"/>
      <c r="ECL3" s="3404"/>
      <c r="ECM3" s="3404"/>
      <c r="ECN3" s="3404"/>
      <c r="ECO3" s="3404"/>
      <c r="ECP3" s="3404"/>
      <c r="ECQ3" s="3404"/>
      <c r="ECR3" s="3404"/>
      <c r="ECS3" s="3404"/>
      <c r="ECT3" s="3404"/>
      <c r="ECU3" s="3404"/>
      <c r="ECV3" s="3404"/>
      <c r="ECW3" s="3404"/>
      <c r="ECX3" s="3404"/>
      <c r="ECY3" s="3404"/>
      <c r="ECZ3" s="3404"/>
      <c r="EDA3" s="3404"/>
      <c r="EDB3" s="3404"/>
      <c r="EDC3" s="3404"/>
      <c r="EDD3" s="3404"/>
      <c r="EDE3" s="3404"/>
      <c r="EDF3" s="3404"/>
      <c r="EDG3" s="3404"/>
      <c r="EDH3" s="3404"/>
      <c r="EDI3" s="3404"/>
      <c r="EDJ3" s="3404"/>
      <c r="EDK3" s="3404"/>
      <c r="EDL3" s="3404"/>
      <c r="EDM3" s="3404"/>
      <c r="EDN3" s="3404"/>
      <c r="EDO3" s="3404"/>
      <c r="EDP3" s="3404"/>
      <c r="EDQ3" s="3404"/>
      <c r="EDR3" s="3404"/>
      <c r="EDS3" s="3404"/>
      <c r="EDT3" s="3404"/>
      <c r="EDU3" s="3404"/>
      <c r="EDV3" s="3404"/>
      <c r="EDW3" s="3404"/>
      <c r="EDX3" s="3404"/>
      <c r="EDY3" s="3404"/>
      <c r="EDZ3" s="3404"/>
      <c r="EEA3" s="3404"/>
      <c r="EEB3" s="3404"/>
      <c r="EEC3" s="3404"/>
      <c r="EED3" s="3404"/>
      <c r="EEE3" s="3404"/>
      <c r="EEF3" s="3404"/>
      <c r="EEG3" s="3404"/>
      <c r="EEH3" s="3404"/>
      <c r="EEI3" s="3404"/>
      <c r="EEJ3" s="3404"/>
      <c r="EEK3" s="3404"/>
      <c r="EEL3" s="3404"/>
      <c r="EEM3" s="3404"/>
      <c r="EEN3" s="3404"/>
      <c r="EEO3" s="3404"/>
      <c r="EEP3" s="3404"/>
      <c r="EEQ3" s="3404"/>
      <c r="EER3" s="3404"/>
      <c r="EES3" s="3404"/>
      <c r="EET3" s="3404"/>
      <c r="EEU3" s="3404"/>
      <c r="EEV3" s="3404"/>
      <c r="EEW3" s="3404"/>
      <c r="EEX3" s="3404"/>
      <c r="EEY3" s="3404"/>
      <c r="EEZ3" s="3404"/>
      <c r="EFA3" s="3404"/>
      <c r="EFB3" s="3404"/>
      <c r="EFC3" s="3404"/>
      <c r="EFD3" s="3404"/>
      <c r="EFE3" s="3404"/>
      <c r="EFF3" s="3404"/>
      <c r="EFG3" s="3404"/>
      <c r="EFH3" s="3404"/>
      <c r="EFI3" s="3404"/>
      <c r="EFJ3" s="3404"/>
      <c r="EFK3" s="3404"/>
      <c r="EFL3" s="3404"/>
      <c r="EFM3" s="3404"/>
      <c r="EFN3" s="3404"/>
      <c r="EFO3" s="3404"/>
      <c r="EFP3" s="3404"/>
      <c r="EFQ3" s="3404"/>
      <c r="EFR3" s="3404"/>
      <c r="EFS3" s="3404"/>
      <c r="EFT3" s="3404"/>
      <c r="EFU3" s="3404"/>
      <c r="EFV3" s="3404"/>
      <c r="EFW3" s="3404"/>
      <c r="EFX3" s="3404"/>
      <c r="EFY3" s="3404"/>
      <c r="EFZ3" s="3404"/>
      <c r="EGA3" s="3404"/>
      <c r="EGB3" s="3404"/>
      <c r="EGC3" s="3404"/>
      <c r="EGD3" s="3404"/>
      <c r="EGE3" s="3404"/>
      <c r="EGF3" s="3404"/>
      <c r="EGG3" s="3404"/>
      <c r="EGH3" s="3404"/>
      <c r="EGI3" s="3404"/>
      <c r="EGJ3" s="3404"/>
      <c r="EGK3" s="3404"/>
      <c r="EGL3" s="3404"/>
      <c r="EGM3" s="3404"/>
      <c r="EGN3" s="3404"/>
      <c r="EGO3" s="3404"/>
      <c r="EGP3" s="3404"/>
      <c r="EGQ3" s="3404"/>
      <c r="EGR3" s="3404"/>
      <c r="EGS3" s="3404"/>
      <c r="EGT3" s="3404"/>
      <c r="EGU3" s="3404"/>
      <c r="EGV3" s="3404"/>
      <c r="EGW3" s="3404"/>
      <c r="EGX3" s="3404"/>
      <c r="EGY3" s="3404"/>
      <c r="EGZ3" s="3404"/>
      <c r="EHA3" s="3404"/>
      <c r="EHB3" s="3404"/>
      <c r="EHC3" s="3404"/>
      <c r="EHD3" s="3404"/>
      <c r="EHE3" s="3404"/>
      <c r="EHF3" s="3404"/>
      <c r="EHG3" s="3404"/>
      <c r="EHH3" s="3404"/>
      <c r="EHI3" s="3404"/>
      <c r="EHJ3" s="3404"/>
      <c r="EHK3" s="3404"/>
      <c r="EHL3" s="3404"/>
      <c r="EHM3" s="3404"/>
      <c r="EHN3" s="3404"/>
      <c r="EHO3" s="3404"/>
      <c r="EHP3" s="3404"/>
      <c r="EHQ3" s="3404"/>
      <c r="EHR3" s="3404"/>
      <c r="EHS3" s="3404"/>
      <c r="EHT3" s="3404"/>
      <c r="EHU3" s="3404"/>
      <c r="EHV3" s="3404"/>
      <c r="EHW3" s="3404"/>
      <c r="EHX3" s="3404"/>
      <c r="EHY3" s="3404"/>
      <c r="EHZ3" s="3404"/>
      <c r="EIA3" s="3404"/>
      <c r="EIB3" s="3404"/>
      <c r="EIC3" s="3404"/>
      <c r="EID3" s="3404"/>
      <c r="EIE3" s="3404"/>
      <c r="EIF3" s="3404"/>
      <c r="EIG3" s="3404"/>
      <c r="EIH3" s="3404"/>
      <c r="EII3" s="3404"/>
      <c r="EIJ3" s="3404"/>
      <c r="EIK3" s="3404"/>
      <c r="EIL3" s="3404"/>
      <c r="EIM3" s="3404"/>
      <c r="EIN3" s="3404"/>
      <c r="EIO3" s="3404"/>
      <c r="EIP3" s="3404"/>
      <c r="EIQ3" s="3404"/>
      <c r="EIR3" s="3404"/>
      <c r="EIS3" s="3404"/>
      <c r="EIT3" s="3404"/>
      <c r="EIU3" s="3404"/>
      <c r="EIV3" s="3404"/>
      <c r="EIW3" s="3404"/>
      <c r="EIX3" s="3404"/>
      <c r="EIY3" s="3404"/>
      <c r="EIZ3" s="3404"/>
      <c r="EJA3" s="3404"/>
      <c r="EJB3" s="3404"/>
      <c r="EJC3" s="3404"/>
      <c r="EJD3" s="3404"/>
      <c r="EJE3" s="3404"/>
      <c r="EJF3" s="3404"/>
      <c r="EJG3" s="3404"/>
      <c r="EJH3" s="3404"/>
      <c r="EJI3" s="3404"/>
      <c r="EJJ3" s="3404"/>
      <c r="EJK3" s="3404"/>
      <c r="EJL3" s="3404"/>
      <c r="EJM3" s="3404"/>
      <c r="EJN3" s="3404"/>
      <c r="EJO3" s="3404"/>
      <c r="EJP3" s="3404"/>
      <c r="EJQ3" s="3404"/>
      <c r="EJR3" s="3404"/>
      <c r="EJS3" s="3404"/>
      <c r="EJT3" s="3404"/>
      <c r="EJU3" s="3404"/>
      <c r="EJV3" s="3404"/>
      <c r="EJW3" s="3404"/>
      <c r="EJX3" s="3404"/>
      <c r="EJY3" s="3404"/>
      <c r="EJZ3" s="3404"/>
      <c r="EKA3" s="3404"/>
      <c r="EKB3" s="3404"/>
      <c r="EKC3" s="3404"/>
      <c r="EKD3" s="3404"/>
      <c r="EKE3" s="3404"/>
      <c r="EKF3" s="3404"/>
      <c r="EKG3" s="3404"/>
      <c r="EKH3" s="3404"/>
      <c r="EKI3" s="3404"/>
      <c r="EKJ3" s="3404"/>
      <c r="EKK3" s="3404"/>
      <c r="EKL3" s="3404"/>
      <c r="EKM3" s="3404"/>
      <c r="EKN3" s="3404"/>
      <c r="EKO3" s="3404"/>
      <c r="EKP3" s="3404"/>
      <c r="EKQ3" s="3404"/>
      <c r="EKR3" s="3404"/>
      <c r="EKS3" s="3404"/>
      <c r="EKT3" s="3404"/>
      <c r="EKU3" s="3404"/>
      <c r="EKV3" s="3404"/>
      <c r="EKW3" s="3404"/>
      <c r="EKX3" s="3404"/>
      <c r="EKY3" s="3404"/>
      <c r="EKZ3" s="3404"/>
      <c r="ELA3" s="3404"/>
      <c r="ELB3" s="3404"/>
      <c r="ELC3" s="3404"/>
      <c r="ELD3" s="3404"/>
      <c r="ELE3" s="3404"/>
      <c r="ELF3" s="3404"/>
      <c r="ELG3" s="3404"/>
      <c r="ELH3" s="3404"/>
      <c r="ELI3" s="3404"/>
      <c r="ELJ3" s="3404"/>
      <c r="ELK3" s="3404"/>
      <c r="ELL3" s="3404"/>
      <c r="ELM3" s="3404"/>
      <c r="ELN3" s="3404"/>
      <c r="ELO3" s="3404"/>
      <c r="ELP3" s="3404"/>
      <c r="ELQ3" s="3404"/>
      <c r="ELR3" s="3404"/>
      <c r="ELS3" s="3404"/>
      <c r="ELT3" s="3404"/>
      <c r="ELU3" s="3404"/>
      <c r="ELV3" s="3404"/>
      <c r="ELW3" s="3404"/>
      <c r="ELX3" s="3404"/>
      <c r="ELY3" s="3404"/>
      <c r="ELZ3" s="3404"/>
      <c r="EMA3" s="3404"/>
      <c r="EMB3" s="3404"/>
      <c r="EMC3" s="3404"/>
      <c r="EMD3" s="3404"/>
      <c r="EME3" s="3404"/>
      <c r="EMF3" s="3404"/>
      <c r="EMG3" s="3404"/>
      <c r="EMH3" s="3404"/>
      <c r="EMI3" s="3404"/>
      <c r="EMJ3" s="3404"/>
      <c r="EMK3" s="3404"/>
      <c r="EML3" s="3404"/>
      <c r="EMM3" s="3404"/>
      <c r="EMN3" s="3404"/>
      <c r="EMO3" s="3404"/>
      <c r="EMP3" s="3404"/>
      <c r="EMQ3" s="3404"/>
      <c r="EMR3" s="3404"/>
      <c r="EMS3" s="3404"/>
      <c r="EMT3" s="3404"/>
      <c r="EMU3" s="3404"/>
      <c r="EMV3" s="3404"/>
      <c r="EMW3" s="3404"/>
      <c r="EMX3" s="3404"/>
      <c r="EMY3" s="3404"/>
      <c r="EMZ3" s="3404"/>
      <c r="ENA3" s="3404"/>
      <c r="ENB3" s="3404"/>
      <c r="ENC3" s="3404"/>
      <c r="END3" s="3404"/>
      <c r="ENE3" s="3404"/>
      <c r="ENF3" s="3404"/>
      <c r="ENG3" s="3404"/>
      <c r="ENH3" s="3404"/>
      <c r="ENI3" s="3404"/>
      <c r="ENJ3" s="3404"/>
      <c r="ENK3" s="3404"/>
      <c r="ENL3" s="3404"/>
      <c r="ENM3" s="3404"/>
      <c r="ENN3" s="3404"/>
      <c r="ENO3" s="3404"/>
      <c r="ENP3" s="3404"/>
      <c r="ENQ3" s="3404"/>
      <c r="ENR3" s="3404"/>
      <c r="ENS3" s="3404"/>
      <c r="ENT3" s="3404"/>
      <c r="ENU3" s="3404"/>
      <c r="ENV3" s="3404"/>
      <c r="ENW3" s="3404"/>
      <c r="ENX3" s="3404"/>
      <c r="ENY3" s="3404"/>
      <c r="ENZ3" s="3404"/>
      <c r="EOA3" s="3404"/>
      <c r="EOB3" s="3404"/>
      <c r="EOC3" s="3404"/>
      <c r="EOD3" s="3404"/>
      <c r="EOE3" s="3404"/>
      <c r="EOF3" s="3404"/>
      <c r="EOG3" s="3404"/>
      <c r="EOH3" s="3404"/>
      <c r="EOI3" s="3404"/>
      <c r="EOJ3" s="3404"/>
      <c r="EOK3" s="3404"/>
      <c r="EOL3" s="3404"/>
      <c r="EOM3" s="3404"/>
      <c r="EON3" s="3404"/>
      <c r="EOO3" s="3404"/>
      <c r="EOP3" s="3404"/>
      <c r="EOQ3" s="3404"/>
      <c r="EOR3" s="3404"/>
      <c r="EOS3" s="3404"/>
      <c r="EOT3" s="3404"/>
      <c r="EOU3" s="3404"/>
      <c r="EOV3" s="3404"/>
      <c r="EOW3" s="3404"/>
      <c r="EOX3" s="3404"/>
      <c r="EOY3" s="3404"/>
      <c r="EOZ3" s="3404"/>
      <c r="EPA3" s="3404"/>
      <c r="EPB3" s="3404"/>
      <c r="EPC3" s="3404"/>
      <c r="EPD3" s="3404"/>
      <c r="EPE3" s="3404"/>
      <c r="EPF3" s="3404"/>
      <c r="EPG3" s="3404"/>
      <c r="EPH3" s="3404"/>
      <c r="EPI3" s="3404"/>
      <c r="EPJ3" s="3404"/>
      <c r="EPK3" s="3404"/>
      <c r="EPL3" s="3404"/>
      <c r="EPM3" s="3404"/>
      <c r="EPN3" s="3404"/>
      <c r="EPO3" s="3404"/>
      <c r="EPP3" s="3404"/>
      <c r="EPQ3" s="3404"/>
      <c r="EPR3" s="3404"/>
      <c r="EPS3" s="3404"/>
      <c r="EPT3" s="3404"/>
      <c r="EPU3" s="3404"/>
      <c r="EPV3" s="3404"/>
      <c r="EPW3" s="3404"/>
      <c r="EPX3" s="3404"/>
      <c r="EPY3" s="3404"/>
      <c r="EPZ3" s="3404"/>
      <c r="EQA3" s="3404"/>
      <c r="EQB3" s="3404"/>
      <c r="EQC3" s="3404"/>
      <c r="EQD3" s="3404"/>
      <c r="EQE3" s="3404"/>
      <c r="EQF3" s="3404"/>
      <c r="EQG3" s="3404"/>
      <c r="EQH3" s="3404"/>
      <c r="EQI3" s="3404"/>
      <c r="EQJ3" s="3404"/>
      <c r="EQK3" s="3404"/>
      <c r="EQL3" s="3404"/>
      <c r="EQM3" s="3404"/>
      <c r="EQN3" s="3404"/>
      <c r="EQO3" s="3404"/>
      <c r="EQP3" s="3404"/>
      <c r="EQQ3" s="3404"/>
      <c r="EQR3" s="3404"/>
      <c r="EQS3" s="3404"/>
      <c r="EQT3" s="3404"/>
      <c r="EQU3" s="3404"/>
      <c r="EQV3" s="3404"/>
      <c r="EQW3" s="3404"/>
      <c r="EQX3" s="3404"/>
      <c r="EQY3" s="3404"/>
      <c r="EQZ3" s="3404"/>
      <c r="ERA3" s="3404"/>
      <c r="ERB3" s="3404"/>
      <c r="ERC3" s="3404"/>
      <c r="ERD3" s="3404"/>
      <c r="ERE3" s="3404"/>
      <c r="ERF3" s="3404"/>
      <c r="ERG3" s="3404"/>
      <c r="ERH3" s="3404"/>
      <c r="ERI3" s="3404"/>
      <c r="ERJ3" s="3404"/>
      <c r="ERK3" s="3404"/>
      <c r="ERL3" s="3404"/>
      <c r="ERM3" s="3404"/>
      <c r="ERN3" s="3404"/>
      <c r="ERO3" s="3404"/>
      <c r="ERP3" s="3404"/>
      <c r="ERQ3" s="3404"/>
      <c r="ERR3" s="3404"/>
      <c r="ERS3" s="3404"/>
      <c r="ERT3" s="3404"/>
      <c r="ERU3" s="3404"/>
      <c r="ERV3" s="3404"/>
      <c r="ERW3" s="3404"/>
      <c r="ERX3" s="3404"/>
      <c r="ERY3" s="3404"/>
      <c r="ERZ3" s="3404"/>
      <c r="ESA3" s="3404"/>
      <c r="ESB3" s="3404"/>
      <c r="ESC3" s="3404"/>
      <c r="ESD3" s="3404"/>
      <c r="ESE3" s="3404"/>
      <c r="ESF3" s="3404"/>
      <c r="ESG3" s="3404"/>
      <c r="ESH3" s="3404"/>
      <c r="ESI3" s="3404"/>
      <c r="ESJ3" s="3404"/>
      <c r="ESK3" s="3404"/>
      <c r="ESL3" s="3404"/>
      <c r="ESM3" s="3404"/>
      <c r="ESN3" s="3404"/>
      <c r="ESO3" s="3404"/>
      <c r="ESP3" s="3404"/>
      <c r="ESQ3" s="3404"/>
      <c r="ESR3" s="3404"/>
      <c r="ESS3" s="3404"/>
      <c r="EST3" s="3404"/>
      <c r="ESU3" s="3404"/>
      <c r="ESV3" s="3404"/>
      <c r="ESW3" s="3404"/>
      <c r="ESX3" s="3404"/>
      <c r="ESY3" s="3404"/>
      <c r="ESZ3" s="3404"/>
      <c r="ETA3" s="3404"/>
      <c r="ETB3" s="3404"/>
      <c r="ETC3" s="3404"/>
      <c r="ETD3" s="3404"/>
      <c r="ETE3" s="3404"/>
      <c r="ETF3" s="3404"/>
      <c r="ETG3" s="3404"/>
      <c r="ETH3" s="3404"/>
      <c r="ETI3" s="3404"/>
      <c r="ETJ3" s="3404"/>
      <c r="ETK3" s="3404"/>
      <c r="ETL3" s="3404"/>
      <c r="ETM3" s="3404"/>
      <c r="ETN3" s="3404"/>
      <c r="ETO3" s="3404"/>
      <c r="ETP3" s="3404"/>
      <c r="ETQ3" s="3404"/>
      <c r="ETR3" s="3404"/>
      <c r="ETS3" s="3404"/>
      <c r="ETT3" s="3404"/>
      <c r="ETU3" s="3404"/>
      <c r="ETV3" s="3404"/>
      <c r="ETW3" s="3404"/>
      <c r="ETX3" s="3404"/>
      <c r="ETY3" s="3404"/>
      <c r="ETZ3" s="3404"/>
      <c r="EUA3" s="3404"/>
      <c r="EUB3" s="3404"/>
      <c r="EUC3" s="3404"/>
      <c r="EUD3" s="3404"/>
      <c r="EUE3" s="3404"/>
      <c r="EUF3" s="3404"/>
      <c r="EUG3" s="3404"/>
      <c r="EUH3" s="3404"/>
      <c r="EUI3" s="3404"/>
      <c r="EUJ3" s="3404"/>
      <c r="EUK3" s="3404"/>
      <c r="EUL3" s="3404"/>
      <c r="EUM3" s="3404"/>
      <c r="EUN3" s="3404"/>
      <c r="EUO3" s="3404"/>
      <c r="EUP3" s="3404"/>
      <c r="EUQ3" s="3404"/>
      <c r="EUR3" s="3404"/>
      <c r="EUS3" s="3404"/>
      <c r="EUT3" s="3404"/>
      <c r="EUU3" s="3404"/>
      <c r="EUV3" s="3404"/>
      <c r="EUW3" s="3404"/>
      <c r="EUX3" s="3404"/>
      <c r="EUY3" s="3404"/>
      <c r="EUZ3" s="3404"/>
      <c r="EVA3" s="3404"/>
      <c r="EVB3" s="3404"/>
      <c r="EVC3" s="3404"/>
      <c r="EVD3" s="3404"/>
      <c r="EVE3" s="3404"/>
      <c r="EVF3" s="3404"/>
      <c r="EVG3" s="3404"/>
      <c r="EVH3" s="3404"/>
      <c r="EVI3" s="3404"/>
      <c r="EVJ3" s="3404"/>
      <c r="EVK3" s="3404"/>
      <c r="EVL3" s="3404"/>
      <c r="EVM3" s="3404"/>
      <c r="EVN3" s="3404"/>
      <c r="EVO3" s="3404"/>
      <c r="EVP3" s="3404"/>
      <c r="EVQ3" s="3404"/>
      <c r="EVR3" s="3404"/>
      <c r="EVS3" s="3404"/>
      <c r="EVT3" s="3404"/>
      <c r="EVU3" s="3404"/>
      <c r="EVV3" s="3404"/>
      <c r="EVW3" s="3404"/>
      <c r="EVX3" s="3404"/>
      <c r="EVY3" s="3404"/>
      <c r="EVZ3" s="3404"/>
      <c r="EWA3" s="3404"/>
      <c r="EWB3" s="3404"/>
      <c r="EWC3" s="3404"/>
      <c r="EWD3" s="3404"/>
      <c r="EWE3" s="3404"/>
      <c r="EWF3" s="3404"/>
      <c r="EWG3" s="3404"/>
      <c r="EWH3" s="3404"/>
      <c r="EWI3" s="3404"/>
      <c r="EWJ3" s="3404"/>
      <c r="EWK3" s="3404"/>
      <c r="EWL3" s="3404"/>
      <c r="EWM3" s="3404"/>
      <c r="EWN3" s="3404"/>
      <c r="EWO3" s="3404"/>
      <c r="EWP3" s="3404"/>
      <c r="EWQ3" s="3404"/>
      <c r="EWR3" s="3404"/>
      <c r="EWS3" s="3404"/>
      <c r="EWT3" s="3404"/>
      <c r="EWU3" s="3404"/>
      <c r="EWV3" s="3404"/>
      <c r="EWW3" s="3404"/>
      <c r="EWX3" s="3404"/>
      <c r="EWY3" s="3404"/>
      <c r="EWZ3" s="3404"/>
      <c r="EXA3" s="3404"/>
      <c r="EXB3" s="3404"/>
      <c r="EXC3" s="3404"/>
      <c r="EXD3" s="3404"/>
      <c r="EXE3" s="3404"/>
      <c r="EXF3" s="3404"/>
      <c r="EXG3" s="3404"/>
      <c r="EXH3" s="3404"/>
      <c r="EXI3" s="3404"/>
      <c r="EXJ3" s="3404"/>
      <c r="EXK3" s="3404"/>
      <c r="EXL3" s="3404"/>
      <c r="EXM3" s="3404"/>
      <c r="EXN3" s="3404"/>
      <c r="EXO3" s="3404"/>
      <c r="EXP3" s="3404"/>
      <c r="EXQ3" s="3404"/>
      <c r="EXR3" s="3404"/>
      <c r="EXS3" s="3404"/>
      <c r="EXT3" s="3404"/>
      <c r="EXU3" s="3404"/>
      <c r="EXV3" s="3404"/>
      <c r="EXW3" s="3404"/>
      <c r="EXX3" s="3404"/>
      <c r="EXY3" s="3404"/>
      <c r="EXZ3" s="3404"/>
      <c r="EYA3" s="3404"/>
      <c r="EYB3" s="3404"/>
      <c r="EYC3" s="3404"/>
      <c r="EYD3" s="3404"/>
      <c r="EYE3" s="3404"/>
      <c r="EYF3" s="3404"/>
      <c r="EYG3" s="3404"/>
      <c r="EYH3" s="3404"/>
      <c r="EYI3" s="3404"/>
      <c r="EYJ3" s="3404"/>
      <c r="EYK3" s="3404"/>
      <c r="EYL3" s="3404"/>
      <c r="EYM3" s="3404"/>
      <c r="EYN3" s="3404"/>
      <c r="EYO3" s="3404"/>
      <c r="EYP3" s="3404"/>
      <c r="EYQ3" s="3404"/>
      <c r="EYR3" s="3404"/>
      <c r="EYS3" s="3404"/>
      <c r="EYT3" s="3404"/>
      <c r="EYU3" s="3404"/>
      <c r="EYV3" s="3404"/>
      <c r="EYW3" s="3404"/>
      <c r="EYX3" s="3404"/>
      <c r="EYY3" s="3404"/>
      <c r="EYZ3" s="3404"/>
      <c r="EZA3" s="3404"/>
      <c r="EZB3" s="3404"/>
      <c r="EZC3" s="3404"/>
      <c r="EZD3" s="3404"/>
      <c r="EZE3" s="3404"/>
      <c r="EZF3" s="3404"/>
      <c r="EZG3" s="3404"/>
      <c r="EZH3" s="3404"/>
      <c r="EZI3" s="3404"/>
      <c r="EZJ3" s="3404"/>
      <c r="EZK3" s="3404"/>
      <c r="EZL3" s="3404"/>
      <c r="EZM3" s="3404"/>
      <c r="EZN3" s="3404"/>
      <c r="EZO3" s="3404"/>
      <c r="EZP3" s="3404"/>
      <c r="EZQ3" s="3404"/>
      <c r="EZR3" s="3404"/>
      <c r="EZS3" s="3404"/>
      <c r="EZT3" s="3404"/>
      <c r="EZU3" s="3404"/>
      <c r="EZV3" s="3404"/>
      <c r="EZW3" s="3404"/>
      <c r="EZX3" s="3404"/>
      <c r="EZY3" s="3404"/>
      <c r="EZZ3" s="3404"/>
      <c r="FAA3" s="3404"/>
      <c r="FAB3" s="3404"/>
      <c r="FAC3" s="3404"/>
      <c r="FAD3" s="3404"/>
      <c r="FAE3" s="3404"/>
      <c r="FAF3" s="3404"/>
      <c r="FAG3" s="3404"/>
      <c r="FAH3" s="3404"/>
      <c r="FAI3" s="3404"/>
      <c r="FAJ3" s="3404"/>
      <c r="FAK3" s="3404"/>
      <c r="FAL3" s="3404"/>
      <c r="FAM3" s="3404"/>
      <c r="FAN3" s="3404"/>
      <c r="FAO3" s="3404"/>
      <c r="FAP3" s="3404"/>
      <c r="FAQ3" s="3404"/>
      <c r="FAR3" s="3404"/>
      <c r="FAS3" s="3404"/>
      <c r="FAT3" s="3404"/>
      <c r="FAU3" s="3404"/>
      <c r="FAV3" s="3404"/>
      <c r="FAW3" s="3404"/>
      <c r="FAX3" s="3404"/>
      <c r="FAY3" s="3404"/>
      <c r="FAZ3" s="3404"/>
      <c r="FBA3" s="3404"/>
      <c r="FBB3" s="3404"/>
      <c r="FBC3" s="3404"/>
      <c r="FBD3" s="3404"/>
      <c r="FBE3" s="3404"/>
      <c r="FBF3" s="3404"/>
      <c r="FBG3" s="3404"/>
      <c r="FBH3" s="3404"/>
      <c r="FBI3" s="3404"/>
      <c r="FBJ3" s="3404"/>
      <c r="FBK3" s="3404"/>
      <c r="FBL3" s="3404"/>
      <c r="FBM3" s="3404"/>
      <c r="FBN3" s="3404"/>
      <c r="FBO3" s="3404"/>
      <c r="FBP3" s="3404"/>
      <c r="FBQ3" s="3404"/>
      <c r="FBR3" s="3404"/>
      <c r="FBS3" s="3404"/>
      <c r="FBT3" s="3404"/>
      <c r="FBU3" s="3404"/>
      <c r="FBV3" s="3404"/>
      <c r="FBW3" s="3404"/>
      <c r="FBX3" s="3404"/>
      <c r="FBY3" s="3404"/>
      <c r="FBZ3" s="3404"/>
      <c r="FCA3" s="3404"/>
      <c r="FCB3" s="3404"/>
      <c r="FCC3" s="3404"/>
      <c r="FCD3" s="3404"/>
      <c r="FCE3" s="3404"/>
      <c r="FCF3" s="3404"/>
      <c r="FCG3" s="3404"/>
      <c r="FCH3" s="3404"/>
      <c r="FCI3" s="3404"/>
      <c r="FCJ3" s="3404"/>
      <c r="FCK3" s="3404"/>
      <c r="FCL3" s="3404"/>
      <c r="FCM3" s="3404"/>
      <c r="FCN3" s="3404"/>
      <c r="FCO3" s="3404"/>
      <c r="FCP3" s="3404"/>
      <c r="FCQ3" s="3404"/>
      <c r="FCR3" s="3404"/>
      <c r="FCS3" s="3404"/>
      <c r="FCT3" s="3404"/>
      <c r="FCU3" s="3404"/>
      <c r="FCV3" s="3404"/>
      <c r="FCW3" s="3404"/>
      <c r="FCX3" s="3404"/>
      <c r="FCY3" s="3404"/>
      <c r="FCZ3" s="3404"/>
      <c r="FDA3" s="3404"/>
      <c r="FDB3" s="3404"/>
      <c r="FDC3" s="3404"/>
      <c r="FDD3" s="3404"/>
      <c r="FDE3" s="3404"/>
      <c r="FDF3" s="3404"/>
      <c r="FDG3" s="3404"/>
      <c r="FDH3" s="3404"/>
      <c r="FDI3" s="3404"/>
      <c r="FDJ3" s="3404"/>
      <c r="FDK3" s="3404"/>
      <c r="FDL3" s="3404"/>
      <c r="FDM3" s="3404"/>
      <c r="FDN3" s="3404"/>
      <c r="FDO3" s="3404"/>
      <c r="FDP3" s="3404"/>
      <c r="FDQ3" s="3404"/>
      <c r="FDR3" s="3404"/>
      <c r="FDS3" s="3404"/>
      <c r="FDT3" s="3404"/>
      <c r="FDU3" s="3404"/>
      <c r="FDV3" s="3404"/>
      <c r="FDW3" s="3404"/>
      <c r="FDX3" s="3404"/>
      <c r="FDY3" s="3404"/>
      <c r="FDZ3" s="3404"/>
      <c r="FEA3" s="3404"/>
      <c r="FEB3" s="3404"/>
      <c r="FEC3" s="3404"/>
      <c r="FED3" s="3404"/>
      <c r="FEE3" s="3404"/>
      <c r="FEF3" s="3404"/>
      <c r="FEG3" s="3404"/>
      <c r="FEH3" s="3404"/>
      <c r="FEI3" s="3404"/>
      <c r="FEJ3" s="3404"/>
      <c r="FEK3" s="3404"/>
      <c r="FEL3" s="3404"/>
      <c r="FEM3" s="3404"/>
      <c r="FEN3" s="3404"/>
      <c r="FEO3" s="3404"/>
      <c r="FEP3" s="3404"/>
      <c r="FEQ3" s="3404"/>
      <c r="FER3" s="3404"/>
      <c r="FES3" s="3404"/>
      <c r="FET3" s="3404"/>
      <c r="FEU3" s="3404"/>
      <c r="FEV3" s="3404"/>
      <c r="FEW3" s="3404"/>
      <c r="FEX3" s="3404"/>
      <c r="FEY3" s="3404"/>
      <c r="FEZ3" s="3404"/>
      <c r="FFA3" s="3404"/>
      <c r="FFB3" s="3404"/>
      <c r="FFC3" s="3404"/>
      <c r="FFD3" s="3404"/>
      <c r="FFE3" s="3404"/>
      <c r="FFF3" s="3404"/>
      <c r="FFG3" s="3404"/>
      <c r="FFH3" s="3404"/>
      <c r="FFI3" s="3404"/>
      <c r="FFJ3" s="3404"/>
      <c r="FFK3" s="3404"/>
      <c r="FFL3" s="3404"/>
      <c r="FFM3" s="3404"/>
      <c r="FFN3" s="3404"/>
      <c r="FFO3" s="3404"/>
      <c r="FFP3" s="3404"/>
      <c r="FFQ3" s="3404"/>
      <c r="FFR3" s="3404"/>
      <c r="FFS3" s="3404"/>
      <c r="FFT3" s="3404"/>
      <c r="FFU3" s="3404"/>
      <c r="FFV3" s="3404"/>
      <c r="FFW3" s="3404"/>
      <c r="FFX3" s="3404"/>
      <c r="FFY3" s="3404"/>
      <c r="FFZ3" s="3404"/>
      <c r="FGA3" s="3404"/>
      <c r="FGB3" s="3404"/>
      <c r="FGC3" s="3404"/>
      <c r="FGD3" s="3404"/>
      <c r="FGE3" s="3404"/>
      <c r="FGF3" s="3404"/>
      <c r="FGG3" s="3404"/>
      <c r="FGH3" s="3404"/>
      <c r="FGI3" s="3404"/>
      <c r="FGJ3" s="3404"/>
      <c r="FGK3" s="3404"/>
      <c r="FGL3" s="3404"/>
      <c r="FGM3" s="3404"/>
      <c r="FGN3" s="3404"/>
      <c r="FGO3" s="3404"/>
      <c r="FGP3" s="3404"/>
      <c r="FGQ3" s="3404"/>
      <c r="FGR3" s="3404"/>
      <c r="FGS3" s="3404"/>
      <c r="FGT3" s="3404"/>
      <c r="FGU3" s="3404"/>
      <c r="FGV3" s="3404"/>
      <c r="FGW3" s="3404"/>
      <c r="FGX3" s="3404"/>
      <c r="FGY3" s="3404"/>
      <c r="FGZ3" s="3404"/>
      <c r="FHA3" s="3404"/>
      <c r="FHB3" s="3404"/>
      <c r="FHC3" s="3404"/>
      <c r="FHD3" s="3404"/>
      <c r="FHE3" s="3404"/>
      <c r="FHF3" s="3404"/>
      <c r="FHG3" s="3404"/>
      <c r="FHH3" s="3404"/>
      <c r="FHI3" s="3404"/>
      <c r="FHJ3" s="3404"/>
      <c r="FHK3" s="3404"/>
      <c r="FHL3" s="3404"/>
      <c r="FHM3" s="3404"/>
      <c r="FHN3" s="3404"/>
      <c r="FHO3" s="3404"/>
      <c r="FHP3" s="3404"/>
      <c r="FHQ3" s="3404"/>
      <c r="FHR3" s="3404"/>
      <c r="FHS3" s="3404"/>
      <c r="FHT3" s="3404"/>
      <c r="FHU3" s="3404"/>
      <c r="FHV3" s="3404"/>
      <c r="FHW3" s="3404"/>
      <c r="FHX3" s="3404"/>
      <c r="FHY3" s="3404"/>
      <c r="FHZ3" s="3404"/>
      <c r="FIA3" s="3404"/>
      <c r="FIB3" s="3404"/>
      <c r="FIC3" s="3404"/>
      <c r="FID3" s="3404"/>
      <c r="FIE3" s="3404"/>
      <c r="FIF3" s="3404"/>
      <c r="FIG3" s="3404"/>
      <c r="FIH3" s="3404"/>
      <c r="FII3" s="3404"/>
      <c r="FIJ3" s="3404"/>
      <c r="FIK3" s="3404"/>
      <c r="FIL3" s="3404"/>
      <c r="FIM3" s="3404"/>
      <c r="FIN3" s="3404"/>
      <c r="FIO3" s="3404"/>
      <c r="FIP3" s="3404"/>
      <c r="FIQ3" s="3404"/>
      <c r="FIR3" s="3404"/>
      <c r="FIS3" s="3404"/>
      <c r="FIT3" s="3404"/>
      <c r="FIU3" s="3404"/>
      <c r="FIV3" s="3404"/>
      <c r="FIW3" s="3404"/>
      <c r="FIX3" s="3404"/>
      <c r="FIY3" s="3404"/>
      <c r="FIZ3" s="3404"/>
      <c r="FJA3" s="3404"/>
      <c r="FJB3" s="3404"/>
      <c r="FJC3" s="3404"/>
      <c r="FJD3" s="3404"/>
      <c r="FJE3" s="3404"/>
      <c r="FJF3" s="3404"/>
      <c r="FJG3" s="3404"/>
      <c r="FJH3" s="3404"/>
      <c r="FJI3" s="3404"/>
      <c r="FJJ3" s="3404"/>
      <c r="FJK3" s="3404"/>
      <c r="FJL3" s="3404"/>
      <c r="FJM3" s="3404"/>
      <c r="FJN3" s="3404"/>
      <c r="FJO3" s="3404"/>
      <c r="FJP3" s="3404"/>
      <c r="FJQ3" s="3404"/>
      <c r="FJR3" s="3404"/>
      <c r="FJS3" s="3404"/>
      <c r="FJT3" s="3404"/>
      <c r="FJU3" s="3404"/>
      <c r="FJV3" s="3404"/>
      <c r="FJW3" s="3404"/>
      <c r="FJX3" s="3404"/>
      <c r="FJY3" s="3404"/>
      <c r="FJZ3" s="3404"/>
      <c r="FKA3" s="3404"/>
      <c r="FKB3" s="3404"/>
      <c r="FKC3" s="3404"/>
      <c r="FKD3" s="3404"/>
      <c r="FKE3" s="3404"/>
      <c r="FKF3" s="3404"/>
      <c r="FKG3" s="3404"/>
      <c r="FKH3" s="3404"/>
      <c r="FKI3" s="3404"/>
      <c r="FKJ3" s="3404"/>
      <c r="FKK3" s="3404"/>
      <c r="FKL3" s="3404"/>
      <c r="FKM3" s="3404"/>
      <c r="FKN3" s="3404"/>
      <c r="FKO3" s="3404"/>
      <c r="FKP3" s="3404"/>
      <c r="FKQ3" s="3404"/>
      <c r="FKR3" s="3404"/>
      <c r="FKS3" s="3404"/>
      <c r="FKT3" s="3404"/>
      <c r="FKU3" s="3404"/>
      <c r="FKV3" s="3404"/>
      <c r="FKW3" s="3404"/>
      <c r="FKX3" s="3404"/>
      <c r="FKY3" s="3404"/>
      <c r="FKZ3" s="3404"/>
      <c r="FLA3" s="3404"/>
      <c r="FLB3" s="3404"/>
      <c r="FLC3" s="3404"/>
      <c r="FLD3" s="3404"/>
      <c r="FLE3" s="3404"/>
      <c r="FLF3" s="3404"/>
      <c r="FLG3" s="3404"/>
      <c r="FLH3" s="3404"/>
      <c r="FLI3" s="3404"/>
      <c r="FLJ3" s="3404"/>
      <c r="FLK3" s="3404"/>
      <c r="FLL3" s="3404"/>
      <c r="FLM3" s="3404"/>
      <c r="FLN3" s="3404"/>
      <c r="FLO3" s="3404"/>
      <c r="FLP3" s="3404"/>
      <c r="FLQ3" s="3404"/>
      <c r="FLR3" s="3404"/>
      <c r="FLS3" s="3404"/>
      <c r="FLT3" s="3404"/>
      <c r="FLU3" s="3404"/>
      <c r="FLV3" s="3404"/>
      <c r="FLW3" s="3404"/>
      <c r="FLX3" s="3404"/>
      <c r="FLY3" s="3404"/>
      <c r="FLZ3" s="3404"/>
      <c r="FMA3" s="3404"/>
      <c r="FMB3" s="3404"/>
      <c r="FMC3" s="3404"/>
      <c r="FMD3" s="3404"/>
      <c r="FME3" s="3404"/>
      <c r="FMF3" s="3404"/>
      <c r="FMG3" s="3404"/>
      <c r="FMH3" s="3404"/>
      <c r="FMI3" s="3404"/>
      <c r="FMJ3" s="3404"/>
      <c r="FMK3" s="3404"/>
      <c r="FML3" s="3404"/>
      <c r="FMM3" s="3404"/>
      <c r="FMN3" s="3404"/>
      <c r="FMO3" s="3404"/>
      <c r="FMP3" s="3404"/>
      <c r="FMQ3" s="3404"/>
      <c r="FMR3" s="3404"/>
      <c r="FMS3" s="3404"/>
      <c r="FMT3" s="3404"/>
      <c r="FMU3" s="3404"/>
      <c r="FMV3" s="3404"/>
      <c r="FMW3" s="3404"/>
      <c r="FMX3" s="3404"/>
      <c r="FMY3" s="3404"/>
      <c r="FMZ3" s="3404"/>
      <c r="FNA3" s="3404"/>
      <c r="FNB3" s="3404"/>
      <c r="FNC3" s="3404"/>
      <c r="FND3" s="3404"/>
      <c r="FNE3" s="3404"/>
      <c r="FNF3" s="3404"/>
      <c r="FNG3" s="3404"/>
      <c r="FNH3" s="3404"/>
      <c r="FNI3" s="3404"/>
      <c r="FNJ3" s="3404"/>
      <c r="FNK3" s="3404"/>
      <c r="FNL3" s="3404"/>
      <c r="FNM3" s="3404"/>
      <c r="FNN3" s="3404"/>
      <c r="FNO3" s="3404"/>
      <c r="FNP3" s="3404"/>
      <c r="FNQ3" s="3404"/>
      <c r="FNR3" s="3404"/>
      <c r="FNS3" s="3404"/>
      <c r="FNT3" s="3404"/>
      <c r="FNU3" s="3404"/>
      <c r="FNV3" s="3404"/>
      <c r="FNW3" s="3404"/>
      <c r="FNX3" s="3404"/>
      <c r="FNY3" s="3404"/>
      <c r="FNZ3" s="3404"/>
      <c r="FOA3" s="3404"/>
      <c r="FOB3" s="3404"/>
      <c r="FOC3" s="3404"/>
      <c r="FOD3" s="3404"/>
      <c r="FOE3" s="3404"/>
      <c r="FOF3" s="3404"/>
      <c r="FOG3" s="3404"/>
      <c r="FOH3" s="3404"/>
      <c r="FOI3" s="3404"/>
      <c r="FOJ3" s="3404"/>
      <c r="FOK3" s="3404"/>
      <c r="FOL3" s="3404"/>
      <c r="FOM3" s="3404"/>
      <c r="FON3" s="3404"/>
      <c r="FOO3" s="3404"/>
      <c r="FOP3" s="3404"/>
      <c r="FOQ3" s="3404"/>
      <c r="FOR3" s="3404"/>
      <c r="FOS3" s="3404"/>
      <c r="FOT3" s="3404"/>
      <c r="FOU3" s="3404"/>
      <c r="FOV3" s="3404"/>
      <c r="FOW3" s="3404"/>
      <c r="FOX3" s="3404"/>
      <c r="FOY3" s="3404"/>
      <c r="FOZ3" s="3404"/>
      <c r="FPA3" s="3404"/>
      <c r="FPB3" s="3404"/>
      <c r="FPC3" s="3404"/>
      <c r="FPD3" s="3404"/>
      <c r="FPE3" s="3404"/>
      <c r="FPF3" s="3404"/>
      <c r="FPG3" s="3404"/>
      <c r="FPH3" s="3404"/>
      <c r="FPI3" s="3404"/>
      <c r="FPJ3" s="3404"/>
      <c r="FPK3" s="3404"/>
      <c r="FPL3" s="3404"/>
      <c r="FPM3" s="3404"/>
      <c r="FPN3" s="3404"/>
      <c r="FPO3" s="3404"/>
      <c r="FPP3" s="3404"/>
      <c r="FPQ3" s="3404"/>
      <c r="FPR3" s="3404"/>
      <c r="FPS3" s="3404"/>
      <c r="FPT3" s="3404"/>
      <c r="FPU3" s="3404"/>
      <c r="FPV3" s="3404"/>
      <c r="FPW3" s="3404"/>
      <c r="FPX3" s="3404"/>
      <c r="FPY3" s="3404"/>
      <c r="FPZ3" s="3404"/>
      <c r="FQA3" s="3404"/>
      <c r="FQB3" s="3404"/>
      <c r="FQC3" s="3404"/>
      <c r="FQD3" s="3404"/>
      <c r="FQE3" s="3404"/>
      <c r="FQF3" s="3404"/>
      <c r="FQG3" s="3404"/>
      <c r="FQH3" s="3404"/>
      <c r="FQI3" s="3404"/>
      <c r="FQJ3" s="3404"/>
      <c r="FQK3" s="3404"/>
      <c r="FQL3" s="3404"/>
      <c r="FQM3" s="3404"/>
      <c r="FQN3" s="3404"/>
      <c r="FQO3" s="3404"/>
      <c r="FQP3" s="3404"/>
      <c r="FQQ3" s="3404"/>
      <c r="FQR3" s="3404"/>
      <c r="FQS3" s="3404"/>
      <c r="FQT3" s="3404"/>
      <c r="FQU3" s="3404"/>
      <c r="FQV3" s="3404"/>
      <c r="FQW3" s="3404"/>
      <c r="FQX3" s="3404"/>
      <c r="FQY3" s="3404"/>
      <c r="FQZ3" s="3404"/>
      <c r="FRA3" s="3404"/>
      <c r="FRB3" s="3404"/>
      <c r="FRC3" s="3404"/>
      <c r="FRD3" s="3404"/>
      <c r="FRE3" s="3404"/>
      <c r="FRF3" s="3404"/>
      <c r="FRG3" s="3404"/>
      <c r="FRH3" s="3404"/>
      <c r="FRI3" s="3404"/>
      <c r="FRJ3" s="3404"/>
      <c r="FRK3" s="3404"/>
      <c r="FRL3" s="3404"/>
      <c r="FRM3" s="3404"/>
      <c r="FRN3" s="3404"/>
      <c r="FRO3" s="3404"/>
      <c r="FRP3" s="3404"/>
      <c r="FRQ3" s="3404"/>
      <c r="FRR3" s="3404"/>
      <c r="FRS3" s="3404"/>
      <c r="FRT3" s="3404"/>
      <c r="FRU3" s="3404"/>
      <c r="FRV3" s="3404"/>
      <c r="FRW3" s="3404"/>
      <c r="FRX3" s="3404"/>
      <c r="FRY3" s="3404"/>
      <c r="FRZ3" s="3404"/>
      <c r="FSA3" s="3404"/>
      <c r="FSB3" s="3404"/>
      <c r="FSC3" s="3404"/>
      <c r="FSD3" s="3404"/>
      <c r="FSE3" s="3404"/>
      <c r="FSF3" s="3404"/>
      <c r="FSG3" s="3404"/>
      <c r="FSH3" s="3404"/>
      <c r="FSI3" s="3404"/>
      <c r="FSJ3" s="3404"/>
      <c r="FSK3" s="3404"/>
      <c r="FSL3" s="3404"/>
      <c r="FSM3" s="3404"/>
      <c r="FSN3" s="3404"/>
      <c r="FSO3" s="3404"/>
      <c r="FSP3" s="3404"/>
      <c r="FSQ3" s="3404"/>
      <c r="FSR3" s="3404"/>
      <c r="FSS3" s="3404"/>
      <c r="FST3" s="3404"/>
      <c r="FSU3" s="3404"/>
      <c r="FSV3" s="3404"/>
      <c r="FSW3" s="3404"/>
      <c r="FSX3" s="3404"/>
      <c r="FSY3" s="3404"/>
      <c r="FSZ3" s="3404"/>
      <c r="FTA3" s="3404"/>
      <c r="FTB3" s="3404"/>
      <c r="FTC3" s="3404"/>
      <c r="FTD3" s="3404"/>
      <c r="FTE3" s="3404"/>
      <c r="FTF3" s="3404"/>
      <c r="FTG3" s="3404"/>
      <c r="FTH3" s="3404"/>
      <c r="FTI3" s="3404"/>
      <c r="FTJ3" s="3404"/>
      <c r="FTK3" s="3404"/>
      <c r="FTL3" s="3404"/>
      <c r="FTM3" s="3404"/>
      <c r="FTN3" s="3404"/>
      <c r="FTO3" s="3404"/>
      <c r="FTP3" s="3404"/>
      <c r="FTQ3" s="3404"/>
      <c r="FTR3" s="3404"/>
      <c r="FTS3" s="3404"/>
      <c r="FTT3" s="3404"/>
      <c r="FTU3" s="3404"/>
      <c r="FTV3" s="3404"/>
      <c r="FTW3" s="3404"/>
      <c r="FTX3" s="3404"/>
      <c r="FTY3" s="3404"/>
      <c r="FTZ3" s="3404"/>
      <c r="FUA3" s="3404"/>
      <c r="FUB3" s="3404"/>
      <c r="FUC3" s="3404"/>
      <c r="FUD3" s="3404"/>
      <c r="FUE3" s="3404"/>
      <c r="FUF3" s="3404"/>
      <c r="FUG3" s="3404"/>
      <c r="FUH3" s="3404"/>
      <c r="FUI3" s="3404"/>
      <c r="FUJ3" s="3404"/>
      <c r="FUK3" s="3404"/>
      <c r="FUL3" s="3404"/>
      <c r="FUM3" s="3404"/>
      <c r="FUN3" s="3404"/>
      <c r="FUO3" s="3404"/>
      <c r="FUP3" s="3404"/>
      <c r="FUQ3" s="3404"/>
      <c r="FUR3" s="3404"/>
      <c r="FUS3" s="3404"/>
      <c r="FUT3" s="3404"/>
      <c r="FUU3" s="3404"/>
      <c r="FUV3" s="3404"/>
      <c r="FUW3" s="3404"/>
      <c r="FUX3" s="3404"/>
      <c r="FUY3" s="3404"/>
      <c r="FUZ3" s="3404"/>
      <c r="FVA3" s="3404"/>
      <c r="FVB3" s="3404"/>
      <c r="FVC3" s="3404"/>
      <c r="FVD3" s="3404"/>
      <c r="FVE3" s="3404"/>
      <c r="FVF3" s="3404"/>
      <c r="FVG3" s="3404"/>
      <c r="FVH3" s="3404"/>
      <c r="FVI3" s="3404"/>
      <c r="FVJ3" s="3404"/>
      <c r="FVK3" s="3404"/>
      <c r="FVL3" s="3404"/>
      <c r="FVM3" s="3404"/>
      <c r="FVN3" s="3404"/>
      <c r="FVO3" s="3404"/>
      <c r="FVP3" s="3404"/>
      <c r="FVQ3" s="3404"/>
      <c r="FVR3" s="3404"/>
      <c r="FVS3" s="3404"/>
      <c r="FVT3" s="3404"/>
      <c r="FVU3" s="3404"/>
      <c r="FVV3" s="3404"/>
      <c r="FVW3" s="3404"/>
      <c r="FVX3" s="3404"/>
      <c r="FVY3" s="3404"/>
      <c r="FVZ3" s="3404"/>
      <c r="FWA3" s="3404"/>
      <c r="FWB3" s="3404"/>
      <c r="FWC3" s="3404"/>
      <c r="FWD3" s="3404"/>
      <c r="FWE3" s="3404"/>
      <c r="FWF3" s="3404"/>
      <c r="FWG3" s="3404"/>
      <c r="FWH3" s="3404"/>
      <c r="FWI3" s="3404"/>
      <c r="FWJ3" s="3404"/>
      <c r="FWK3" s="3404"/>
      <c r="FWL3" s="3404"/>
      <c r="FWM3" s="3404"/>
      <c r="FWN3" s="3404"/>
      <c r="FWO3" s="3404"/>
      <c r="FWP3" s="3404"/>
      <c r="FWQ3" s="3404"/>
      <c r="FWR3" s="3404"/>
      <c r="FWS3" s="3404"/>
      <c r="FWT3" s="3404"/>
      <c r="FWU3" s="3404"/>
      <c r="FWV3" s="3404"/>
      <c r="FWW3" s="3404"/>
      <c r="FWX3" s="3404"/>
      <c r="FWY3" s="3404"/>
      <c r="FWZ3" s="3404"/>
      <c r="FXA3" s="3404"/>
      <c r="FXB3" s="3404"/>
      <c r="FXC3" s="3404"/>
      <c r="FXD3" s="3404"/>
      <c r="FXE3" s="3404"/>
      <c r="FXF3" s="3404"/>
      <c r="FXG3" s="3404"/>
      <c r="FXH3" s="3404"/>
      <c r="FXI3" s="3404"/>
      <c r="FXJ3" s="3404"/>
      <c r="FXK3" s="3404"/>
      <c r="FXL3" s="3404"/>
      <c r="FXM3" s="3404"/>
      <c r="FXN3" s="3404"/>
      <c r="FXO3" s="3404"/>
      <c r="FXP3" s="3404"/>
      <c r="FXQ3" s="3404"/>
      <c r="FXR3" s="3404"/>
      <c r="FXS3" s="3404"/>
      <c r="FXT3" s="3404"/>
      <c r="FXU3" s="3404"/>
      <c r="FXV3" s="3404"/>
      <c r="FXW3" s="3404"/>
      <c r="FXX3" s="3404"/>
      <c r="FXY3" s="3404"/>
      <c r="FXZ3" s="3404"/>
      <c r="FYA3" s="3404"/>
      <c r="FYB3" s="3404"/>
      <c r="FYC3" s="3404"/>
      <c r="FYD3" s="3404"/>
      <c r="FYE3" s="3404"/>
      <c r="FYF3" s="3404"/>
      <c r="FYG3" s="3404"/>
      <c r="FYH3" s="3404"/>
      <c r="FYI3" s="3404"/>
      <c r="FYJ3" s="3404"/>
      <c r="FYK3" s="3404"/>
      <c r="FYL3" s="3404"/>
      <c r="FYM3" s="3404"/>
      <c r="FYN3" s="3404"/>
      <c r="FYO3" s="3404"/>
      <c r="FYP3" s="3404"/>
      <c r="FYQ3" s="3404"/>
      <c r="FYR3" s="3404"/>
      <c r="FYS3" s="3404"/>
      <c r="FYT3" s="3404"/>
      <c r="FYU3" s="3404"/>
      <c r="FYV3" s="3404"/>
      <c r="FYW3" s="3404"/>
      <c r="FYX3" s="3404"/>
      <c r="FYY3" s="3404"/>
      <c r="FYZ3" s="3404"/>
      <c r="FZA3" s="3404"/>
      <c r="FZB3" s="3404"/>
      <c r="FZC3" s="3404"/>
      <c r="FZD3" s="3404"/>
      <c r="FZE3" s="3404"/>
      <c r="FZF3" s="3404"/>
      <c r="FZG3" s="3404"/>
      <c r="FZH3" s="3404"/>
      <c r="FZI3" s="3404"/>
      <c r="FZJ3" s="3404"/>
      <c r="FZK3" s="3404"/>
      <c r="FZL3" s="3404"/>
      <c r="FZM3" s="3404"/>
      <c r="FZN3" s="3404"/>
      <c r="FZO3" s="3404"/>
      <c r="FZP3" s="3404"/>
      <c r="FZQ3" s="3404"/>
      <c r="FZR3" s="3404"/>
      <c r="FZS3" s="3404"/>
      <c r="FZT3" s="3404"/>
      <c r="FZU3" s="3404"/>
      <c r="FZV3" s="3404"/>
      <c r="FZW3" s="3404"/>
      <c r="FZX3" s="3404"/>
      <c r="FZY3" s="3404"/>
      <c r="FZZ3" s="3404"/>
      <c r="GAA3" s="3404"/>
      <c r="GAB3" s="3404"/>
      <c r="GAC3" s="3404"/>
      <c r="GAD3" s="3404"/>
      <c r="GAE3" s="3404"/>
      <c r="GAF3" s="3404"/>
      <c r="GAG3" s="3404"/>
      <c r="GAH3" s="3404"/>
      <c r="GAI3" s="3404"/>
      <c r="GAJ3" s="3404"/>
      <c r="GAK3" s="3404"/>
      <c r="GAL3" s="3404"/>
      <c r="GAM3" s="3404"/>
      <c r="GAN3" s="3404"/>
      <c r="GAO3" s="3404"/>
      <c r="GAP3" s="3404"/>
      <c r="GAQ3" s="3404"/>
      <c r="GAR3" s="3404"/>
      <c r="GAS3" s="3404"/>
      <c r="GAT3" s="3404"/>
      <c r="GAU3" s="3404"/>
      <c r="GAV3" s="3404"/>
      <c r="GAW3" s="3404"/>
      <c r="GAX3" s="3404"/>
      <c r="GAY3" s="3404"/>
      <c r="GAZ3" s="3404"/>
      <c r="GBA3" s="3404"/>
      <c r="GBB3" s="3404"/>
      <c r="GBC3" s="3404"/>
      <c r="GBD3" s="3404"/>
      <c r="GBE3" s="3404"/>
      <c r="GBF3" s="3404"/>
      <c r="GBG3" s="3404"/>
      <c r="GBH3" s="3404"/>
      <c r="GBI3" s="3404"/>
      <c r="GBJ3" s="3404"/>
      <c r="GBK3" s="3404"/>
      <c r="GBL3" s="3404"/>
      <c r="GBM3" s="3404"/>
      <c r="GBN3" s="3404"/>
      <c r="GBO3" s="3404"/>
      <c r="GBP3" s="3404"/>
      <c r="GBQ3" s="3404"/>
      <c r="GBR3" s="3404"/>
      <c r="GBS3" s="3404"/>
      <c r="GBT3" s="3404"/>
      <c r="GBU3" s="3404"/>
      <c r="GBV3" s="3404"/>
      <c r="GBW3" s="3404"/>
      <c r="GBX3" s="3404"/>
      <c r="GBY3" s="3404"/>
      <c r="GBZ3" s="3404"/>
      <c r="GCA3" s="3404"/>
      <c r="GCB3" s="3404"/>
      <c r="GCC3" s="3404"/>
      <c r="GCD3" s="3404"/>
      <c r="GCE3" s="3404"/>
      <c r="GCF3" s="3404"/>
      <c r="GCG3" s="3404"/>
      <c r="GCH3" s="3404"/>
      <c r="GCI3" s="3404"/>
      <c r="GCJ3" s="3404"/>
      <c r="GCK3" s="3404"/>
      <c r="GCL3" s="3404"/>
      <c r="GCM3" s="3404"/>
      <c r="GCN3" s="3404"/>
      <c r="GCO3" s="3404"/>
      <c r="GCP3" s="3404"/>
      <c r="GCQ3" s="3404"/>
      <c r="GCR3" s="3404"/>
      <c r="GCS3" s="3404"/>
      <c r="GCT3" s="3404"/>
      <c r="GCU3" s="3404"/>
      <c r="GCV3" s="3404"/>
      <c r="GCW3" s="3404"/>
      <c r="GCX3" s="3404"/>
      <c r="GCY3" s="3404"/>
      <c r="GCZ3" s="3404"/>
      <c r="GDA3" s="3404"/>
      <c r="GDB3" s="3404"/>
      <c r="GDC3" s="3404"/>
      <c r="GDD3" s="3404"/>
      <c r="GDE3" s="3404"/>
      <c r="GDF3" s="3404"/>
      <c r="GDG3" s="3404"/>
      <c r="GDH3" s="3404"/>
      <c r="GDI3" s="3404"/>
      <c r="GDJ3" s="3404"/>
      <c r="GDK3" s="3404"/>
      <c r="GDL3" s="3404"/>
      <c r="GDM3" s="3404"/>
      <c r="GDN3" s="3404"/>
      <c r="GDO3" s="3404"/>
      <c r="GDP3" s="3404"/>
      <c r="GDQ3" s="3404"/>
      <c r="GDR3" s="3404"/>
      <c r="GDS3" s="3404"/>
      <c r="GDT3" s="3404"/>
      <c r="GDU3" s="3404"/>
      <c r="GDV3" s="3404"/>
      <c r="GDW3" s="3404"/>
      <c r="GDX3" s="3404"/>
      <c r="GDY3" s="3404"/>
      <c r="GDZ3" s="3404"/>
      <c r="GEA3" s="3404"/>
      <c r="GEB3" s="3404"/>
      <c r="GEC3" s="3404"/>
      <c r="GED3" s="3404"/>
      <c r="GEE3" s="3404"/>
      <c r="GEF3" s="3404"/>
      <c r="GEG3" s="3404"/>
      <c r="GEH3" s="3404"/>
      <c r="GEI3" s="3404"/>
      <c r="GEJ3" s="3404"/>
      <c r="GEK3" s="3404"/>
      <c r="GEL3" s="3404"/>
      <c r="GEM3" s="3404"/>
      <c r="GEN3" s="3404"/>
      <c r="GEO3" s="3404"/>
      <c r="GEP3" s="3404"/>
      <c r="GEQ3" s="3404"/>
      <c r="GER3" s="3404"/>
      <c r="GES3" s="3404"/>
      <c r="GET3" s="3404"/>
      <c r="GEU3" s="3404"/>
      <c r="GEV3" s="3404"/>
      <c r="GEW3" s="3404"/>
      <c r="GEX3" s="3404"/>
      <c r="GEY3" s="3404"/>
      <c r="GEZ3" s="3404"/>
      <c r="GFA3" s="3404"/>
      <c r="GFB3" s="3404"/>
      <c r="GFC3" s="3404"/>
      <c r="GFD3" s="3404"/>
      <c r="GFE3" s="3404"/>
      <c r="GFF3" s="3404"/>
      <c r="GFG3" s="3404"/>
      <c r="GFH3" s="3404"/>
      <c r="GFI3" s="3404"/>
      <c r="GFJ3" s="3404"/>
      <c r="GFK3" s="3404"/>
      <c r="GFL3" s="3404"/>
      <c r="GFM3" s="3404"/>
      <c r="GFN3" s="3404"/>
      <c r="GFO3" s="3404"/>
      <c r="GFP3" s="3404"/>
      <c r="GFQ3" s="3404"/>
      <c r="GFR3" s="3404"/>
      <c r="GFS3" s="3404"/>
      <c r="GFT3" s="3404"/>
      <c r="GFU3" s="3404"/>
      <c r="GFV3" s="3404"/>
      <c r="GFW3" s="3404"/>
      <c r="GFX3" s="3404"/>
      <c r="GFY3" s="3404"/>
      <c r="GFZ3" s="3404"/>
      <c r="GGA3" s="3404"/>
      <c r="GGB3" s="3404"/>
      <c r="GGC3" s="3404"/>
      <c r="GGD3" s="3404"/>
      <c r="GGE3" s="3404"/>
      <c r="GGF3" s="3404"/>
      <c r="GGG3" s="3404"/>
      <c r="GGH3" s="3404"/>
      <c r="GGI3" s="3404"/>
      <c r="GGJ3" s="3404"/>
      <c r="GGK3" s="3404"/>
      <c r="GGL3" s="3404"/>
      <c r="GGM3" s="3404"/>
      <c r="GGN3" s="3404"/>
      <c r="GGO3" s="3404"/>
      <c r="GGP3" s="3404"/>
      <c r="GGQ3" s="3404"/>
      <c r="GGR3" s="3404"/>
      <c r="GGS3" s="3404"/>
      <c r="GGT3" s="3404"/>
      <c r="GGU3" s="3404"/>
      <c r="GGV3" s="3404"/>
      <c r="GGW3" s="3404"/>
      <c r="GGX3" s="3404"/>
      <c r="GGY3" s="3404"/>
      <c r="GGZ3" s="3404"/>
      <c r="GHA3" s="3404"/>
      <c r="GHB3" s="3404"/>
      <c r="GHC3" s="3404"/>
      <c r="GHD3" s="3404"/>
      <c r="GHE3" s="3404"/>
      <c r="GHF3" s="3404"/>
      <c r="GHG3" s="3404"/>
      <c r="GHH3" s="3404"/>
      <c r="GHI3" s="3404"/>
      <c r="GHJ3" s="3404"/>
      <c r="GHK3" s="3404"/>
      <c r="GHL3" s="3404"/>
      <c r="GHM3" s="3404"/>
      <c r="GHN3" s="3404"/>
      <c r="GHO3" s="3404"/>
      <c r="GHP3" s="3404"/>
      <c r="GHQ3" s="3404"/>
      <c r="GHR3" s="3404"/>
      <c r="GHS3" s="3404"/>
      <c r="GHT3" s="3404"/>
      <c r="GHU3" s="3404"/>
      <c r="GHV3" s="3404"/>
      <c r="GHW3" s="3404"/>
      <c r="GHX3" s="3404"/>
      <c r="GHY3" s="3404"/>
      <c r="GHZ3" s="3404"/>
      <c r="GIA3" s="3404"/>
      <c r="GIB3" s="3404"/>
      <c r="GIC3" s="3404"/>
      <c r="GID3" s="3404"/>
      <c r="GIE3" s="3404"/>
      <c r="GIF3" s="3404"/>
      <c r="GIG3" s="3404"/>
      <c r="GIH3" s="3404"/>
      <c r="GII3" s="3404"/>
      <c r="GIJ3" s="3404"/>
      <c r="GIK3" s="3404"/>
      <c r="GIL3" s="3404"/>
      <c r="GIM3" s="3404"/>
      <c r="GIN3" s="3404"/>
      <c r="GIO3" s="3404"/>
      <c r="GIP3" s="3404"/>
      <c r="GIQ3" s="3404"/>
      <c r="GIR3" s="3404"/>
      <c r="GIS3" s="3404"/>
      <c r="GIT3" s="3404"/>
      <c r="GIU3" s="3404"/>
      <c r="GIV3" s="3404"/>
      <c r="GIW3" s="3404"/>
      <c r="GIX3" s="3404"/>
      <c r="GIY3" s="3404"/>
      <c r="GIZ3" s="3404"/>
      <c r="GJA3" s="3404"/>
      <c r="GJB3" s="3404"/>
      <c r="GJC3" s="3404"/>
      <c r="GJD3" s="3404"/>
      <c r="GJE3" s="3404"/>
      <c r="GJF3" s="3404"/>
      <c r="GJG3" s="3404"/>
      <c r="GJH3" s="3404"/>
      <c r="GJI3" s="3404"/>
      <c r="GJJ3" s="3404"/>
      <c r="GJK3" s="3404"/>
      <c r="GJL3" s="3404"/>
      <c r="GJM3" s="3404"/>
      <c r="GJN3" s="3404"/>
      <c r="GJO3" s="3404"/>
      <c r="GJP3" s="3404"/>
      <c r="GJQ3" s="3404"/>
      <c r="GJR3" s="3404"/>
      <c r="GJS3" s="3404"/>
      <c r="GJT3" s="3404"/>
      <c r="GJU3" s="3404"/>
      <c r="GJV3" s="3404"/>
      <c r="GJW3" s="3404"/>
      <c r="GJX3" s="3404"/>
      <c r="GJY3" s="3404"/>
      <c r="GJZ3" s="3404"/>
      <c r="GKA3" s="3404"/>
      <c r="GKB3" s="3404"/>
      <c r="GKC3" s="3404"/>
      <c r="GKD3" s="3404"/>
      <c r="GKE3" s="3404"/>
      <c r="GKF3" s="3404"/>
      <c r="GKG3" s="3404"/>
      <c r="GKH3" s="3404"/>
      <c r="GKI3" s="3404"/>
      <c r="GKJ3" s="3404"/>
      <c r="GKK3" s="3404"/>
      <c r="GKL3" s="3404"/>
      <c r="GKM3" s="3404"/>
      <c r="GKN3" s="3404"/>
      <c r="GKO3" s="3404"/>
      <c r="GKP3" s="3404"/>
      <c r="GKQ3" s="3404"/>
      <c r="GKR3" s="3404"/>
      <c r="GKS3" s="3404"/>
      <c r="GKT3" s="3404"/>
      <c r="GKU3" s="3404"/>
      <c r="GKV3" s="3404"/>
      <c r="GKW3" s="3404"/>
      <c r="GKX3" s="3404"/>
      <c r="GKY3" s="3404"/>
      <c r="GKZ3" s="3404"/>
      <c r="GLA3" s="3404"/>
      <c r="GLB3" s="3404"/>
      <c r="GLC3" s="3404"/>
      <c r="GLD3" s="3404"/>
      <c r="GLE3" s="3404"/>
      <c r="GLF3" s="3404"/>
      <c r="GLG3" s="3404"/>
      <c r="GLH3" s="3404"/>
      <c r="GLI3" s="3404"/>
      <c r="GLJ3" s="3404"/>
      <c r="GLK3" s="3404"/>
      <c r="GLL3" s="3404"/>
      <c r="GLM3" s="3404"/>
      <c r="GLN3" s="3404"/>
      <c r="GLO3" s="3404"/>
      <c r="GLP3" s="3404"/>
      <c r="GLQ3" s="3404"/>
      <c r="GLR3" s="3404"/>
      <c r="GLS3" s="3404"/>
      <c r="GLT3" s="3404"/>
      <c r="GLU3" s="3404"/>
      <c r="GLV3" s="3404"/>
      <c r="GLW3" s="3404"/>
      <c r="GLX3" s="3404"/>
      <c r="GLY3" s="3404"/>
      <c r="GLZ3" s="3404"/>
      <c r="GMA3" s="3404"/>
      <c r="GMB3" s="3404"/>
      <c r="GMC3" s="3404"/>
      <c r="GMD3" s="3404"/>
      <c r="GME3" s="3404"/>
      <c r="GMF3" s="3404"/>
      <c r="GMG3" s="3404"/>
      <c r="GMH3" s="3404"/>
      <c r="GMI3" s="3404"/>
      <c r="GMJ3" s="3404"/>
      <c r="GMK3" s="3404"/>
      <c r="GML3" s="3404"/>
      <c r="GMM3" s="3404"/>
      <c r="GMN3" s="3404"/>
      <c r="GMO3" s="3404"/>
      <c r="GMP3" s="3404"/>
      <c r="GMQ3" s="3404"/>
      <c r="GMR3" s="3404"/>
      <c r="GMS3" s="3404"/>
      <c r="GMT3" s="3404"/>
      <c r="GMU3" s="3404"/>
      <c r="GMV3" s="3404"/>
      <c r="GMW3" s="3404"/>
      <c r="GMX3" s="3404"/>
      <c r="GMY3" s="3404"/>
      <c r="GMZ3" s="3404"/>
      <c r="GNA3" s="3404"/>
      <c r="GNB3" s="3404"/>
      <c r="GNC3" s="3404"/>
      <c r="GND3" s="3404"/>
      <c r="GNE3" s="3404"/>
      <c r="GNF3" s="3404"/>
      <c r="GNG3" s="3404"/>
      <c r="GNH3" s="3404"/>
      <c r="GNI3" s="3404"/>
      <c r="GNJ3" s="3404"/>
      <c r="GNK3" s="3404"/>
      <c r="GNL3" s="3404"/>
      <c r="GNM3" s="3404"/>
      <c r="GNN3" s="3404"/>
      <c r="GNO3" s="3404"/>
      <c r="GNP3" s="3404"/>
      <c r="GNQ3" s="3404"/>
      <c r="GNR3" s="3404"/>
      <c r="GNS3" s="3404"/>
      <c r="GNT3" s="3404"/>
      <c r="GNU3" s="3404"/>
      <c r="GNV3" s="3404"/>
      <c r="GNW3" s="3404"/>
      <c r="GNX3" s="3404"/>
      <c r="GNY3" s="3404"/>
      <c r="GNZ3" s="3404"/>
      <c r="GOA3" s="3404"/>
      <c r="GOB3" s="3404"/>
      <c r="GOC3" s="3404"/>
      <c r="GOD3" s="3404"/>
      <c r="GOE3" s="3404"/>
      <c r="GOF3" s="3404"/>
      <c r="GOG3" s="3404"/>
      <c r="GOH3" s="3404"/>
      <c r="GOI3" s="3404"/>
      <c r="GOJ3" s="3404"/>
      <c r="GOK3" s="3404"/>
      <c r="GOL3" s="3404"/>
      <c r="GOM3" s="3404"/>
      <c r="GON3" s="3404"/>
      <c r="GOO3" s="3404"/>
      <c r="GOP3" s="3404"/>
      <c r="GOQ3" s="3404"/>
      <c r="GOR3" s="3404"/>
      <c r="GOS3" s="3404"/>
      <c r="GOT3" s="3404"/>
      <c r="GOU3" s="3404"/>
      <c r="GOV3" s="3404"/>
      <c r="GOW3" s="3404"/>
      <c r="GOX3" s="3404"/>
      <c r="GOY3" s="3404"/>
      <c r="GOZ3" s="3404"/>
      <c r="GPA3" s="3404"/>
      <c r="GPB3" s="3404"/>
      <c r="GPC3" s="3404"/>
      <c r="GPD3" s="3404"/>
      <c r="GPE3" s="3404"/>
      <c r="GPF3" s="3404"/>
      <c r="GPG3" s="3404"/>
      <c r="GPH3" s="3404"/>
      <c r="GPI3" s="3404"/>
      <c r="GPJ3" s="3404"/>
      <c r="GPK3" s="3404"/>
      <c r="GPL3" s="3404"/>
      <c r="GPM3" s="3404"/>
      <c r="GPN3" s="3404"/>
      <c r="GPO3" s="3404"/>
      <c r="GPP3" s="3404"/>
      <c r="GPQ3" s="3404"/>
      <c r="GPR3" s="3404"/>
      <c r="GPS3" s="3404"/>
      <c r="GPT3" s="3404"/>
      <c r="GPU3" s="3404"/>
      <c r="GPV3" s="3404"/>
      <c r="GPW3" s="3404"/>
      <c r="GPX3" s="3404"/>
      <c r="GPY3" s="3404"/>
      <c r="GPZ3" s="3404"/>
      <c r="GQA3" s="3404"/>
      <c r="GQB3" s="3404"/>
      <c r="GQC3" s="3404"/>
      <c r="GQD3" s="3404"/>
      <c r="GQE3" s="3404"/>
      <c r="GQF3" s="3404"/>
      <c r="GQG3" s="3404"/>
      <c r="GQH3" s="3404"/>
      <c r="GQI3" s="3404"/>
      <c r="GQJ3" s="3404"/>
      <c r="GQK3" s="3404"/>
      <c r="GQL3" s="3404"/>
      <c r="GQM3" s="3404"/>
      <c r="GQN3" s="3404"/>
      <c r="GQO3" s="3404"/>
      <c r="GQP3" s="3404"/>
      <c r="GQQ3" s="3404"/>
      <c r="GQR3" s="3404"/>
      <c r="GQS3" s="3404"/>
      <c r="GQT3" s="3404"/>
      <c r="GQU3" s="3404"/>
      <c r="GQV3" s="3404"/>
      <c r="GQW3" s="3404"/>
      <c r="GQX3" s="3404"/>
      <c r="GQY3" s="3404"/>
      <c r="GQZ3" s="3404"/>
      <c r="GRA3" s="3404"/>
      <c r="GRB3" s="3404"/>
      <c r="GRC3" s="3404"/>
      <c r="GRD3" s="3404"/>
      <c r="GRE3" s="3404"/>
      <c r="GRF3" s="3404"/>
      <c r="GRG3" s="3404"/>
      <c r="GRH3" s="3404"/>
      <c r="GRI3" s="3404"/>
      <c r="GRJ3" s="3404"/>
      <c r="GRK3" s="3404"/>
      <c r="GRL3" s="3404"/>
      <c r="GRM3" s="3404"/>
      <c r="GRN3" s="3404"/>
      <c r="GRO3" s="3404"/>
      <c r="GRP3" s="3404"/>
      <c r="GRQ3" s="3404"/>
      <c r="GRR3" s="3404"/>
      <c r="GRS3" s="3404"/>
      <c r="GRT3" s="3404"/>
      <c r="GRU3" s="3404"/>
      <c r="GRV3" s="3404"/>
      <c r="GRW3" s="3404"/>
      <c r="GRX3" s="3404"/>
      <c r="GRY3" s="3404"/>
      <c r="GRZ3" s="3404"/>
      <c r="GSA3" s="3404"/>
      <c r="GSB3" s="3404"/>
      <c r="GSC3" s="3404"/>
      <c r="GSD3" s="3404"/>
      <c r="GSE3" s="3404"/>
      <c r="GSF3" s="3404"/>
      <c r="GSG3" s="3404"/>
      <c r="GSH3" s="3404"/>
      <c r="GSI3" s="3404"/>
      <c r="GSJ3" s="3404"/>
      <c r="GSK3" s="3404"/>
      <c r="GSL3" s="3404"/>
      <c r="GSM3" s="3404"/>
      <c r="GSN3" s="3404"/>
      <c r="GSO3" s="3404"/>
      <c r="GSP3" s="3404"/>
      <c r="GSQ3" s="3404"/>
      <c r="GSR3" s="3404"/>
      <c r="GSS3" s="3404"/>
      <c r="GST3" s="3404"/>
      <c r="GSU3" s="3404"/>
      <c r="GSV3" s="3404"/>
      <c r="GSW3" s="3404"/>
      <c r="GSX3" s="3404"/>
      <c r="GSY3" s="3404"/>
      <c r="GSZ3" s="3404"/>
      <c r="GTA3" s="3404"/>
      <c r="GTB3" s="3404"/>
      <c r="GTC3" s="3404"/>
      <c r="GTD3" s="3404"/>
      <c r="GTE3" s="3404"/>
      <c r="GTF3" s="3404"/>
      <c r="GTG3" s="3404"/>
      <c r="GTH3" s="3404"/>
      <c r="GTI3" s="3404"/>
      <c r="GTJ3" s="3404"/>
      <c r="GTK3" s="3404"/>
      <c r="GTL3" s="3404"/>
      <c r="GTM3" s="3404"/>
      <c r="GTN3" s="3404"/>
      <c r="GTO3" s="3404"/>
      <c r="GTP3" s="3404"/>
      <c r="GTQ3" s="3404"/>
      <c r="GTR3" s="3404"/>
      <c r="GTS3" s="3404"/>
      <c r="GTT3" s="3404"/>
      <c r="GTU3" s="3404"/>
      <c r="GTV3" s="3404"/>
      <c r="GTW3" s="3404"/>
      <c r="GTX3" s="3404"/>
      <c r="GTY3" s="3404"/>
      <c r="GTZ3" s="3404"/>
      <c r="GUA3" s="3404"/>
      <c r="GUB3" s="3404"/>
      <c r="GUC3" s="3404"/>
      <c r="GUD3" s="3404"/>
      <c r="GUE3" s="3404"/>
      <c r="GUF3" s="3404"/>
      <c r="GUG3" s="3404"/>
      <c r="GUH3" s="3404"/>
      <c r="GUI3" s="3404"/>
      <c r="GUJ3" s="3404"/>
      <c r="GUK3" s="3404"/>
      <c r="GUL3" s="3404"/>
      <c r="GUM3" s="3404"/>
      <c r="GUN3" s="3404"/>
      <c r="GUO3" s="3404"/>
      <c r="GUP3" s="3404"/>
      <c r="GUQ3" s="3404"/>
      <c r="GUR3" s="3404"/>
      <c r="GUS3" s="3404"/>
      <c r="GUT3" s="3404"/>
      <c r="GUU3" s="3404"/>
      <c r="GUV3" s="3404"/>
      <c r="GUW3" s="3404"/>
      <c r="GUX3" s="3404"/>
      <c r="GUY3" s="3404"/>
      <c r="GUZ3" s="3404"/>
      <c r="GVA3" s="3404"/>
      <c r="GVB3" s="3404"/>
      <c r="GVC3" s="3404"/>
      <c r="GVD3" s="3404"/>
      <c r="GVE3" s="3404"/>
      <c r="GVF3" s="3404"/>
      <c r="GVG3" s="3404"/>
      <c r="GVH3" s="3404"/>
      <c r="GVI3" s="3404"/>
      <c r="GVJ3" s="3404"/>
      <c r="GVK3" s="3404"/>
      <c r="GVL3" s="3404"/>
      <c r="GVM3" s="3404"/>
      <c r="GVN3" s="3404"/>
      <c r="GVO3" s="3404"/>
      <c r="GVP3" s="3404"/>
      <c r="GVQ3" s="3404"/>
      <c r="GVR3" s="3404"/>
      <c r="GVS3" s="3404"/>
      <c r="GVT3" s="3404"/>
      <c r="GVU3" s="3404"/>
      <c r="GVV3" s="3404"/>
      <c r="GVW3" s="3404"/>
      <c r="GVX3" s="3404"/>
      <c r="GVY3" s="3404"/>
      <c r="GVZ3" s="3404"/>
      <c r="GWA3" s="3404"/>
      <c r="GWB3" s="3404"/>
      <c r="GWC3" s="3404"/>
      <c r="GWD3" s="3404"/>
      <c r="GWE3" s="3404"/>
      <c r="GWF3" s="3404"/>
      <c r="GWG3" s="3404"/>
      <c r="GWH3" s="3404"/>
      <c r="GWI3" s="3404"/>
      <c r="GWJ3" s="3404"/>
      <c r="GWK3" s="3404"/>
      <c r="GWL3" s="3404"/>
      <c r="GWM3" s="3404"/>
      <c r="GWN3" s="3404"/>
      <c r="GWO3" s="3404"/>
      <c r="GWP3" s="3404"/>
      <c r="GWQ3" s="3404"/>
      <c r="GWR3" s="3404"/>
      <c r="GWS3" s="3404"/>
      <c r="GWT3" s="3404"/>
      <c r="GWU3" s="3404"/>
      <c r="GWV3" s="3404"/>
      <c r="GWW3" s="3404"/>
      <c r="GWX3" s="3404"/>
      <c r="GWY3" s="3404"/>
      <c r="GWZ3" s="3404"/>
      <c r="GXA3" s="3404"/>
      <c r="GXB3" s="3404"/>
      <c r="GXC3" s="3404"/>
      <c r="GXD3" s="3404"/>
      <c r="GXE3" s="3404"/>
      <c r="GXF3" s="3404"/>
      <c r="GXG3" s="3404"/>
      <c r="GXH3" s="3404"/>
      <c r="GXI3" s="3404"/>
      <c r="GXJ3" s="3404"/>
      <c r="GXK3" s="3404"/>
      <c r="GXL3" s="3404"/>
      <c r="GXM3" s="3404"/>
      <c r="GXN3" s="3404"/>
      <c r="GXO3" s="3404"/>
      <c r="GXP3" s="3404"/>
      <c r="GXQ3" s="3404"/>
      <c r="GXR3" s="3404"/>
      <c r="GXS3" s="3404"/>
      <c r="GXT3" s="3404"/>
      <c r="GXU3" s="3404"/>
      <c r="GXV3" s="3404"/>
      <c r="GXW3" s="3404"/>
      <c r="GXX3" s="3404"/>
      <c r="GXY3" s="3404"/>
      <c r="GXZ3" s="3404"/>
      <c r="GYA3" s="3404"/>
      <c r="GYB3" s="3404"/>
      <c r="GYC3" s="3404"/>
      <c r="GYD3" s="3404"/>
      <c r="GYE3" s="3404"/>
      <c r="GYF3" s="3404"/>
      <c r="GYG3" s="3404"/>
      <c r="GYH3" s="3404"/>
      <c r="GYI3" s="3404"/>
      <c r="GYJ3" s="3404"/>
      <c r="GYK3" s="3404"/>
      <c r="GYL3" s="3404"/>
      <c r="GYM3" s="3404"/>
      <c r="GYN3" s="3404"/>
      <c r="GYO3" s="3404"/>
      <c r="GYP3" s="3404"/>
      <c r="GYQ3" s="3404"/>
      <c r="GYR3" s="3404"/>
      <c r="GYS3" s="3404"/>
      <c r="GYT3" s="3404"/>
      <c r="GYU3" s="3404"/>
      <c r="GYV3" s="3404"/>
      <c r="GYW3" s="3404"/>
      <c r="GYX3" s="3404"/>
      <c r="GYY3" s="3404"/>
      <c r="GYZ3" s="3404"/>
      <c r="GZA3" s="3404"/>
      <c r="GZB3" s="3404"/>
      <c r="GZC3" s="3404"/>
      <c r="GZD3" s="3404"/>
      <c r="GZE3" s="3404"/>
      <c r="GZF3" s="3404"/>
      <c r="GZG3" s="3404"/>
      <c r="GZH3" s="3404"/>
      <c r="GZI3" s="3404"/>
      <c r="GZJ3" s="3404"/>
      <c r="GZK3" s="3404"/>
      <c r="GZL3" s="3404"/>
      <c r="GZM3" s="3404"/>
      <c r="GZN3" s="3404"/>
      <c r="GZO3" s="3404"/>
      <c r="GZP3" s="3404"/>
      <c r="GZQ3" s="3404"/>
      <c r="GZR3" s="3404"/>
      <c r="GZS3" s="3404"/>
      <c r="GZT3" s="3404"/>
      <c r="GZU3" s="3404"/>
      <c r="GZV3" s="3404"/>
      <c r="GZW3" s="3404"/>
      <c r="GZX3" s="3404"/>
      <c r="GZY3" s="3404"/>
      <c r="GZZ3" s="3404"/>
      <c r="HAA3" s="3404"/>
      <c r="HAB3" s="3404"/>
      <c r="HAC3" s="3404"/>
      <c r="HAD3" s="3404"/>
      <c r="HAE3" s="3404"/>
      <c r="HAF3" s="3404"/>
      <c r="HAG3" s="3404"/>
      <c r="HAH3" s="3404"/>
      <c r="HAI3" s="3404"/>
      <c r="HAJ3" s="3404"/>
      <c r="HAK3" s="3404"/>
      <c r="HAL3" s="3404"/>
      <c r="HAM3" s="3404"/>
      <c r="HAN3" s="3404"/>
      <c r="HAO3" s="3404"/>
      <c r="HAP3" s="3404"/>
      <c r="HAQ3" s="3404"/>
      <c r="HAR3" s="3404"/>
      <c r="HAS3" s="3404"/>
      <c r="HAT3" s="3404"/>
      <c r="HAU3" s="3404"/>
      <c r="HAV3" s="3404"/>
      <c r="HAW3" s="3404"/>
      <c r="HAX3" s="3404"/>
      <c r="HAY3" s="3404"/>
      <c r="HAZ3" s="3404"/>
      <c r="HBA3" s="3404"/>
      <c r="HBB3" s="3404"/>
      <c r="HBC3" s="3404"/>
      <c r="HBD3" s="3404"/>
      <c r="HBE3" s="3404"/>
      <c r="HBF3" s="3404"/>
      <c r="HBG3" s="3404"/>
      <c r="HBH3" s="3404"/>
      <c r="HBI3" s="3404"/>
      <c r="HBJ3" s="3404"/>
      <c r="HBK3" s="3404"/>
      <c r="HBL3" s="3404"/>
      <c r="HBM3" s="3404"/>
      <c r="HBN3" s="3404"/>
      <c r="HBO3" s="3404"/>
      <c r="HBP3" s="3404"/>
      <c r="HBQ3" s="3404"/>
      <c r="HBR3" s="3404"/>
      <c r="HBS3" s="3404"/>
      <c r="HBT3" s="3404"/>
      <c r="HBU3" s="3404"/>
      <c r="HBV3" s="3404"/>
      <c r="HBW3" s="3404"/>
      <c r="HBX3" s="3404"/>
      <c r="HBY3" s="3404"/>
      <c r="HBZ3" s="3404"/>
      <c r="HCA3" s="3404"/>
      <c r="HCB3" s="3404"/>
      <c r="HCC3" s="3404"/>
      <c r="HCD3" s="3404"/>
      <c r="HCE3" s="3404"/>
      <c r="HCF3" s="3404"/>
      <c r="HCG3" s="3404"/>
      <c r="HCH3" s="3404"/>
      <c r="HCI3" s="3404"/>
      <c r="HCJ3" s="3404"/>
      <c r="HCK3" s="3404"/>
      <c r="HCL3" s="3404"/>
      <c r="HCM3" s="3404"/>
      <c r="HCN3" s="3404"/>
      <c r="HCO3" s="3404"/>
      <c r="HCP3" s="3404"/>
      <c r="HCQ3" s="3404"/>
      <c r="HCR3" s="3404"/>
      <c r="HCS3" s="3404"/>
      <c r="HCT3" s="3404"/>
      <c r="HCU3" s="3404"/>
      <c r="HCV3" s="3404"/>
      <c r="HCW3" s="3404"/>
      <c r="HCX3" s="3404"/>
      <c r="HCY3" s="3404"/>
      <c r="HCZ3" s="3404"/>
      <c r="HDA3" s="3404"/>
      <c r="HDB3" s="3404"/>
      <c r="HDC3" s="3404"/>
      <c r="HDD3" s="3404"/>
      <c r="HDE3" s="3404"/>
      <c r="HDF3" s="3404"/>
      <c r="HDG3" s="3404"/>
      <c r="HDH3" s="3404"/>
      <c r="HDI3" s="3404"/>
      <c r="HDJ3" s="3404"/>
      <c r="HDK3" s="3404"/>
      <c r="HDL3" s="3404"/>
      <c r="HDM3" s="3404"/>
      <c r="HDN3" s="3404"/>
      <c r="HDO3" s="3404"/>
      <c r="HDP3" s="3404"/>
      <c r="HDQ3" s="3404"/>
      <c r="HDR3" s="3404"/>
      <c r="HDS3" s="3404"/>
      <c r="HDT3" s="3404"/>
      <c r="HDU3" s="3404"/>
      <c r="HDV3" s="3404"/>
      <c r="HDW3" s="3404"/>
      <c r="HDX3" s="3404"/>
      <c r="HDY3" s="3404"/>
      <c r="HDZ3" s="3404"/>
      <c r="HEA3" s="3404"/>
      <c r="HEB3" s="3404"/>
      <c r="HEC3" s="3404"/>
      <c r="HED3" s="3404"/>
      <c r="HEE3" s="3404"/>
      <c r="HEF3" s="3404"/>
      <c r="HEG3" s="3404"/>
      <c r="HEH3" s="3404"/>
      <c r="HEI3" s="3404"/>
      <c r="HEJ3" s="3404"/>
      <c r="HEK3" s="3404"/>
      <c r="HEL3" s="3404"/>
      <c r="HEM3" s="3404"/>
      <c r="HEN3" s="3404"/>
      <c r="HEO3" s="3404"/>
      <c r="HEP3" s="3404"/>
      <c r="HEQ3" s="3404"/>
      <c r="HER3" s="3404"/>
      <c r="HES3" s="3404"/>
      <c r="HET3" s="3404"/>
      <c r="HEU3" s="3404"/>
      <c r="HEV3" s="3404"/>
      <c r="HEW3" s="3404"/>
      <c r="HEX3" s="3404"/>
      <c r="HEY3" s="3404"/>
      <c r="HEZ3" s="3404"/>
      <c r="HFA3" s="3404"/>
      <c r="HFB3" s="3404"/>
      <c r="HFC3" s="3404"/>
      <c r="HFD3" s="3404"/>
      <c r="HFE3" s="3404"/>
      <c r="HFF3" s="3404"/>
      <c r="HFG3" s="3404"/>
      <c r="HFH3" s="3404"/>
      <c r="HFI3" s="3404"/>
      <c r="HFJ3" s="3404"/>
      <c r="HFK3" s="3404"/>
      <c r="HFL3" s="3404"/>
      <c r="HFM3" s="3404"/>
      <c r="HFN3" s="3404"/>
      <c r="HFO3" s="3404"/>
      <c r="HFP3" s="3404"/>
      <c r="HFQ3" s="3404"/>
      <c r="HFR3" s="3404"/>
      <c r="HFS3" s="3404"/>
      <c r="HFT3" s="3404"/>
      <c r="HFU3" s="3404"/>
      <c r="HFV3" s="3404"/>
      <c r="HFW3" s="3404"/>
      <c r="HFX3" s="3404"/>
      <c r="HFY3" s="3404"/>
      <c r="HFZ3" s="3404"/>
      <c r="HGA3" s="3404"/>
      <c r="HGB3" s="3404"/>
      <c r="HGC3" s="3404"/>
      <c r="HGD3" s="3404"/>
      <c r="HGE3" s="3404"/>
      <c r="HGF3" s="3404"/>
      <c r="HGG3" s="3404"/>
      <c r="HGH3" s="3404"/>
      <c r="HGI3" s="3404"/>
      <c r="HGJ3" s="3404"/>
      <c r="HGK3" s="3404"/>
      <c r="HGL3" s="3404"/>
      <c r="HGM3" s="3404"/>
      <c r="HGN3" s="3404"/>
      <c r="HGO3" s="3404"/>
      <c r="HGP3" s="3404"/>
      <c r="HGQ3" s="3404"/>
      <c r="HGR3" s="3404"/>
      <c r="HGS3" s="3404"/>
      <c r="HGT3" s="3404"/>
      <c r="HGU3" s="3404"/>
      <c r="HGV3" s="3404"/>
      <c r="HGW3" s="3404"/>
      <c r="HGX3" s="3404"/>
      <c r="HGY3" s="3404"/>
      <c r="HGZ3" s="3404"/>
      <c r="HHA3" s="3404"/>
      <c r="HHB3" s="3404"/>
      <c r="HHC3" s="3404"/>
      <c r="HHD3" s="3404"/>
      <c r="HHE3" s="3404"/>
      <c r="HHF3" s="3404"/>
      <c r="HHG3" s="3404"/>
      <c r="HHH3" s="3404"/>
      <c r="HHI3" s="3404"/>
      <c r="HHJ3" s="3404"/>
      <c r="HHK3" s="3404"/>
      <c r="HHL3" s="3404"/>
      <c r="HHM3" s="3404"/>
      <c r="HHN3" s="3404"/>
      <c r="HHO3" s="3404"/>
      <c r="HHP3" s="3404"/>
      <c r="HHQ3" s="3404"/>
      <c r="HHR3" s="3404"/>
      <c r="HHS3" s="3404"/>
      <c r="HHT3" s="3404"/>
      <c r="HHU3" s="3404"/>
      <c r="HHV3" s="3404"/>
      <c r="HHW3" s="3404"/>
      <c r="HHX3" s="3404"/>
      <c r="HHY3" s="3404"/>
      <c r="HHZ3" s="3404"/>
      <c r="HIA3" s="3404"/>
      <c r="HIB3" s="3404"/>
      <c r="HIC3" s="3404"/>
      <c r="HID3" s="3404"/>
      <c r="HIE3" s="3404"/>
      <c r="HIF3" s="3404"/>
      <c r="HIG3" s="3404"/>
      <c r="HIH3" s="3404"/>
      <c r="HII3" s="3404"/>
      <c r="HIJ3" s="3404"/>
      <c r="HIK3" s="3404"/>
      <c r="HIL3" s="3404"/>
      <c r="HIM3" s="3404"/>
      <c r="HIN3" s="3404"/>
      <c r="HIO3" s="3404"/>
      <c r="HIP3" s="3404"/>
      <c r="HIQ3" s="3404"/>
      <c r="HIR3" s="3404"/>
      <c r="HIS3" s="3404"/>
      <c r="HIT3" s="3404"/>
      <c r="HIU3" s="3404"/>
      <c r="HIV3" s="3404"/>
      <c r="HIW3" s="3404"/>
      <c r="HIX3" s="3404"/>
      <c r="HIY3" s="3404"/>
      <c r="HIZ3" s="3404"/>
      <c r="HJA3" s="3404"/>
      <c r="HJB3" s="3404"/>
      <c r="HJC3" s="3404"/>
      <c r="HJD3" s="3404"/>
      <c r="HJE3" s="3404"/>
      <c r="HJF3" s="3404"/>
      <c r="HJG3" s="3404"/>
      <c r="HJH3" s="3404"/>
      <c r="HJI3" s="3404"/>
      <c r="HJJ3" s="3404"/>
      <c r="HJK3" s="3404"/>
      <c r="HJL3" s="3404"/>
      <c r="HJM3" s="3404"/>
      <c r="HJN3" s="3404"/>
      <c r="HJO3" s="3404"/>
      <c r="HJP3" s="3404"/>
      <c r="HJQ3" s="3404"/>
      <c r="HJR3" s="3404"/>
      <c r="HJS3" s="3404"/>
      <c r="HJT3" s="3404"/>
      <c r="HJU3" s="3404"/>
      <c r="HJV3" s="3404"/>
      <c r="HJW3" s="3404"/>
      <c r="HJX3" s="3404"/>
      <c r="HJY3" s="3404"/>
      <c r="HJZ3" s="3404"/>
      <c r="HKA3" s="3404"/>
      <c r="HKB3" s="3404"/>
      <c r="HKC3" s="3404"/>
      <c r="HKD3" s="3404"/>
      <c r="HKE3" s="3404"/>
      <c r="HKF3" s="3404"/>
      <c r="HKG3" s="3404"/>
      <c r="HKH3" s="3404"/>
      <c r="HKI3" s="3404"/>
      <c r="HKJ3" s="3404"/>
      <c r="HKK3" s="3404"/>
      <c r="HKL3" s="3404"/>
      <c r="HKM3" s="3404"/>
      <c r="HKN3" s="3404"/>
      <c r="HKO3" s="3404"/>
      <c r="HKP3" s="3404"/>
      <c r="HKQ3" s="3404"/>
      <c r="HKR3" s="3404"/>
      <c r="HKS3" s="3404"/>
      <c r="HKT3" s="3404"/>
      <c r="HKU3" s="3404"/>
      <c r="HKV3" s="3404"/>
      <c r="HKW3" s="3404"/>
      <c r="HKX3" s="3404"/>
      <c r="HKY3" s="3404"/>
      <c r="HKZ3" s="3404"/>
      <c r="HLA3" s="3404"/>
      <c r="HLB3" s="3404"/>
      <c r="HLC3" s="3404"/>
      <c r="HLD3" s="3404"/>
      <c r="HLE3" s="3404"/>
      <c r="HLF3" s="3404"/>
      <c r="HLG3" s="3404"/>
      <c r="HLH3" s="3404"/>
      <c r="HLI3" s="3404"/>
      <c r="HLJ3" s="3404"/>
      <c r="HLK3" s="3404"/>
      <c r="HLL3" s="3404"/>
      <c r="HLM3" s="3404"/>
      <c r="HLN3" s="3404"/>
      <c r="HLO3" s="3404"/>
      <c r="HLP3" s="3404"/>
      <c r="HLQ3" s="3404"/>
      <c r="HLR3" s="3404"/>
      <c r="HLS3" s="3404"/>
      <c r="HLT3" s="3404"/>
      <c r="HLU3" s="3404"/>
      <c r="HLV3" s="3404"/>
      <c r="HLW3" s="3404"/>
      <c r="HLX3" s="3404"/>
      <c r="HLY3" s="3404"/>
      <c r="HLZ3" s="3404"/>
      <c r="HMA3" s="3404"/>
      <c r="HMB3" s="3404"/>
      <c r="HMC3" s="3404"/>
      <c r="HMD3" s="3404"/>
      <c r="HME3" s="3404"/>
      <c r="HMF3" s="3404"/>
      <c r="HMG3" s="3404"/>
      <c r="HMH3" s="3404"/>
      <c r="HMI3" s="3404"/>
      <c r="HMJ3" s="3404"/>
      <c r="HMK3" s="3404"/>
      <c r="HML3" s="3404"/>
      <c r="HMM3" s="3404"/>
      <c r="HMN3" s="3404"/>
      <c r="HMO3" s="3404"/>
      <c r="HMP3" s="3404"/>
      <c r="HMQ3" s="3404"/>
      <c r="HMR3" s="3404"/>
      <c r="HMS3" s="3404"/>
      <c r="HMT3" s="3404"/>
      <c r="HMU3" s="3404"/>
      <c r="HMV3" s="3404"/>
      <c r="HMW3" s="3404"/>
      <c r="HMX3" s="3404"/>
      <c r="HMY3" s="3404"/>
      <c r="HMZ3" s="3404"/>
      <c r="HNA3" s="3404"/>
      <c r="HNB3" s="3404"/>
      <c r="HNC3" s="3404"/>
      <c r="HND3" s="3404"/>
      <c r="HNE3" s="3404"/>
      <c r="HNF3" s="3404"/>
      <c r="HNG3" s="3404"/>
      <c r="HNH3" s="3404"/>
      <c r="HNI3" s="3404"/>
      <c r="HNJ3" s="3404"/>
      <c r="HNK3" s="3404"/>
      <c r="HNL3" s="3404"/>
      <c r="HNM3" s="3404"/>
      <c r="HNN3" s="3404"/>
      <c r="HNO3" s="3404"/>
      <c r="HNP3" s="3404"/>
      <c r="HNQ3" s="3404"/>
      <c r="HNR3" s="3404"/>
      <c r="HNS3" s="3404"/>
      <c r="HNT3" s="3404"/>
      <c r="HNU3" s="3404"/>
      <c r="HNV3" s="3404"/>
      <c r="HNW3" s="3404"/>
      <c r="HNX3" s="3404"/>
      <c r="HNY3" s="3404"/>
      <c r="HNZ3" s="3404"/>
      <c r="HOA3" s="3404"/>
      <c r="HOB3" s="3404"/>
      <c r="HOC3" s="3404"/>
      <c r="HOD3" s="3404"/>
      <c r="HOE3" s="3404"/>
      <c r="HOF3" s="3404"/>
      <c r="HOG3" s="3404"/>
      <c r="HOH3" s="3404"/>
      <c r="HOI3" s="3404"/>
      <c r="HOJ3" s="3404"/>
      <c r="HOK3" s="3404"/>
      <c r="HOL3" s="3404"/>
      <c r="HOM3" s="3404"/>
      <c r="HON3" s="3404"/>
      <c r="HOO3" s="3404"/>
      <c r="HOP3" s="3404"/>
      <c r="HOQ3" s="3404"/>
      <c r="HOR3" s="3404"/>
      <c r="HOS3" s="3404"/>
      <c r="HOT3" s="3404"/>
      <c r="HOU3" s="3404"/>
      <c r="HOV3" s="3404"/>
      <c r="HOW3" s="3404"/>
      <c r="HOX3" s="3404"/>
      <c r="HOY3" s="3404"/>
      <c r="HOZ3" s="3404"/>
      <c r="HPA3" s="3404"/>
      <c r="HPB3" s="3404"/>
      <c r="HPC3" s="3404"/>
      <c r="HPD3" s="3404"/>
      <c r="HPE3" s="3404"/>
      <c r="HPF3" s="3404"/>
      <c r="HPG3" s="3404"/>
      <c r="HPH3" s="3404"/>
      <c r="HPI3" s="3404"/>
      <c r="HPJ3" s="3404"/>
      <c r="HPK3" s="3404"/>
      <c r="HPL3" s="3404"/>
      <c r="HPM3" s="3404"/>
      <c r="HPN3" s="3404"/>
      <c r="HPO3" s="3404"/>
      <c r="HPP3" s="3404"/>
      <c r="HPQ3" s="3404"/>
      <c r="HPR3" s="3404"/>
      <c r="HPS3" s="3404"/>
      <c r="HPT3" s="3404"/>
      <c r="HPU3" s="3404"/>
      <c r="HPV3" s="3404"/>
      <c r="HPW3" s="3404"/>
      <c r="HPX3" s="3404"/>
      <c r="HPY3" s="3404"/>
      <c r="HPZ3" s="3404"/>
      <c r="HQA3" s="3404"/>
      <c r="HQB3" s="3404"/>
      <c r="HQC3" s="3404"/>
      <c r="HQD3" s="3404"/>
      <c r="HQE3" s="3404"/>
      <c r="HQF3" s="3404"/>
      <c r="HQG3" s="3404"/>
      <c r="HQH3" s="3404"/>
      <c r="HQI3" s="3404"/>
      <c r="HQJ3" s="3404"/>
      <c r="HQK3" s="3404"/>
      <c r="HQL3" s="3404"/>
      <c r="HQM3" s="3404"/>
      <c r="HQN3" s="3404"/>
      <c r="HQO3" s="3404"/>
      <c r="HQP3" s="3404"/>
      <c r="HQQ3" s="3404"/>
      <c r="HQR3" s="3404"/>
      <c r="HQS3" s="3404"/>
      <c r="HQT3" s="3404"/>
      <c r="HQU3" s="3404"/>
      <c r="HQV3" s="3404"/>
      <c r="HQW3" s="3404"/>
      <c r="HQX3" s="3404"/>
      <c r="HQY3" s="3404"/>
      <c r="HQZ3" s="3404"/>
      <c r="HRA3" s="3404"/>
      <c r="HRB3" s="3404"/>
      <c r="HRC3" s="3404"/>
      <c r="HRD3" s="3404"/>
      <c r="HRE3" s="3404"/>
      <c r="HRF3" s="3404"/>
      <c r="HRG3" s="3404"/>
      <c r="HRH3" s="3404"/>
      <c r="HRI3" s="3404"/>
      <c r="HRJ3" s="3404"/>
      <c r="HRK3" s="3404"/>
      <c r="HRL3" s="3404"/>
      <c r="HRM3" s="3404"/>
      <c r="HRN3" s="3404"/>
      <c r="HRO3" s="3404"/>
      <c r="HRP3" s="3404"/>
      <c r="HRQ3" s="3404"/>
      <c r="HRR3" s="3404"/>
      <c r="HRS3" s="3404"/>
      <c r="HRT3" s="3404"/>
      <c r="HRU3" s="3404"/>
      <c r="HRV3" s="3404"/>
      <c r="HRW3" s="3404"/>
      <c r="HRX3" s="3404"/>
      <c r="HRY3" s="3404"/>
      <c r="HRZ3" s="3404"/>
      <c r="HSA3" s="3404"/>
      <c r="HSB3" s="3404"/>
      <c r="HSC3" s="3404"/>
      <c r="HSD3" s="3404"/>
      <c r="HSE3" s="3404"/>
      <c r="HSF3" s="3404"/>
      <c r="HSG3" s="3404"/>
      <c r="HSH3" s="3404"/>
      <c r="HSI3" s="3404"/>
      <c r="HSJ3" s="3404"/>
      <c r="HSK3" s="3404"/>
      <c r="HSL3" s="3404"/>
      <c r="HSM3" s="3404"/>
      <c r="HSN3" s="3404"/>
      <c r="HSO3" s="3404"/>
      <c r="HSP3" s="3404"/>
      <c r="HSQ3" s="3404"/>
      <c r="HSR3" s="3404"/>
      <c r="HSS3" s="3404"/>
      <c r="HST3" s="3404"/>
      <c r="HSU3" s="3404"/>
      <c r="HSV3" s="3404"/>
      <c r="HSW3" s="3404"/>
      <c r="HSX3" s="3404"/>
      <c r="HSY3" s="3404"/>
      <c r="HSZ3" s="3404"/>
      <c r="HTA3" s="3404"/>
      <c r="HTB3" s="3404"/>
      <c r="HTC3" s="3404"/>
      <c r="HTD3" s="3404"/>
      <c r="HTE3" s="3404"/>
      <c r="HTF3" s="3404"/>
      <c r="HTG3" s="3404"/>
      <c r="HTH3" s="3404"/>
      <c r="HTI3" s="3404"/>
      <c r="HTJ3" s="3404"/>
      <c r="HTK3" s="3404"/>
      <c r="HTL3" s="3404"/>
      <c r="HTM3" s="3404"/>
      <c r="HTN3" s="3404"/>
      <c r="HTO3" s="3404"/>
      <c r="HTP3" s="3404"/>
      <c r="HTQ3" s="3404"/>
      <c r="HTR3" s="3404"/>
      <c r="HTS3" s="3404"/>
      <c r="HTT3" s="3404"/>
      <c r="HTU3" s="3404"/>
      <c r="HTV3" s="3404"/>
      <c r="HTW3" s="3404"/>
      <c r="HTX3" s="3404"/>
      <c r="HTY3" s="3404"/>
      <c r="HTZ3" s="3404"/>
      <c r="HUA3" s="3404"/>
      <c r="HUB3" s="3404"/>
      <c r="HUC3" s="3404"/>
      <c r="HUD3" s="3404"/>
      <c r="HUE3" s="3404"/>
      <c r="HUF3" s="3404"/>
      <c r="HUG3" s="3404"/>
      <c r="HUH3" s="3404"/>
      <c r="HUI3" s="3404"/>
      <c r="HUJ3" s="3404"/>
      <c r="HUK3" s="3404"/>
      <c r="HUL3" s="3404"/>
      <c r="HUM3" s="3404"/>
      <c r="HUN3" s="3404"/>
      <c r="HUO3" s="3404"/>
      <c r="HUP3" s="3404"/>
      <c r="HUQ3" s="3404"/>
      <c r="HUR3" s="3404"/>
      <c r="HUS3" s="3404"/>
      <c r="HUT3" s="3404"/>
      <c r="HUU3" s="3404"/>
      <c r="HUV3" s="3404"/>
      <c r="HUW3" s="3404"/>
      <c r="HUX3" s="3404"/>
      <c r="HUY3" s="3404"/>
      <c r="HUZ3" s="3404"/>
      <c r="HVA3" s="3404"/>
      <c r="HVB3" s="3404"/>
      <c r="HVC3" s="3404"/>
      <c r="HVD3" s="3404"/>
      <c r="HVE3" s="3404"/>
      <c r="HVF3" s="3404"/>
      <c r="HVG3" s="3404"/>
      <c r="HVH3" s="3404"/>
      <c r="HVI3" s="3404"/>
      <c r="HVJ3" s="3404"/>
      <c r="HVK3" s="3404"/>
      <c r="HVL3" s="3404"/>
      <c r="HVM3" s="3404"/>
      <c r="HVN3" s="3404"/>
      <c r="HVO3" s="3404"/>
      <c r="HVP3" s="3404"/>
      <c r="HVQ3" s="3404"/>
      <c r="HVR3" s="3404"/>
      <c r="HVS3" s="3404"/>
      <c r="HVT3" s="3404"/>
      <c r="HVU3" s="3404"/>
      <c r="HVV3" s="3404"/>
      <c r="HVW3" s="3404"/>
      <c r="HVX3" s="3404"/>
      <c r="HVY3" s="3404"/>
      <c r="HVZ3" s="3404"/>
      <c r="HWA3" s="3404"/>
      <c r="HWB3" s="3404"/>
      <c r="HWC3" s="3404"/>
      <c r="HWD3" s="3404"/>
      <c r="HWE3" s="3404"/>
      <c r="HWF3" s="3404"/>
      <c r="HWG3" s="3404"/>
      <c r="HWH3" s="3404"/>
      <c r="HWI3" s="3404"/>
      <c r="HWJ3" s="3404"/>
      <c r="HWK3" s="3404"/>
      <c r="HWL3" s="3404"/>
      <c r="HWM3" s="3404"/>
      <c r="HWN3" s="3404"/>
      <c r="HWO3" s="3404"/>
      <c r="HWP3" s="3404"/>
      <c r="HWQ3" s="3404"/>
      <c r="HWR3" s="3404"/>
      <c r="HWS3" s="3404"/>
      <c r="HWT3" s="3404"/>
      <c r="HWU3" s="3404"/>
      <c r="HWV3" s="3404"/>
      <c r="HWW3" s="3404"/>
      <c r="HWX3" s="3404"/>
      <c r="HWY3" s="3404"/>
      <c r="HWZ3" s="3404"/>
      <c r="HXA3" s="3404"/>
      <c r="HXB3" s="3404"/>
      <c r="HXC3" s="3404"/>
      <c r="HXD3" s="3404"/>
      <c r="HXE3" s="3404"/>
      <c r="HXF3" s="3404"/>
      <c r="HXG3" s="3404"/>
      <c r="HXH3" s="3404"/>
      <c r="HXI3" s="3404"/>
      <c r="HXJ3" s="3404"/>
      <c r="HXK3" s="3404"/>
      <c r="HXL3" s="3404"/>
      <c r="HXM3" s="3404"/>
      <c r="HXN3" s="3404"/>
      <c r="HXO3" s="3404"/>
      <c r="HXP3" s="3404"/>
      <c r="HXQ3" s="3404"/>
      <c r="HXR3" s="3404"/>
      <c r="HXS3" s="3404"/>
      <c r="HXT3" s="3404"/>
      <c r="HXU3" s="3404"/>
      <c r="HXV3" s="3404"/>
      <c r="HXW3" s="3404"/>
      <c r="HXX3" s="3404"/>
      <c r="HXY3" s="3404"/>
      <c r="HXZ3" s="3404"/>
      <c r="HYA3" s="3404"/>
      <c r="HYB3" s="3404"/>
      <c r="HYC3" s="3404"/>
      <c r="HYD3" s="3404"/>
      <c r="HYE3" s="3404"/>
      <c r="HYF3" s="3404"/>
      <c r="HYG3" s="3404"/>
      <c r="HYH3" s="3404"/>
      <c r="HYI3" s="3404"/>
      <c r="HYJ3" s="3404"/>
      <c r="HYK3" s="3404"/>
      <c r="HYL3" s="3404"/>
      <c r="HYM3" s="3404"/>
      <c r="HYN3" s="3404"/>
      <c r="HYO3" s="3404"/>
      <c r="HYP3" s="3404"/>
      <c r="HYQ3" s="3404"/>
      <c r="HYR3" s="3404"/>
      <c r="HYS3" s="3404"/>
      <c r="HYT3" s="3404"/>
      <c r="HYU3" s="3404"/>
      <c r="HYV3" s="3404"/>
      <c r="HYW3" s="3404"/>
      <c r="HYX3" s="3404"/>
      <c r="HYY3" s="3404"/>
      <c r="HYZ3" s="3404"/>
      <c r="HZA3" s="3404"/>
      <c r="HZB3" s="3404"/>
      <c r="HZC3" s="3404"/>
      <c r="HZD3" s="3404"/>
      <c r="HZE3" s="3404"/>
      <c r="HZF3" s="3404"/>
      <c r="HZG3" s="3404"/>
      <c r="HZH3" s="3404"/>
      <c r="HZI3" s="3404"/>
      <c r="HZJ3" s="3404"/>
      <c r="HZK3" s="3404"/>
      <c r="HZL3" s="3404"/>
      <c r="HZM3" s="3404"/>
      <c r="HZN3" s="3404"/>
      <c r="HZO3" s="3404"/>
      <c r="HZP3" s="3404"/>
      <c r="HZQ3" s="3404"/>
      <c r="HZR3" s="3404"/>
      <c r="HZS3" s="3404"/>
      <c r="HZT3" s="3404"/>
      <c r="HZU3" s="3404"/>
      <c r="HZV3" s="3404"/>
      <c r="HZW3" s="3404"/>
      <c r="HZX3" s="3404"/>
      <c r="HZY3" s="3404"/>
      <c r="HZZ3" s="3404"/>
      <c r="IAA3" s="3404"/>
      <c r="IAB3" s="3404"/>
      <c r="IAC3" s="3404"/>
      <c r="IAD3" s="3404"/>
      <c r="IAE3" s="3404"/>
      <c r="IAF3" s="3404"/>
      <c r="IAG3" s="3404"/>
      <c r="IAH3" s="3404"/>
      <c r="IAI3" s="3404"/>
      <c r="IAJ3" s="3404"/>
      <c r="IAK3" s="3404"/>
      <c r="IAL3" s="3404"/>
      <c r="IAM3" s="3404"/>
      <c r="IAN3" s="3404"/>
      <c r="IAO3" s="3404"/>
      <c r="IAP3" s="3404"/>
      <c r="IAQ3" s="3404"/>
      <c r="IAR3" s="3404"/>
      <c r="IAS3" s="3404"/>
      <c r="IAT3" s="3404"/>
      <c r="IAU3" s="3404"/>
      <c r="IAV3" s="3404"/>
      <c r="IAW3" s="3404"/>
      <c r="IAX3" s="3404"/>
      <c r="IAY3" s="3404"/>
      <c r="IAZ3" s="3404"/>
      <c r="IBA3" s="3404"/>
      <c r="IBB3" s="3404"/>
      <c r="IBC3" s="3404"/>
      <c r="IBD3" s="3404"/>
      <c r="IBE3" s="3404"/>
      <c r="IBF3" s="3404"/>
      <c r="IBG3" s="3404"/>
      <c r="IBH3" s="3404"/>
      <c r="IBI3" s="3404"/>
      <c r="IBJ3" s="3404"/>
      <c r="IBK3" s="3404"/>
      <c r="IBL3" s="3404"/>
      <c r="IBM3" s="3404"/>
      <c r="IBN3" s="3404"/>
      <c r="IBO3" s="3404"/>
      <c r="IBP3" s="3404"/>
      <c r="IBQ3" s="3404"/>
      <c r="IBR3" s="3404"/>
      <c r="IBS3" s="3404"/>
      <c r="IBT3" s="3404"/>
      <c r="IBU3" s="3404"/>
      <c r="IBV3" s="3404"/>
      <c r="IBW3" s="3404"/>
      <c r="IBX3" s="3404"/>
      <c r="IBY3" s="3404"/>
      <c r="IBZ3" s="3404"/>
      <c r="ICA3" s="3404"/>
      <c r="ICB3" s="3404"/>
      <c r="ICC3" s="3404"/>
      <c r="ICD3" s="3404"/>
      <c r="ICE3" s="3404"/>
      <c r="ICF3" s="3404"/>
      <c r="ICG3" s="3404"/>
      <c r="ICH3" s="3404"/>
      <c r="ICI3" s="3404"/>
      <c r="ICJ3" s="3404"/>
      <c r="ICK3" s="3404"/>
      <c r="ICL3" s="3404"/>
      <c r="ICM3" s="3404"/>
      <c r="ICN3" s="3404"/>
      <c r="ICO3" s="3404"/>
      <c r="ICP3" s="3404"/>
      <c r="ICQ3" s="3404"/>
      <c r="ICR3" s="3404"/>
      <c r="ICS3" s="3404"/>
      <c r="ICT3" s="3404"/>
      <c r="ICU3" s="3404"/>
      <c r="ICV3" s="3404"/>
      <c r="ICW3" s="3404"/>
      <c r="ICX3" s="3404"/>
      <c r="ICY3" s="3404"/>
      <c r="ICZ3" s="3404"/>
      <c r="IDA3" s="3404"/>
      <c r="IDB3" s="3404"/>
      <c r="IDC3" s="3404"/>
      <c r="IDD3" s="3404"/>
      <c r="IDE3" s="3404"/>
      <c r="IDF3" s="3404"/>
      <c r="IDG3" s="3404"/>
      <c r="IDH3" s="3404"/>
      <c r="IDI3" s="3404"/>
      <c r="IDJ3" s="3404"/>
      <c r="IDK3" s="3404"/>
      <c r="IDL3" s="3404"/>
      <c r="IDM3" s="3404"/>
      <c r="IDN3" s="3404"/>
      <c r="IDO3" s="3404"/>
      <c r="IDP3" s="3404"/>
      <c r="IDQ3" s="3404"/>
      <c r="IDR3" s="3404"/>
      <c r="IDS3" s="3404"/>
      <c r="IDT3" s="3404"/>
      <c r="IDU3" s="3404"/>
      <c r="IDV3" s="3404"/>
      <c r="IDW3" s="3404"/>
      <c r="IDX3" s="3404"/>
      <c r="IDY3" s="3404"/>
      <c r="IDZ3" s="3404"/>
      <c r="IEA3" s="3404"/>
      <c r="IEB3" s="3404"/>
      <c r="IEC3" s="3404"/>
      <c r="IED3" s="3404"/>
      <c r="IEE3" s="3404"/>
      <c r="IEF3" s="3404"/>
      <c r="IEG3" s="3404"/>
      <c r="IEH3" s="3404"/>
      <c r="IEI3" s="3404"/>
      <c r="IEJ3" s="3404"/>
      <c r="IEK3" s="3404"/>
      <c r="IEL3" s="3404"/>
      <c r="IEM3" s="3404"/>
      <c r="IEN3" s="3404"/>
      <c r="IEO3" s="3404"/>
      <c r="IEP3" s="3404"/>
      <c r="IEQ3" s="3404"/>
      <c r="IER3" s="3404"/>
      <c r="IES3" s="3404"/>
      <c r="IET3" s="3404"/>
      <c r="IEU3" s="3404"/>
      <c r="IEV3" s="3404"/>
      <c r="IEW3" s="3404"/>
      <c r="IEX3" s="3404"/>
      <c r="IEY3" s="3404"/>
      <c r="IEZ3" s="3404"/>
      <c r="IFA3" s="3404"/>
      <c r="IFB3" s="3404"/>
      <c r="IFC3" s="3404"/>
      <c r="IFD3" s="3404"/>
      <c r="IFE3" s="3404"/>
      <c r="IFF3" s="3404"/>
      <c r="IFG3" s="3404"/>
      <c r="IFH3" s="3404"/>
      <c r="IFI3" s="3404"/>
      <c r="IFJ3" s="3404"/>
      <c r="IFK3" s="3404"/>
      <c r="IFL3" s="3404"/>
      <c r="IFM3" s="3404"/>
      <c r="IFN3" s="3404"/>
      <c r="IFO3" s="3404"/>
      <c r="IFP3" s="3404"/>
      <c r="IFQ3" s="3404"/>
      <c r="IFR3" s="3404"/>
      <c r="IFS3" s="3404"/>
      <c r="IFT3" s="3404"/>
      <c r="IFU3" s="3404"/>
      <c r="IFV3" s="3404"/>
      <c r="IFW3" s="3404"/>
      <c r="IFX3" s="3404"/>
      <c r="IFY3" s="3404"/>
      <c r="IFZ3" s="3404"/>
      <c r="IGA3" s="3404"/>
      <c r="IGB3" s="3404"/>
      <c r="IGC3" s="3404"/>
      <c r="IGD3" s="3404"/>
      <c r="IGE3" s="3404"/>
      <c r="IGF3" s="3404"/>
      <c r="IGG3" s="3404"/>
      <c r="IGH3" s="3404"/>
      <c r="IGI3" s="3404"/>
      <c r="IGJ3" s="3404"/>
      <c r="IGK3" s="3404"/>
      <c r="IGL3" s="3404"/>
      <c r="IGM3" s="3404"/>
      <c r="IGN3" s="3404"/>
      <c r="IGO3" s="3404"/>
      <c r="IGP3" s="3404"/>
      <c r="IGQ3" s="3404"/>
      <c r="IGR3" s="3404"/>
      <c r="IGS3" s="3404"/>
      <c r="IGT3" s="3404"/>
      <c r="IGU3" s="3404"/>
      <c r="IGV3" s="3404"/>
      <c r="IGW3" s="3404"/>
      <c r="IGX3" s="3404"/>
      <c r="IGY3" s="3404"/>
      <c r="IGZ3" s="3404"/>
      <c r="IHA3" s="3404"/>
      <c r="IHB3" s="3404"/>
      <c r="IHC3" s="3404"/>
      <c r="IHD3" s="3404"/>
      <c r="IHE3" s="3404"/>
      <c r="IHF3" s="3404"/>
      <c r="IHG3" s="3404"/>
      <c r="IHH3" s="3404"/>
      <c r="IHI3" s="3404"/>
      <c r="IHJ3" s="3404"/>
      <c r="IHK3" s="3404"/>
      <c r="IHL3" s="3404"/>
      <c r="IHM3" s="3404"/>
      <c r="IHN3" s="3404"/>
      <c r="IHO3" s="3404"/>
      <c r="IHP3" s="3404"/>
      <c r="IHQ3" s="3404"/>
      <c r="IHR3" s="3404"/>
      <c r="IHS3" s="3404"/>
      <c r="IHT3" s="3404"/>
      <c r="IHU3" s="3404"/>
      <c r="IHV3" s="3404"/>
      <c r="IHW3" s="3404"/>
      <c r="IHX3" s="3404"/>
      <c r="IHY3" s="3404"/>
      <c r="IHZ3" s="3404"/>
      <c r="IIA3" s="3404"/>
      <c r="IIB3" s="3404"/>
      <c r="IIC3" s="3404"/>
      <c r="IID3" s="3404"/>
      <c r="IIE3" s="3404"/>
      <c r="IIF3" s="3404"/>
      <c r="IIG3" s="3404"/>
      <c r="IIH3" s="3404"/>
      <c r="III3" s="3404"/>
      <c r="IIJ3" s="3404"/>
      <c r="IIK3" s="3404"/>
      <c r="IIL3" s="3404"/>
      <c r="IIM3" s="3404"/>
      <c r="IIN3" s="3404"/>
      <c r="IIO3" s="3404"/>
      <c r="IIP3" s="3404"/>
      <c r="IIQ3" s="3404"/>
      <c r="IIR3" s="3404"/>
      <c r="IIS3" s="3404"/>
      <c r="IIT3" s="3404"/>
      <c r="IIU3" s="3404"/>
      <c r="IIV3" s="3404"/>
      <c r="IIW3" s="3404"/>
      <c r="IIX3" s="3404"/>
      <c r="IIY3" s="3404"/>
      <c r="IIZ3" s="3404"/>
      <c r="IJA3" s="3404"/>
      <c r="IJB3" s="3404"/>
      <c r="IJC3" s="3404"/>
      <c r="IJD3" s="3404"/>
      <c r="IJE3" s="3404"/>
      <c r="IJF3" s="3404"/>
      <c r="IJG3" s="3404"/>
      <c r="IJH3" s="3404"/>
      <c r="IJI3" s="3404"/>
      <c r="IJJ3" s="3404"/>
      <c r="IJK3" s="3404"/>
      <c r="IJL3" s="3404"/>
      <c r="IJM3" s="3404"/>
      <c r="IJN3" s="3404"/>
      <c r="IJO3" s="3404"/>
      <c r="IJP3" s="3404"/>
      <c r="IJQ3" s="3404"/>
      <c r="IJR3" s="3404"/>
      <c r="IJS3" s="3404"/>
      <c r="IJT3" s="3404"/>
      <c r="IJU3" s="3404"/>
      <c r="IJV3" s="3404"/>
      <c r="IJW3" s="3404"/>
      <c r="IJX3" s="3404"/>
      <c r="IJY3" s="3404"/>
      <c r="IJZ3" s="3404"/>
      <c r="IKA3" s="3404"/>
      <c r="IKB3" s="3404"/>
      <c r="IKC3" s="3404"/>
      <c r="IKD3" s="3404"/>
      <c r="IKE3" s="3404"/>
      <c r="IKF3" s="3404"/>
      <c r="IKG3" s="3404"/>
      <c r="IKH3" s="3404"/>
      <c r="IKI3" s="3404"/>
      <c r="IKJ3" s="3404"/>
      <c r="IKK3" s="3404"/>
      <c r="IKL3" s="3404"/>
      <c r="IKM3" s="3404"/>
      <c r="IKN3" s="3404"/>
      <c r="IKO3" s="3404"/>
      <c r="IKP3" s="3404"/>
      <c r="IKQ3" s="3404"/>
      <c r="IKR3" s="3404"/>
      <c r="IKS3" s="3404"/>
      <c r="IKT3" s="3404"/>
      <c r="IKU3" s="3404"/>
      <c r="IKV3" s="3404"/>
      <c r="IKW3" s="3404"/>
      <c r="IKX3" s="3404"/>
      <c r="IKY3" s="3404"/>
      <c r="IKZ3" s="3404"/>
      <c r="ILA3" s="3404"/>
      <c r="ILB3" s="3404"/>
      <c r="ILC3" s="3404"/>
      <c r="ILD3" s="3404"/>
      <c r="ILE3" s="3404"/>
      <c r="ILF3" s="3404"/>
      <c r="ILG3" s="3404"/>
      <c r="ILH3" s="3404"/>
      <c r="ILI3" s="3404"/>
      <c r="ILJ3" s="3404"/>
      <c r="ILK3" s="3404"/>
      <c r="ILL3" s="3404"/>
      <c r="ILM3" s="3404"/>
      <c r="ILN3" s="3404"/>
      <c r="ILO3" s="3404"/>
      <c r="ILP3" s="3404"/>
      <c r="ILQ3" s="3404"/>
      <c r="ILR3" s="3404"/>
      <c r="ILS3" s="3404"/>
      <c r="ILT3" s="3404"/>
      <c r="ILU3" s="3404"/>
      <c r="ILV3" s="3404"/>
      <c r="ILW3" s="3404"/>
      <c r="ILX3" s="3404"/>
      <c r="ILY3" s="3404"/>
      <c r="ILZ3" s="3404"/>
      <c r="IMA3" s="3404"/>
      <c r="IMB3" s="3404"/>
      <c r="IMC3" s="3404"/>
      <c r="IMD3" s="3404"/>
      <c r="IME3" s="3404"/>
      <c r="IMF3" s="3404"/>
      <c r="IMG3" s="3404"/>
      <c r="IMH3" s="3404"/>
      <c r="IMI3" s="3404"/>
      <c r="IMJ3" s="3404"/>
      <c r="IMK3" s="3404"/>
      <c r="IML3" s="3404"/>
      <c r="IMM3" s="3404"/>
      <c r="IMN3" s="3404"/>
      <c r="IMO3" s="3404"/>
      <c r="IMP3" s="3404"/>
      <c r="IMQ3" s="3404"/>
      <c r="IMR3" s="3404"/>
      <c r="IMS3" s="3404"/>
      <c r="IMT3" s="3404"/>
      <c r="IMU3" s="3404"/>
      <c r="IMV3" s="3404"/>
      <c r="IMW3" s="3404"/>
      <c r="IMX3" s="3404"/>
      <c r="IMY3" s="3404"/>
      <c r="IMZ3" s="3404"/>
      <c r="INA3" s="3404"/>
      <c r="INB3" s="3404"/>
      <c r="INC3" s="3404"/>
      <c r="IND3" s="3404"/>
      <c r="INE3" s="3404"/>
      <c r="INF3" s="3404"/>
      <c r="ING3" s="3404"/>
      <c r="INH3" s="3404"/>
      <c r="INI3" s="3404"/>
      <c r="INJ3" s="3404"/>
      <c r="INK3" s="3404"/>
      <c r="INL3" s="3404"/>
      <c r="INM3" s="3404"/>
      <c r="INN3" s="3404"/>
      <c r="INO3" s="3404"/>
      <c r="INP3" s="3404"/>
      <c r="INQ3" s="3404"/>
      <c r="INR3" s="3404"/>
      <c r="INS3" s="3404"/>
      <c r="INT3" s="3404"/>
      <c r="INU3" s="3404"/>
      <c r="INV3" s="3404"/>
      <c r="INW3" s="3404"/>
      <c r="INX3" s="3404"/>
      <c r="INY3" s="3404"/>
      <c r="INZ3" s="3404"/>
      <c r="IOA3" s="3404"/>
      <c r="IOB3" s="3404"/>
      <c r="IOC3" s="3404"/>
      <c r="IOD3" s="3404"/>
      <c r="IOE3" s="3404"/>
      <c r="IOF3" s="3404"/>
      <c r="IOG3" s="3404"/>
      <c r="IOH3" s="3404"/>
      <c r="IOI3" s="3404"/>
      <c r="IOJ3" s="3404"/>
      <c r="IOK3" s="3404"/>
      <c r="IOL3" s="3404"/>
      <c r="IOM3" s="3404"/>
      <c r="ION3" s="3404"/>
      <c r="IOO3" s="3404"/>
      <c r="IOP3" s="3404"/>
      <c r="IOQ3" s="3404"/>
      <c r="IOR3" s="3404"/>
      <c r="IOS3" s="3404"/>
      <c r="IOT3" s="3404"/>
      <c r="IOU3" s="3404"/>
      <c r="IOV3" s="3404"/>
      <c r="IOW3" s="3404"/>
      <c r="IOX3" s="3404"/>
      <c r="IOY3" s="3404"/>
      <c r="IOZ3" s="3404"/>
      <c r="IPA3" s="3404"/>
      <c r="IPB3" s="3404"/>
      <c r="IPC3" s="3404"/>
      <c r="IPD3" s="3404"/>
      <c r="IPE3" s="3404"/>
      <c r="IPF3" s="3404"/>
      <c r="IPG3" s="3404"/>
      <c r="IPH3" s="3404"/>
      <c r="IPI3" s="3404"/>
      <c r="IPJ3" s="3404"/>
      <c r="IPK3" s="3404"/>
      <c r="IPL3" s="3404"/>
      <c r="IPM3" s="3404"/>
      <c r="IPN3" s="3404"/>
      <c r="IPO3" s="3404"/>
      <c r="IPP3" s="3404"/>
      <c r="IPQ3" s="3404"/>
      <c r="IPR3" s="3404"/>
      <c r="IPS3" s="3404"/>
      <c r="IPT3" s="3404"/>
      <c r="IPU3" s="3404"/>
      <c r="IPV3" s="3404"/>
      <c r="IPW3" s="3404"/>
      <c r="IPX3" s="3404"/>
      <c r="IPY3" s="3404"/>
      <c r="IPZ3" s="3404"/>
      <c r="IQA3" s="3404"/>
      <c r="IQB3" s="3404"/>
      <c r="IQC3" s="3404"/>
      <c r="IQD3" s="3404"/>
      <c r="IQE3" s="3404"/>
      <c r="IQF3" s="3404"/>
      <c r="IQG3" s="3404"/>
      <c r="IQH3" s="3404"/>
      <c r="IQI3" s="3404"/>
      <c r="IQJ3" s="3404"/>
      <c r="IQK3" s="3404"/>
      <c r="IQL3" s="3404"/>
      <c r="IQM3" s="3404"/>
      <c r="IQN3" s="3404"/>
      <c r="IQO3" s="3404"/>
      <c r="IQP3" s="3404"/>
      <c r="IQQ3" s="3404"/>
      <c r="IQR3" s="3404"/>
      <c r="IQS3" s="3404"/>
      <c r="IQT3" s="3404"/>
      <c r="IQU3" s="3404"/>
      <c r="IQV3" s="3404"/>
      <c r="IQW3" s="3404"/>
      <c r="IQX3" s="3404"/>
      <c r="IQY3" s="3404"/>
      <c r="IQZ3" s="3404"/>
      <c r="IRA3" s="3404"/>
      <c r="IRB3" s="3404"/>
      <c r="IRC3" s="3404"/>
      <c r="IRD3" s="3404"/>
      <c r="IRE3" s="3404"/>
      <c r="IRF3" s="3404"/>
      <c r="IRG3" s="3404"/>
      <c r="IRH3" s="3404"/>
      <c r="IRI3" s="3404"/>
      <c r="IRJ3" s="3404"/>
      <c r="IRK3" s="3404"/>
      <c r="IRL3" s="3404"/>
      <c r="IRM3" s="3404"/>
      <c r="IRN3" s="3404"/>
      <c r="IRO3" s="3404"/>
      <c r="IRP3" s="3404"/>
      <c r="IRQ3" s="3404"/>
      <c r="IRR3" s="3404"/>
      <c r="IRS3" s="3404"/>
      <c r="IRT3" s="3404"/>
      <c r="IRU3" s="3404"/>
      <c r="IRV3" s="3404"/>
      <c r="IRW3" s="3404"/>
      <c r="IRX3" s="3404"/>
      <c r="IRY3" s="3404"/>
      <c r="IRZ3" s="3404"/>
      <c r="ISA3" s="3404"/>
      <c r="ISB3" s="3404"/>
      <c r="ISC3" s="3404"/>
      <c r="ISD3" s="3404"/>
      <c r="ISE3" s="3404"/>
      <c r="ISF3" s="3404"/>
      <c r="ISG3" s="3404"/>
      <c r="ISH3" s="3404"/>
      <c r="ISI3" s="3404"/>
      <c r="ISJ3" s="3404"/>
      <c r="ISK3" s="3404"/>
      <c r="ISL3" s="3404"/>
      <c r="ISM3" s="3404"/>
      <c r="ISN3" s="3404"/>
      <c r="ISO3" s="3404"/>
      <c r="ISP3" s="3404"/>
      <c r="ISQ3" s="3404"/>
      <c r="ISR3" s="3404"/>
      <c r="ISS3" s="3404"/>
      <c r="IST3" s="3404"/>
      <c r="ISU3" s="3404"/>
      <c r="ISV3" s="3404"/>
      <c r="ISW3" s="3404"/>
      <c r="ISX3" s="3404"/>
      <c r="ISY3" s="3404"/>
      <c r="ISZ3" s="3404"/>
      <c r="ITA3" s="3404"/>
      <c r="ITB3" s="3404"/>
      <c r="ITC3" s="3404"/>
      <c r="ITD3" s="3404"/>
      <c r="ITE3" s="3404"/>
      <c r="ITF3" s="3404"/>
      <c r="ITG3" s="3404"/>
      <c r="ITH3" s="3404"/>
      <c r="ITI3" s="3404"/>
      <c r="ITJ3" s="3404"/>
      <c r="ITK3" s="3404"/>
      <c r="ITL3" s="3404"/>
      <c r="ITM3" s="3404"/>
      <c r="ITN3" s="3404"/>
      <c r="ITO3" s="3404"/>
      <c r="ITP3" s="3404"/>
      <c r="ITQ3" s="3404"/>
      <c r="ITR3" s="3404"/>
      <c r="ITS3" s="3404"/>
      <c r="ITT3" s="3404"/>
      <c r="ITU3" s="3404"/>
      <c r="ITV3" s="3404"/>
      <c r="ITW3" s="3404"/>
      <c r="ITX3" s="3404"/>
      <c r="ITY3" s="3404"/>
      <c r="ITZ3" s="3404"/>
      <c r="IUA3" s="3404"/>
      <c r="IUB3" s="3404"/>
      <c r="IUC3" s="3404"/>
      <c r="IUD3" s="3404"/>
      <c r="IUE3" s="3404"/>
      <c r="IUF3" s="3404"/>
      <c r="IUG3" s="3404"/>
      <c r="IUH3" s="3404"/>
      <c r="IUI3" s="3404"/>
      <c r="IUJ3" s="3404"/>
      <c r="IUK3" s="3404"/>
      <c r="IUL3" s="3404"/>
      <c r="IUM3" s="3404"/>
      <c r="IUN3" s="3404"/>
      <c r="IUO3" s="3404"/>
      <c r="IUP3" s="3404"/>
      <c r="IUQ3" s="3404"/>
      <c r="IUR3" s="3404"/>
      <c r="IUS3" s="3404"/>
      <c r="IUT3" s="3404"/>
      <c r="IUU3" s="3404"/>
      <c r="IUV3" s="3404"/>
      <c r="IUW3" s="3404"/>
      <c r="IUX3" s="3404"/>
      <c r="IUY3" s="3404"/>
      <c r="IUZ3" s="3404"/>
      <c r="IVA3" s="3404"/>
      <c r="IVB3" s="3404"/>
      <c r="IVC3" s="3404"/>
      <c r="IVD3" s="3404"/>
      <c r="IVE3" s="3404"/>
      <c r="IVF3" s="3404"/>
      <c r="IVG3" s="3404"/>
      <c r="IVH3" s="3404"/>
      <c r="IVI3" s="3404"/>
      <c r="IVJ3" s="3404"/>
      <c r="IVK3" s="3404"/>
      <c r="IVL3" s="3404"/>
      <c r="IVM3" s="3404"/>
      <c r="IVN3" s="3404"/>
      <c r="IVO3" s="3404"/>
      <c r="IVP3" s="3404"/>
      <c r="IVQ3" s="3404"/>
      <c r="IVR3" s="3404"/>
      <c r="IVS3" s="3404"/>
      <c r="IVT3" s="3404"/>
      <c r="IVU3" s="3404"/>
      <c r="IVV3" s="3404"/>
      <c r="IVW3" s="3404"/>
      <c r="IVX3" s="3404"/>
      <c r="IVY3" s="3404"/>
      <c r="IVZ3" s="3404"/>
      <c r="IWA3" s="3404"/>
      <c r="IWB3" s="3404"/>
      <c r="IWC3" s="3404"/>
      <c r="IWD3" s="3404"/>
      <c r="IWE3" s="3404"/>
      <c r="IWF3" s="3404"/>
      <c r="IWG3" s="3404"/>
      <c r="IWH3" s="3404"/>
      <c r="IWI3" s="3404"/>
      <c r="IWJ3" s="3404"/>
      <c r="IWK3" s="3404"/>
      <c r="IWL3" s="3404"/>
      <c r="IWM3" s="3404"/>
      <c r="IWN3" s="3404"/>
      <c r="IWO3" s="3404"/>
      <c r="IWP3" s="3404"/>
      <c r="IWQ3" s="3404"/>
      <c r="IWR3" s="3404"/>
      <c r="IWS3" s="3404"/>
      <c r="IWT3" s="3404"/>
      <c r="IWU3" s="3404"/>
      <c r="IWV3" s="3404"/>
      <c r="IWW3" s="3404"/>
      <c r="IWX3" s="3404"/>
      <c r="IWY3" s="3404"/>
      <c r="IWZ3" s="3404"/>
      <c r="IXA3" s="3404"/>
      <c r="IXB3" s="3404"/>
      <c r="IXC3" s="3404"/>
      <c r="IXD3" s="3404"/>
      <c r="IXE3" s="3404"/>
      <c r="IXF3" s="3404"/>
      <c r="IXG3" s="3404"/>
      <c r="IXH3" s="3404"/>
      <c r="IXI3" s="3404"/>
      <c r="IXJ3" s="3404"/>
      <c r="IXK3" s="3404"/>
      <c r="IXL3" s="3404"/>
      <c r="IXM3" s="3404"/>
      <c r="IXN3" s="3404"/>
      <c r="IXO3" s="3404"/>
      <c r="IXP3" s="3404"/>
      <c r="IXQ3" s="3404"/>
      <c r="IXR3" s="3404"/>
      <c r="IXS3" s="3404"/>
      <c r="IXT3" s="3404"/>
      <c r="IXU3" s="3404"/>
      <c r="IXV3" s="3404"/>
      <c r="IXW3" s="3404"/>
      <c r="IXX3" s="3404"/>
      <c r="IXY3" s="3404"/>
      <c r="IXZ3" s="3404"/>
      <c r="IYA3" s="3404"/>
      <c r="IYB3" s="3404"/>
      <c r="IYC3" s="3404"/>
      <c r="IYD3" s="3404"/>
      <c r="IYE3" s="3404"/>
      <c r="IYF3" s="3404"/>
      <c r="IYG3" s="3404"/>
      <c r="IYH3" s="3404"/>
      <c r="IYI3" s="3404"/>
      <c r="IYJ3" s="3404"/>
      <c r="IYK3" s="3404"/>
      <c r="IYL3" s="3404"/>
      <c r="IYM3" s="3404"/>
      <c r="IYN3" s="3404"/>
      <c r="IYO3" s="3404"/>
      <c r="IYP3" s="3404"/>
      <c r="IYQ3" s="3404"/>
      <c r="IYR3" s="3404"/>
      <c r="IYS3" s="3404"/>
      <c r="IYT3" s="3404"/>
      <c r="IYU3" s="3404"/>
      <c r="IYV3" s="3404"/>
      <c r="IYW3" s="3404"/>
      <c r="IYX3" s="3404"/>
      <c r="IYY3" s="3404"/>
      <c r="IYZ3" s="3404"/>
      <c r="IZA3" s="3404"/>
      <c r="IZB3" s="3404"/>
      <c r="IZC3" s="3404"/>
      <c r="IZD3" s="3404"/>
      <c r="IZE3" s="3404"/>
      <c r="IZF3" s="3404"/>
      <c r="IZG3" s="3404"/>
      <c r="IZH3" s="3404"/>
      <c r="IZI3" s="3404"/>
      <c r="IZJ3" s="3404"/>
      <c r="IZK3" s="3404"/>
      <c r="IZL3" s="3404"/>
      <c r="IZM3" s="3404"/>
      <c r="IZN3" s="3404"/>
      <c r="IZO3" s="3404"/>
      <c r="IZP3" s="3404"/>
      <c r="IZQ3" s="3404"/>
      <c r="IZR3" s="3404"/>
      <c r="IZS3" s="3404"/>
      <c r="IZT3" s="3404"/>
      <c r="IZU3" s="3404"/>
      <c r="IZV3" s="3404"/>
      <c r="IZW3" s="3404"/>
      <c r="IZX3" s="3404"/>
      <c r="IZY3" s="3404"/>
      <c r="IZZ3" s="3404"/>
      <c r="JAA3" s="3404"/>
      <c r="JAB3" s="3404"/>
      <c r="JAC3" s="3404"/>
      <c r="JAD3" s="3404"/>
      <c r="JAE3" s="3404"/>
      <c r="JAF3" s="3404"/>
      <c r="JAG3" s="3404"/>
      <c r="JAH3" s="3404"/>
      <c r="JAI3" s="3404"/>
      <c r="JAJ3" s="3404"/>
      <c r="JAK3" s="3404"/>
      <c r="JAL3" s="3404"/>
      <c r="JAM3" s="3404"/>
      <c r="JAN3" s="3404"/>
      <c r="JAO3" s="3404"/>
      <c r="JAP3" s="3404"/>
      <c r="JAQ3" s="3404"/>
      <c r="JAR3" s="3404"/>
      <c r="JAS3" s="3404"/>
      <c r="JAT3" s="3404"/>
      <c r="JAU3" s="3404"/>
      <c r="JAV3" s="3404"/>
      <c r="JAW3" s="3404"/>
      <c r="JAX3" s="3404"/>
      <c r="JAY3" s="3404"/>
      <c r="JAZ3" s="3404"/>
      <c r="JBA3" s="3404"/>
      <c r="JBB3" s="3404"/>
      <c r="JBC3" s="3404"/>
      <c r="JBD3" s="3404"/>
      <c r="JBE3" s="3404"/>
      <c r="JBF3" s="3404"/>
      <c r="JBG3" s="3404"/>
      <c r="JBH3" s="3404"/>
      <c r="JBI3" s="3404"/>
      <c r="JBJ3" s="3404"/>
      <c r="JBK3" s="3404"/>
      <c r="JBL3" s="3404"/>
      <c r="JBM3" s="3404"/>
      <c r="JBN3" s="3404"/>
      <c r="JBO3" s="3404"/>
      <c r="JBP3" s="3404"/>
      <c r="JBQ3" s="3404"/>
      <c r="JBR3" s="3404"/>
      <c r="JBS3" s="3404"/>
      <c r="JBT3" s="3404"/>
      <c r="JBU3" s="3404"/>
      <c r="JBV3" s="3404"/>
      <c r="JBW3" s="3404"/>
      <c r="JBX3" s="3404"/>
      <c r="JBY3" s="3404"/>
      <c r="JBZ3" s="3404"/>
      <c r="JCA3" s="3404"/>
      <c r="JCB3" s="3404"/>
      <c r="JCC3" s="3404"/>
      <c r="JCD3" s="3404"/>
      <c r="JCE3" s="3404"/>
      <c r="JCF3" s="3404"/>
      <c r="JCG3" s="3404"/>
      <c r="JCH3" s="3404"/>
      <c r="JCI3" s="3404"/>
      <c r="JCJ3" s="3404"/>
      <c r="JCK3" s="3404"/>
      <c r="JCL3" s="3404"/>
      <c r="JCM3" s="3404"/>
      <c r="JCN3" s="3404"/>
      <c r="JCO3" s="3404"/>
      <c r="JCP3" s="3404"/>
      <c r="JCQ3" s="3404"/>
      <c r="JCR3" s="3404"/>
      <c r="JCS3" s="3404"/>
      <c r="JCT3" s="3404"/>
      <c r="JCU3" s="3404"/>
      <c r="JCV3" s="3404"/>
      <c r="JCW3" s="3404"/>
      <c r="JCX3" s="3404"/>
      <c r="JCY3" s="3404"/>
      <c r="JCZ3" s="3404"/>
      <c r="JDA3" s="3404"/>
      <c r="JDB3" s="3404"/>
      <c r="JDC3" s="3404"/>
      <c r="JDD3" s="3404"/>
      <c r="JDE3" s="3404"/>
      <c r="JDF3" s="3404"/>
      <c r="JDG3" s="3404"/>
      <c r="JDH3" s="3404"/>
      <c r="JDI3" s="3404"/>
      <c r="JDJ3" s="3404"/>
      <c r="JDK3" s="3404"/>
      <c r="JDL3" s="3404"/>
      <c r="JDM3" s="3404"/>
      <c r="JDN3" s="3404"/>
      <c r="JDO3" s="3404"/>
      <c r="JDP3" s="3404"/>
      <c r="JDQ3" s="3404"/>
      <c r="JDR3" s="3404"/>
      <c r="JDS3" s="3404"/>
      <c r="JDT3" s="3404"/>
      <c r="JDU3" s="3404"/>
      <c r="JDV3" s="3404"/>
      <c r="JDW3" s="3404"/>
      <c r="JDX3" s="3404"/>
      <c r="JDY3" s="3404"/>
      <c r="JDZ3" s="3404"/>
      <c r="JEA3" s="3404"/>
      <c r="JEB3" s="3404"/>
      <c r="JEC3" s="3404"/>
      <c r="JED3" s="3404"/>
      <c r="JEE3" s="3404"/>
      <c r="JEF3" s="3404"/>
      <c r="JEG3" s="3404"/>
      <c r="JEH3" s="3404"/>
      <c r="JEI3" s="3404"/>
      <c r="JEJ3" s="3404"/>
      <c r="JEK3" s="3404"/>
      <c r="JEL3" s="3404"/>
      <c r="JEM3" s="3404"/>
      <c r="JEN3" s="3404"/>
      <c r="JEO3" s="3404"/>
      <c r="JEP3" s="3404"/>
      <c r="JEQ3" s="3404"/>
      <c r="JER3" s="3404"/>
      <c r="JES3" s="3404"/>
      <c r="JET3" s="3404"/>
      <c r="JEU3" s="3404"/>
      <c r="JEV3" s="3404"/>
      <c r="JEW3" s="3404"/>
      <c r="JEX3" s="3404"/>
      <c r="JEY3" s="3404"/>
      <c r="JEZ3" s="3404"/>
      <c r="JFA3" s="3404"/>
      <c r="JFB3" s="3404"/>
      <c r="JFC3" s="3404"/>
      <c r="JFD3" s="3404"/>
      <c r="JFE3" s="3404"/>
      <c r="JFF3" s="3404"/>
      <c r="JFG3" s="3404"/>
      <c r="JFH3" s="3404"/>
      <c r="JFI3" s="3404"/>
      <c r="JFJ3" s="3404"/>
      <c r="JFK3" s="3404"/>
      <c r="JFL3" s="3404"/>
      <c r="JFM3" s="3404"/>
      <c r="JFN3" s="3404"/>
      <c r="JFO3" s="3404"/>
      <c r="JFP3" s="3404"/>
      <c r="JFQ3" s="3404"/>
      <c r="JFR3" s="3404"/>
      <c r="JFS3" s="3404"/>
      <c r="JFT3" s="3404"/>
      <c r="JFU3" s="3404"/>
      <c r="JFV3" s="3404"/>
      <c r="JFW3" s="3404"/>
      <c r="JFX3" s="3404"/>
      <c r="JFY3" s="3404"/>
      <c r="JFZ3" s="3404"/>
      <c r="JGA3" s="3404"/>
      <c r="JGB3" s="3404"/>
      <c r="JGC3" s="3404"/>
      <c r="JGD3" s="3404"/>
      <c r="JGE3" s="3404"/>
      <c r="JGF3" s="3404"/>
      <c r="JGG3" s="3404"/>
      <c r="JGH3" s="3404"/>
      <c r="JGI3" s="3404"/>
      <c r="JGJ3" s="3404"/>
      <c r="JGK3" s="3404"/>
      <c r="JGL3" s="3404"/>
      <c r="JGM3" s="3404"/>
      <c r="JGN3" s="3404"/>
      <c r="JGO3" s="3404"/>
      <c r="JGP3" s="3404"/>
      <c r="JGQ3" s="3404"/>
      <c r="JGR3" s="3404"/>
      <c r="JGS3" s="3404"/>
      <c r="JGT3" s="3404"/>
      <c r="JGU3" s="3404"/>
      <c r="JGV3" s="3404"/>
      <c r="JGW3" s="3404"/>
      <c r="JGX3" s="3404"/>
      <c r="JGY3" s="3404"/>
      <c r="JGZ3" s="3404"/>
      <c r="JHA3" s="3404"/>
      <c r="JHB3" s="3404"/>
      <c r="JHC3" s="3404"/>
      <c r="JHD3" s="3404"/>
      <c r="JHE3" s="3404"/>
      <c r="JHF3" s="3404"/>
      <c r="JHG3" s="3404"/>
      <c r="JHH3" s="3404"/>
      <c r="JHI3" s="3404"/>
      <c r="JHJ3" s="3404"/>
      <c r="JHK3" s="3404"/>
      <c r="JHL3" s="3404"/>
      <c r="JHM3" s="3404"/>
      <c r="JHN3" s="3404"/>
      <c r="JHO3" s="3404"/>
      <c r="JHP3" s="3404"/>
      <c r="JHQ3" s="3404"/>
      <c r="JHR3" s="3404"/>
      <c r="JHS3" s="3404"/>
      <c r="JHT3" s="3404"/>
      <c r="JHU3" s="3404"/>
      <c r="JHV3" s="3404"/>
      <c r="JHW3" s="3404"/>
      <c r="JHX3" s="3404"/>
      <c r="JHY3" s="3404"/>
      <c r="JHZ3" s="3404"/>
      <c r="JIA3" s="3404"/>
      <c r="JIB3" s="3404"/>
      <c r="JIC3" s="3404"/>
      <c r="JID3" s="3404"/>
      <c r="JIE3" s="3404"/>
      <c r="JIF3" s="3404"/>
      <c r="JIG3" s="3404"/>
      <c r="JIH3" s="3404"/>
      <c r="JII3" s="3404"/>
      <c r="JIJ3" s="3404"/>
      <c r="JIK3" s="3404"/>
      <c r="JIL3" s="3404"/>
      <c r="JIM3" s="3404"/>
      <c r="JIN3" s="3404"/>
      <c r="JIO3" s="3404"/>
      <c r="JIP3" s="3404"/>
      <c r="JIQ3" s="3404"/>
      <c r="JIR3" s="3404"/>
      <c r="JIS3" s="3404"/>
      <c r="JIT3" s="3404"/>
      <c r="JIU3" s="3404"/>
      <c r="JIV3" s="3404"/>
      <c r="JIW3" s="3404"/>
      <c r="JIX3" s="3404"/>
      <c r="JIY3" s="3404"/>
      <c r="JIZ3" s="3404"/>
      <c r="JJA3" s="3404"/>
      <c r="JJB3" s="3404"/>
      <c r="JJC3" s="3404"/>
      <c r="JJD3" s="3404"/>
      <c r="JJE3" s="3404"/>
      <c r="JJF3" s="3404"/>
      <c r="JJG3" s="3404"/>
      <c r="JJH3" s="3404"/>
      <c r="JJI3" s="3404"/>
      <c r="JJJ3" s="3404"/>
      <c r="JJK3" s="3404"/>
      <c r="JJL3" s="3404"/>
      <c r="JJM3" s="3404"/>
      <c r="JJN3" s="3404"/>
      <c r="JJO3" s="3404"/>
      <c r="JJP3" s="3404"/>
      <c r="JJQ3" s="3404"/>
      <c r="JJR3" s="3404"/>
      <c r="JJS3" s="3404"/>
      <c r="JJT3" s="3404"/>
      <c r="JJU3" s="3404"/>
      <c r="JJV3" s="3404"/>
      <c r="JJW3" s="3404"/>
      <c r="JJX3" s="3404"/>
      <c r="JJY3" s="3404"/>
      <c r="JJZ3" s="3404"/>
      <c r="JKA3" s="3404"/>
      <c r="JKB3" s="3404"/>
      <c r="JKC3" s="3404"/>
      <c r="JKD3" s="3404"/>
      <c r="JKE3" s="3404"/>
      <c r="JKF3" s="3404"/>
      <c r="JKG3" s="3404"/>
      <c r="JKH3" s="3404"/>
      <c r="JKI3" s="3404"/>
      <c r="JKJ3" s="3404"/>
      <c r="JKK3" s="3404"/>
      <c r="JKL3" s="3404"/>
      <c r="JKM3" s="3404"/>
      <c r="JKN3" s="3404"/>
      <c r="JKO3" s="3404"/>
      <c r="JKP3" s="3404"/>
      <c r="JKQ3" s="3404"/>
      <c r="JKR3" s="3404"/>
      <c r="JKS3" s="3404"/>
      <c r="JKT3" s="3404"/>
      <c r="JKU3" s="3404"/>
      <c r="JKV3" s="3404"/>
      <c r="JKW3" s="3404"/>
      <c r="JKX3" s="3404"/>
      <c r="JKY3" s="3404"/>
      <c r="JKZ3" s="3404"/>
      <c r="JLA3" s="3404"/>
      <c r="JLB3" s="3404"/>
      <c r="JLC3" s="3404"/>
      <c r="JLD3" s="3404"/>
      <c r="JLE3" s="3404"/>
      <c r="JLF3" s="3404"/>
      <c r="JLG3" s="3404"/>
      <c r="JLH3" s="3404"/>
      <c r="JLI3" s="3404"/>
      <c r="JLJ3" s="3404"/>
      <c r="JLK3" s="3404"/>
      <c r="JLL3" s="3404"/>
      <c r="JLM3" s="3404"/>
      <c r="JLN3" s="3404"/>
      <c r="JLO3" s="3404"/>
      <c r="JLP3" s="3404"/>
      <c r="JLQ3" s="3404"/>
      <c r="JLR3" s="3404"/>
      <c r="JLS3" s="3404"/>
      <c r="JLT3" s="3404"/>
      <c r="JLU3" s="3404"/>
      <c r="JLV3" s="3404"/>
      <c r="JLW3" s="3404"/>
      <c r="JLX3" s="3404"/>
      <c r="JLY3" s="3404"/>
      <c r="JLZ3" s="3404"/>
      <c r="JMA3" s="3404"/>
      <c r="JMB3" s="3404"/>
      <c r="JMC3" s="3404"/>
      <c r="JMD3" s="3404"/>
      <c r="JME3" s="3404"/>
      <c r="JMF3" s="3404"/>
      <c r="JMG3" s="3404"/>
      <c r="JMH3" s="3404"/>
      <c r="JMI3" s="3404"/>
      <c r="JMJ3" s="3404"/>
      <c r="JMK3" s="3404"/>
      <c r="JML3" s="3404"/>
      <c r="JMM3" s="3404"/>
      <c r="JMN3" s="3404"/>
      <c r="JMO3" s="3404"/>
      <c r="JMP3" s="3404"/>
      <c r="JMQ3" s="3404"/>
      <c r="JMR3" s="3404"/>
      <c r="JMS3" s="3404"/>
      <c r="JMT3" s="3404"/>
      <c r="JMU3" s="3404"/>
      <c r="JMV3" s="3404"/>
      <c r="JMW3" s="3404"/>
      <c r="JMX3" s="3404"/>
      <c r="JMY3" s="3404"/>
      <c r="JMZ3" s="3404"/>
      <c r="JNA3" s="3404"/>
      <c r="JNB3" s="3404"/>
      <c r="JNC3" s="3404"/>
      <c r="JND3" s="3404"/>
      <c r="JNE3" s="3404"/>
      <c r="JNF3" s="3404"/>
      <c r="JNG3" s="3404"/>
      <c r="JNH3" s="3404"/>
      <c r="JNI3" s="3404"/>
      <c r="JNJ3" s="3404"/>
      <c r="JNK3" s="3404"/>
      <c r="JNL3" s="3404"/>
      <c r="JNM3" s="3404"/>
      <c r="JNN3" s="3404"/>
      <c r="JNO3" s="3404"/>
      <c r="JNP3" s="3404"/>
      <c r="JNQ3" s="3404"/>
      <c r="JNR3" s="3404"/>
      <c r="JNS3" s="3404"/>
      <c r="JNT3" s="3404"/>
      <c r="JNU3" s="3404"/>
      <c r="JNV3" s="3404"/>
      <c r="JNW3" s="3404"/>
      <c r="JNX3" s="3404"/>
      <c r="JNY3" s="3404"/>
      <c r="JNZ3" s="3404"/>
      <c r="JOA3" s="3404"/>
      <c r="JOB3" s="3404"/>
      <c r="JOC3" s="3404"/>
      <c r="JOD3" s="3404"/>
      <c r="JOE3" s="3404"/>
      <c r="JOF3" s="3404"/>
      <c r="JOG3" s="3404"/>
      <c r="JOH3" s="3404"/>
      <c r="JOI3" s="3404"/>
      <c r="JOJ3" s="3404"/>
      <c r="JOK3" s="3404"/>
      <c r="JOL3" s="3404"/>
      <c r="JOM3" s="3404"/>
      <c r="JON3" s="3404"/>
      <c r="JOO3" s="3404"/>
      <c r="JOP3" s="3404"/>
      <c r="JOQ3" s="3404"/>
      <c r="JOR3" s="3404"/>
      <c r="JOS3" s="3404"/>
      <c r="JOT3" s="3404"/>
      <c r="JOU3" s="3404"/>
      <c r="JOV3" s="3404"/>
      <c r="JOW3" s="3404"/>
      <c r="JOX3" s="3404"/>
      <c r="JOY3" s="3404"/>
      <c r="JOZ3" s="3404"/>
      <c r="JPA3" s="3404"/>
      <c r="JPB3" s="3404"/>
      <c r="JPC3" s="3404"/>
      <c r="JPD3" s="3404"/>
      <c r="JPE3" s="3404"/>
      <c r="JPF3" s="3404"/>
      <c r="JPG3" s="3404"/>
      <c r="JPH3" s="3404"/>
      <c r="JPI3" s="3404"/>
      <c r="JPJ3" s="3404"/>
      <c r="JPK3" s="3404"/>
      <c r="JPL3" s="3404"/>
      <c r="JPM3" s="3404"/>
      <c r="JPN3" s="3404"/>
      <c r="JPO3" s="3404"/>
      <c r="JPP3" s="3404"/>
      <c r="JPQ3" s="3404"/>
      <c r="JPR3" s="3404"/>
      <c r="JPS3" s="3404"/>
      <c r="JPT3" s="3404"/>
      <c r="JPU3" s="3404"/>
      <c r="JPV3" s="3404"/>
      <c r="JPW3" s="3404"/>
      <c r="JPX3" s="3404"/>
      <c r="JPY3" s="3404"/>
      <c r="JPZ3" s="3404"/>
      <c r="JQA3" s="3404"/>
      <c r="JQB3" s="3404"/>
      <c r="JQC3" s="3404"/>
      <c r="JQD3" s="3404"/>
      <c r="JQE3" s="3404"/>
      <c r="JQF3" s="3404"/>
      <c r="JQG3" s="3404"/>
      <c r="JQH3" s="3404"/>
      <c r="JQI3" s="3404"/>
      <c r="JQJ3" s="3404"/>
      <c r="JQK3" s="3404"/>
      <c r="JQL3" s="3404"/>
      <c r="JQM3" s="3404"/>
      <c r="JQN3" s="3404"/>
      <c r="JQO3" s="3404"/>
      <c r="JQP3" s="3404"/>
      <c r="JQQ3" s="3404"/>
      <c r="JQR3" s="3404"/>
      <c r="JQS3" s="3404"/>
      <c r="JQT3" s="3404"/>
      <c r="JQU3" s="3404"/>
      <c r="JQV3" s="3404"/>
      <c r="JQW3" s="3404"/>
      <c r="JQX3" s="3404"/>
      <c r="JQY3" s="3404"/>
      <c r="JQZ3" s="3404"/>
      <c r="JRA3" s="3404"/>
      <c r="JRB3" s="3404"/>
      <c r="JRC3" s="3404"/>
      <c r="JRD3" s="3404"/>
      <c r="JRE3" s="3404"/>
      <c r="JRF3" s="3404"/>
      <c r="JRG3" s="3404"/>
      <c r="JRH3" s="3404"/>
      <c r="JRI3" s="3404"/>
      <c r="JRJ3" s="3404"/>
      <c r="JRK3" s="3404"/>
      <c r="JRL3" s="3404"/>
      <c r="JRM3" s="3404"/>
      <c r="JRN3" s="3404"/>
      <c r="JRO3" s="3404"/>
      <c r="JRP3" s="3404"/>
      <c r="JRQ3" s="3404"/>
      <c r="JRR3" s="3404"/>
      <c r="JRS3" s="3404"/>
      <c r="JRT3" s="3404"/>
      <c r="JRU3" s="3404"/>
      <c r="JRV3" s="3404"/>
      <c r="JRW3" s="3404"/>
      <c r="JRX3" s="3404"/>
      <c r="JRY3" s="3404"/>
      <c r="JRZ3" s="3404"/>
      <c r="JSA3" s="3404"/>
      <c r="JSB3" s="3404"/>
      <c r="JSC3" s="3404"/>
      <c r="JSD3" s="3404"/>
      <c r="JSE3" s="3404"/>
      <c r="JSF3" s="3404"/>
      <c r="JSG3" s="3404"/>
      <c r="JSH3" s="3404"/>
      <c r="JSI3" s="3404"/>
      <c r="JSJ3" s="3404"/>
      <c r="JSK3" s="3404"/>
      <c r="JSL3" s="3404"/>
      <c r="JSM3" s="3404"/>
      <c r="JSN3" s="3404"/>
      <c r="JSO3" s="3404"/>
      <c r="JSP3" s="3404"/>
      <c r="JSQ3" s="3404"/>
      <c r="JSR3" s="3404"/>
      <c r="JSS3" s="3404"/>
      <c r="JST3" s="3404"/>
      <c r="JSU3" s="3404"/>
      <c r="JSV3" s="3404"/>
      <c r="JSW3" s="3404"/>
      <c r="JSX3" s="3404"/>
      <c r="JSY3" s="3404"/>
      <c r="JSZ3" s="3404"/>
      <c r="JTA3" s="3404"/>
      <c r="JTB3" s="3404"/>
      <c r="JTC3" s="3404"/>
      <c r="JTD3" s="3404"/>
      <c r="JTE3" s="3404"/>
      <c r="JTF3" s="3404"/>
      <c r="JTG3" s="3404"/>
      <c r="JTH3" s="3404"/>
      <c r="JTI3" s="3404"/>
      <c r="JTJ3" s="3404"/>
      <c r="JTK3" s="3404"/>
      <c r="JTL3" s="3404"/>
      <c r="JTM3" s="3404"/>
      <c r="JTN3" s="3404"/>
      <c r="JTO3" s="3404"/>
      <c r="JTP3" s="3404"/>
      <c r="JTQ3" s="3404"/>
      <c r="JTR3" s="3404"/>
      <c r="JTS3" s="3404"/>
      <c r="JTT3" s="3404"/>
      <c r="JTU3" s="3404"/>
      <c r="JTV3" s="3404"/>
      <c r="JTW3" s="3404"/>
      <c r="JTX3" s="3404"/>
      <c r="JTY3" s="3404"/>
      <c r="JTZ3" s="3404"/>
      <c r="JUA3" s="3404"/>
      <c r="JUB3" s="3404"/>
      <c r="JUC3" s="3404"/>
      <c r="JUD3" s="3404"/>
      <c r="JUE3" s="3404"/>
      <c r="JUF3" s="3404"/>
      <c r="JUG3" s="3404"/>
      <c r="JUH3" s="3404"/>
      <c r="JUI3" s="3404"/>
      <c r="JUJ3" s="3404"/>
      <c r="JUK3" s="3404"/>
      <c r="JUL3" s="3404"/>
      <c r="JUM3" s="3404"/>
      <c r="JUN3" s="3404"/>
      <c r="JUO3" s="3404"/>
      <c r="JUP3" s="3404"/>
      <c r="JUQ3" s="3404"/>
      <c r="JUR3" s="3404"/>
      <c r="JUS3" s="3404"/>
      <c r="JUT3" s="3404"/>
      <c r="JUU3" s="3404"/>
      <c r="JUV3" s="3404"/>
      <c r="JUW3" s="3404"/>
      <c r="JUX3" s="3404"/>
      <c r="JUY3" s="3404"/>
      <c r="JUZ3" s="3404"/>
      <c r="JVA3" s="3404"/>
      <c r="JVB3" s="3404"/>
      <c r="JVC3" s="3404"/>
      <c r="JVD3" s="3404"/>
      <c r="JVE3" s="3404"/>
      <c r="JVF3" s="3404"/>
      <c r="JVG3" s="3404"/>
      <c r="JVH3" s="3404"/>
      <c r="JVI3" s="3404"/>
      <c r="JVJ3" s="3404"/>
      <c r="JVK3" s="3404"/>
      <c r="JVL3" s="3404"/>
      <c r="JVM3" s="3404"/>
      <c r="JVN3" s="3404"/>
      <c r="JVO3" s="3404"/>
      <c r="JVP3" s="3404"/>
      <c r="JVQ3" s="3404"/>
      <c r="JVR3" s="3404"/>
      <c r="JVS3" s="3404"/>
      <c r="JVT3" s="3404"/>
      <c r="JVU3" s="3404"/>
      <c r="JVV3" s="3404"/>
      <c r="JVW3" s="3404"/>
      <c r="JVX3" s="3404"/>
      <c r="JVY3" s="3404"/>
      <c r="JVZ3" s="3404"/>
      <c r="JWA3" s="3404"/>
      <c r="JWB3" s="3404"/>
      <c r="JWC3" s="3404"/>
      <c r="JWD3" s="3404"/>
      <c r="JWE3" s="3404"/>
      <c r="JWF3" s="3404"/>
      <c r="JWG3" s="3404"/>
      <c r="JWH3" s="3404"/>
      <c r="JWI3" s="3404"/>
      <c r="JWJ3" s="3404"/>
      <c r="JWK3" s="3404"/>
      <c r="JWL3" s="3404"/>
      <c r="JWM3" s="3404"/>
      <c r="JWN3" s="3404"/>
      <c r="JWO3" s="3404"/>
      <c r="JWP3" s="3404"/>
      <c r="JWQ3" s="3404"/>
      <c r="JWR3" s="3404"/>
      <c r="JWS3" s="3404"/>
      <c r="JWT3" s="3404"/>
      <c r="JWU3" s="3404"/>
      <c r="JWV3" s="3404"/>
      <c r="JWW3" s="3404"/>
      <c r="JWX3" s="3404"/>
      <c r="JWY3" s="3404"/>
      <c r="JWZ3" s="3404"/>
      <c r="JXA3" s="3404"/>
      <c r="JXB3" s="3404"/>
      <c r="JXC3" s="3404"/>
      <c r="JXD3" s="3404"/>
      <c r="JXE3" s="3404"/>
      <c r="JXF3" s="3404"/>
      <c r="JXG3" s="3404"/>
      <c r="JXH3" s="3404"/>
      <c r="JXI3" s="3404"/>
      <c r="JXJ3" s="3404"/>
      <c r="JXK3" s="3404"/>
      <c r="JXL3" s="3404"/>
      <c r="JXM3" s="3404"/>
      <c r="JXN3" s="3404"/>
      <c r="JXO3" s="3404"/>
      <c r="JXP3" s="3404"/>
      <c r="JXQ3" s="3404"/>
      <c r="JXR3" s="3404"/>
      <c r="JXS3" s="3404"/>
      <c r="JXT3" s="3404"/>
      <c r="JXU3" s="3404"/>
      <c r="JXV3" s="3404"/>
      <c r="JXW3" s="3404"/>
      <c r="JXX3" s="3404"/>
      <c r="JXY3" s="3404"/>
      <c r="JXZ3" s="3404"/>
      <c r="JYA3" s="3404"/>
      <c r="JYB3" s="3404"/>
      <c r="JYC3" s="3404"/>
      <c r="JYD3" s="3404"/>
      <c r="JYE3" s="3404"/>
      <c r="JYF3" s="3404"/>
      <c r="JYG3" s="3404"/>
      <c r="JYH3" s="3404"/>
      <c r="JYI3" s="3404"/>
      <c r="JYJ3" s="3404"/>
      <c r="JYK3" s="3404"/>
      <c r="JYL3" s="3404"/>
      <c r="JYM3" s="3404"/>
      <c r="JYN3" s="3404"/>
      <c r="JYO3" s="3404"/>
      <c r="JYP3" s="3404"/>
      <c r="JYQ3" s="3404"/>
      <c r="JYR3" s="3404"/>
      <c r="JYS3" s="3404"/>
      <c r="JYT3" s="3404"/>
      <c r="JYU3" s="3404"/>
      <c r="JYV3" s="3404"/>
      <c r="JYW3" s="3404"/>
      <c r="JYX3" s="3404"/>
      <c r="JYY3" s="3404"/>
      <c r="JYZ3" s="3404"/>
      <c r="JZA3" s="3404"/>
      <c r="JZB3" s="3404"/>
      <c r="JZC3" s="3404"/>
      <c r="JZD3" s="3404"/>
      <c r="JZE3" s="3404"/>
      <c r="JZF3" s="3404"/>
      <c r="JZG3" s="3404"/>
      <c r="JZH3" s="3404"/>
      <c r="JZI3" s="3404"/>
      <c r="JZJ3" s="3404"/>
      <c r="JZK3" s="3404"/>
      <c r="JZL3" s="3404"/>
      <c r="JZM3" s="3404"/>
      <c r="JZN3" s="3404"/>
      <c r="JZO3" s="3404"/>
      <c r="JZP3" s="3404"/>
      <c r="JZQ3" s="3404"/>
      <c r="JZR3" s="3404"/>
      <c r="JZS3" s="3404"/>
      <c r="JZT3" s="3404"/>
      <c r="JZU3" s="3404"/>
      <c r="JZV3" s="3404"/>
      <c r="JZW3" s="3404"/>
      <c r="JZX3" s="3404"/>
      <c r="JZY3" s="3404"/>
      <c r="JZZ3" s="3404"/>
      <c r="KAA3" s="3404"/>
      <c r="KAB3" s="3404"/>
      <c r="KAC3" s="3404"/>
      <c r="KAD3" s="3404"/>
      <c r="KAE3" s="3404"/>
      <c r="KAF3" s="3404"/>
      <c r="KAG3" s="3404"/>
      <c r="KAH3" s="3404"/>
      <c r="KAI3" s="3404"/>
      <c r="KAJ3" s="3404"/>
      <c r="KAK3" s="3404"/>
      <c r="KAL3" s="3404"/>
      <c r="KAM3" s="3404"/>
      <c r="KAN3" s="3404"/>
      <c r="KAO3" s="3404"/>
      <c r="KAP3" s="3404"/>
      <c r="KAQ3" s="3404"/>
      <c r="KAR3" s="3404"/>
      <c r="KAS3" s="3404"/>
      <c r="KAT3" s="3404"/>
      <c r="KAU3" s="3404"/>
      <c r="KAV3" s="3404"/>
      <c r="KAW3" s="3404"/>
      <c r="KAX3" s="3404"/>
      <c r="KAY3" s="3404"/>
      <c r="KAZ3" s="3404"/>
      <c r="KBA3" s="3404"/>
      <c r="KBB3" s="3404"/>
      <c r="KBC3" s="3404"/>
      <c r="KBD3" s="3404"/>
      <c r="KBE3" s="3404"/>
      <c r="KBF3" s="3404"/>
      <c r="KBG3" s="3404"/>
      <c r="KBH3" s="3404"/>
      <c r="KBI3" s="3404"/>
      <c r="KBJ3" s="3404"/>
      <c r="KBK3" s="3404"/>
      <c r="KBL3" s="3404"/>
      <c r="KBM3" s="3404"/>
      <c r="KBN3" s="3404"/>
      <c r="KBO3" s="3404"/>
      <c r="KBP3" s="3404"/>
      <c r="KBQ3" s="3404"/>
      <c r="KBR3" s="3404"/>
      <c r="KBS3" s="3404"/>
      <c r="KBT3" s="3404"/>
      <c r="KBU3" s="3404"/>
      <c r="KBV3" s="3404"/>
      <c r="KBW3" s="3404"/>
      <c r="KBX3" s="3404"/>
      <c r="KBY3" s="3404"/>
      <c r="KBZ3" s="3404"/>
      <c r="KCA3" s="3404"/>
      <c r="KCB3" s="3404"/>
      <c r="KCC3" s="3404"/>
      <c r="KCD3" s="3404"/>
      <c r="KCE3" s="3404"/>
      <c r="KCF3" s="3404"/>
      <c r="KCG3" s="3404"/>
      <c r="KCH3" s="3404"/>
      <c r="KCI3" s="3404"/>
      <c r="KCJ3" s="3404"/>
      <c r="KCK3" s="3404"/>
      <c r="KCL3" s="3404"/>
      <c r="KCM3" s="3404"/>
      <c r="KCN3" s="3404"/>
      <c r="KCO3" s="3404"/>
      <c r="KCP3" s="3404"/>
      <c r="KCQ3" s="3404"/>
      <c r="KCR3" s="3404"/>
      <c r="KCS3" s="3404"/>
      <c r="KCT3" s="3404"/>
      <c r="KCU3" s="3404"/>
      <c r="KCV3" s="3404"/>
      <c r="KCW3" s="3404"/>
      <c r="KCX3" s="3404"/>
      <c r="KCY3" s="3404"/>
      <c r="KCZ3" s="3404"/>
      <c r="KDA3" s="3404"/>
      <c r="KDB3" s="3404"/>
      <c r="KDC3" s="3404"/>
      <c r="KDD3" s="3404"/>
      <c r="KDE3" s="3404"/>
      <c r="KDF3" s="3404"/>
      <c r="KDG3" s="3404"/>
      <c r="KDH3" s="3404"/>
      <c r="KDI3" s="3404"/>
      <c r="KDJ3" s="3404"/>
      <c r="KDK3" s="3404"/>
      <c r="KDL3" s="3404"/>
      <c r="KDM3" s="3404"/>
      <c r="KDN3" s="3404"/>
      <c r="KDO3" s="3404"/>
      <c r="KDP3" s="3404"/>
      <c r="KDQ3" s="3404"/>
      <c r="KDR3" s="3404"/>
      <c r="KDS3" s="3404"/>
      <c r="KDT3" s="3404"/>
      <c r="KDU3" s="3404"/>
      <c r="KDV3" s="3404"/>
      <c r="KDW3" s="3404"/>
      <c r="KDX3" s="3404"/>
      <c r="KDY3" s="3404"/>
      <c r="KDZ3" s="3404"/>
      <c r="KEA3" s="3404"/>
      <c r="KEB3" s="3404"/>
      <c r="KEC3" s="3404"/>
      <c r="KED3" s="3404"/>
      <c r="KEE3" s="3404"/>
      <c r="KEF3" s="3404"/>
      <c r="KEG3" s="3404"/>
      <c r="KEH3" s="3404"/>
      <c r="KEI3" s="3404"/>
      <c r="KEJ3" s="3404"/>
      <c r="KEK3" s="3404"/>
      <c r="KEL3" s="3404"/>
      <c r="KEM3" s="3404"/>
      <c r="KEN3" s="3404"/>
      <c r="KEO3" s="3404"/>
      <c r="KEP3" s="3404"/>
      <c r="KEQ3" s="3404"/>
      <c r="KER3" s="3404"/>
      <c r="KES3" s="3404"/>
      <c r="KET3" s="3404"/>
      <c r="KEU3" s="3404"/>
      <c r="KEV3" s="3404"/>
      <c r="KEW3" s="3404"/>
      <c r="KEX3" s="3404"/>
      <c r="KEY3" s="3404"/>
      <c r="KEZ3" s="3404"/>
      <c r="KFA3" s="3404"/>
      <c r="KFB3" s="3404"/>
      <c r="KFC3" s="3404"/>
      <c r="KFD3" s="3404"/>
      <c r="KFE3" s="3404"/>
      <c r="KFF3" s="3404"/>
      <c r="KFG3" s="3404"/>
      <c r="KFH3" s="3404"/>
      <c r="KFI3" s="3404"/>
      <c r="KFJ3" s="3404"/>
      <c r="KFK3" s="3404"/>
      <c r="KFL3" s="3404"/>
      <c r="KFM3" s="3404"/>
      <c r="KFN3" s="3404"/>
      <c r="KFO3" s="3404"/>
      <c r="KFP3" s="3404"/>
      <c r="KFQ3" s="3404"/>
      <c r="KFR3" s="3404"/>
      <c r="KFS3" s="3404"/>
      <c r="KFT3" s="3404"/>
      <c r="KFU3" s="3404"/>
      <c r="KFV3" s="3404"/>
      <c r="KFW3" s="3404"/>
      <c r="KFX3" s="3404"/>
      <c r="KFY3" s="3404"/>
      <c r="KFZ3" s="3404"/>
      <c r="KGA3" s="3404"/>
      <c r="KGB3" s="3404"/>
      <c r="KGC3" s="3404"/>
      <c r="KGD3" s="3404"/>
      <c r="KGE3" s="3404"/>
      <c r="KGF3" s="3404"/>
      <c r="KGG3" s="3404"/>
      <c r="KGH3" s="3404"/>
      <c r="KGI3" s="3404"/>
      <c r="KGJ3" s="3404"/>
      <c r="KGK3" s="3404"/>
      <c r="KGL3" s="3404"/>
      <c r="KGM3" s="3404"/>
      <c r="KGN3" s="3404"/>
      <c r="KGO3" s="3404"/>
      <c r="KGP3" s="3404"/>
      <c r="KGQ3" s="3404"/>
      <c r="KGR3" s="3404"/>
      <c r="KGS3" s="3404"/>
      <c r="KGT3" s="3404"/>
      <c r="KGU3" s="3404"/>
      <c r="KGV3" s="3404"/>
      <c r="KGW3" s="3404"/>
      <c r="KGX3" s="3404"/>
      <c r="KGY3" s="3404"/>
      <c r="KGZ3" s="3404"/>
      <c r="KHA3" s="3404"/>
      <c r="KHB3" s="3404"/>
      <c r="KHC3" s="3404"/>
      <c r="KHD3" s="3404"/>
      <c r="KHE3" s="3404"/>
      <c r="KHF3" s="3404"/>
      <c r="KHG3" s="3404"/>
      <c r="KHH3" s="3404"/>
      <c r="KHI3" s="3404"/>
      <c r="KHJ3" s="3404"/>
      <c r="KHK3" s="3404"/>
      <c r="KHL3" s="3404"/>
      <c r="KHM3" s="3404"/>
      <c r="KHN3" s="3404"/>
      <c r="KHO3" s="3404"/>
      <c r="KHP3" s="3404"/>
      <c r="KHQ3" s="3404"/>
      <c r="KHR3" s="3404"/>
      <c r="KHS3" s="3404"/>
      <c r="KHT3" s="3404"/>
      <c r="KHU3" s="3404"/>
      <c r="KHV3" s="3404"/>
      <c r="KHW3" s="3404"/>
      <c r="KHX3" s="3404"/>
      <c r="KHY3" s="3404"/>
      <c r="KHZ3" s="3404"/>
      <c r="KIA3" s="3404"/>
      <c r="KIB3" s="3404"/>
      <c r="KIC3" s="3404"/>
      <c r="KID3" s="3404"/>
      <c r="KIE3" s="3404"/>
      <c r="KIF3" s="3404"/>
      <c r="KIG3" s="3404"/>
      <c r="KIH3" s="3404"/>
      <c r="KII3" s="3404"/>
      <c r="KIJ3" s="3404"/>
      <c r="KIK3" s="3404"/>
      <c r="KIL3" s="3404"/>
      <c r="KIM3" s="3404"/>
      <c r="KIN3" s="3404"/>
      <c r="KIO3" s="3404"/>
      <c r="KIP3" s="3404"/>
      <c r="KIQ3" s="3404"/>
      <c r="KIR3" s="3404"/>
      <c r="KIS3" s="3404"/>
      <c r="KIT3" s="3404"/>
      <c r="KIU3" s="3404"/>
      <c r="KIV3" s="3404"/>
      <c r="KIW3" s="3404"/>
      <c r="KIX3" s="3404"/>
      <c r="KIY3" s="3404"/>
      <c r="KIZ3" s="3404"/>
      <c r="KJA3" s="3404"/>
      <c r="KJB3" s="3404"/>
      <c r="KJC3" s="3404"/>
      <c r="KJD3" s="3404"/>
      <c r="KJE3" s="3404"/>
      <c r="KJF3" s="3404"/>
      <c r="KJG3" s="3404"/>
      <c r="KJH3" s="3404"/>
      <c r="KJI3" s="3404"/>
      <c r="KJJ3" s="3404"/>
      <c r="KJK3" s="3404"/>
      <c r="KJL3" s="3404"/>
      <c r="KJM3" s="3404"/>
      <c r="KJN3" s="3404"/>
      <c r="KJO3" s="3404"/>
      <c r="KJP3" s="3404"/>
      <c r="KJQ3" s="3404"/>
      <c r="KJR3" s="3404"/>
      <c r="KJS3" s="3404"/>
      <c r="KJT3" s="3404"/>
      <c r="KJU3" s="3404"/>
      <c r="KJV3" s="3404"/>
      <c r="KJW3" s="3404"/>
      <c r="KJX3" s="3404"/>
      <c r="KJY3" s="3404"/>
      <c r="KJZ3" s="3404"/>
      <c r="KKA3" s="3404"/>
      <c r="KKB3" s="3404"/>
      <c r="KKC3" s="3404"/>
      <c r="KKD3" s="3404"/>
      <c r="KKE3" s="3404"/>
      <c r="KKF3" s="3404"/>
      <c r="KKG3" s="3404"/>
      <c r="KKH3" s="3404"/>
      <c r="KKI3" s="3404"/>
      <c r="KKJ3" s="3404"/>
      <c r="KKK3" s="3404"/>
      <c r="KKL3" s="3404"/>
      <c r="KKM3" s="3404"/>
      <c r="KKN3" s="3404"/>
      <c r="KKO3" s="3404"/>
      <c r="KKP3" s="3404"/>
      <c r="KKQ3" s="3404"/>
      <c r="KKR3" s="3404"/>
      <c r="KKS3" s="3404"/>
      <c r="KKT3" s="3404"/>
      <c r="KKU3" s="3404"/>
      <c r="KKV3" s="3404"/>
      <c r="KKW3" s="3404"/>
      <c r="KKX3" s="3404"/>
      <c r="KKY3" s="3404"/>
      <c r="KKZ3" s="3404"/>
      <c r="KLA3" s="3404"/>
      <c r="KLB3" s="3404"/>
      <c r="KLC3" s="3404"/>
      <c r="KLD3" s="3404"/>
      <c r="KLE3" s="3404"/>
      <c r="KLF3" s="3404"/>
      <c r="KLG3" s="3404"/>
      <c r="KLH3" s="3404"/>
      <c r="KLI3" s="3404"/>
      <c r="KLJ3" s="3404"/>
      <c r="KLK3" s="3404"/>
      <c r="KLL3" s="3404"/>
      <c r="KLM3" s="3404"/>
      <c r="KLN3" s="3404"/>
      <c r="KLO3" s="3404"/>
      <c r="KLP3" s="3404"/>
      <c r="KLQ3" s="3404"/>
      <c r="KLR3" s="3404"/>
      <c r="KLS3" s="3404"/>
      <c r="KLT3" s="3404"/>
      <c r="KLU3" s="3404"/>
      <c r="KLV3" s="3404"/>
      <c r="KLW3" s="3404"/>
      <c r="KLX3" s="3404"/>
      <c r="KLY3" s="3404"/>
      <c r="KLZ3" s="3404"/>
      <c r="KMA3" s="3404"/>
      <c r="KMB3" s="3404"/>
      <c r="KMC3" s="3404"/>
      <c r="KMD3" s="3404"/>
      <c r="KME3" s="3404"/>
      <c r="KMF3" s="3404"/>
      <c r="KMG3" s="3404"/>
      <c r="KMH3" s="3404"/>
      <c r="KMI3" s="3404"/>
      <c r="KMJ3" s="3404"/>
      <c r="KMK3" s="3404"/>
      <c r="KML3" s="3404"/>
      <c r="KMM3" s="3404"/>
      <c r="KMN3" s="3404"/>
      <c r="KMO3" s="3404"/>
      <c r="KMP3" s="3404"/>
      <c r="KMQ3" s="3404"/>
      <c r="KMR3" s="3404"/>
      <c r="KMS3" s="3404"/>
      <c r="KMT3" s="3404"/>
      <c r="KMU3" s="3404"/>
      <c r="KMV3" s="3404"/>
      <c r="KMW3" s="3404"/>
      <c r="KMX3" s="3404"/>
      <c r="KMY3" s="3404"/>
      <c r="KMZ3" s="3404"/>
      <c r="KNA3" s="3404"/>
      <c r="KNB3" s="3404"/>
      <c r="KNC3" s="3404"/>
      <c r="KND3" s="3404"/>
      <c r="KNE3" s="3404"/>
      <c r="KNF3" s="3404"/>
      <c r="KNG3" s="3404"/>
      <c r="KNH3" s="3404"/>
      <c r="KNI3" s="3404"/>
      <c r="KNJ3" s="3404"/>
      <c r="KNK3" s="3404"/>
      <c r="KNL3" s="3404"/>
      <c r="KNM3" s="3404"/>
      <c r="KNN3" s="3404"/>
      <c r="KNO3" s="3404"/>
      <c r="KNP3" s="3404"/>
      <c r="KNQ3" s="3404"/>
      <c r="KNR3" s="3404"/>
      <c r="KNS3" s="3404"/>
      <c r="KNT3" s="3404"/>
      <c r="KNU3" s="3404"/>
      <c r="KNV3" s="3404"/>
      <c r="KNW3" s="3404"/>
      <c r="KNX3" s="3404"/>
      <c r="KNY3" s="3404"/>
      <c r="KNZ3" s="3404"/>
      <c r="KOA3" s="3404"/>
      <c r="KOB3" s="3404"/>
      <c r="KOC3" s="3404"/>
      <c r="KOD3" s="3404"/>
      <c r="KOE3" s="3404"/>
      <c r="KOF3" s="3404"/>
      <c r="KOG3" s="3404"/>
      <c r="KOH3" s="3404"/>
      <c r="KOI3" s="3404"/>
      <c r="KOJ3" s="3404"/>
      <c r="KOK3" s="3404"/>
      <c r="KOL3" s="3404"/>
      <c r="KOM3" s="3404"/>
      <c r="KON3" s="3404"/>
      <c r="KOO3" s="3404"/>
      <c r="KOP3" s="3404"/>
      <c r="KOQ3" s="3404"/>
      <c r="KOR3" s="3404"/>
      <c r="KOS3" s="3404"/>
      <c r="KOT3" s="3404"/>
      <c r="KOU3" s="3404"/>
      <c r="KOV3" s="3404"/>
      <c r="KOW3" s="3404"/>
      <c r="KOX3" s="3404"/>
      <c r="KOY3" s="3404"/>
      <c r="KOZ3" s="3404"/>
      <c r="KPA3" s="3404"/>
      <c r="KPB3" s="3404"/>
      <c r="KPC3" s="3404"/>
      <c r="KPD3" s="3404"/>
      <c r="KPE3" s="3404"/>
      <c r="KPF3" s="3404"/>
      <c r="KPG3" s="3404"/>
      <c r="KPH3" s="3404"/>
      <c r="KPI3" s="3404"/>
      <c r="KPJ3" s="3404"/>
      <c r="KPK3" s="3404"/>
      <c r="KPL3" s="3404"/>
      <c r="KPM3" s="3404"/>
      <c r="KPN3" s="3404"/>
      <c r="KPO3" s="3404"/>
      <c r="KPP3" s="3404"/>
      <c r="KPQ3" s="3404"/>
      <c r="KPR3" s="3404"/>
      <c r="KPS3" s="3404"/>
      <c r="KPT3" s="3404"/>
      <c r="KPU3" s="3404"/>
      <c r="KPV3" s="3404"/>
      <c r="KPW3" s="3404"/>
      <c r="KPX3" s="3404"/>
      <c r="KPY3" s="3404"/>
      <c r="KPZ3" s="3404"/>
      <c r="KQA3" s="3404"/>
      <c r="KQB3" s="3404"/>
      <c r="KQC3" s="3404"/>
      <c r="KQD3" s="3404"/>
      <c r="KQE3" s="3404"/>
      <c r="KQF3" s="3404"/>
      <c r="KQG3" s="3404"/>
      <c r="KQH3" s="3404"/>
      <c r="KQI3" s="3404"/>
      <c r="KQJ3" s="3404"/>
      <c r="KQK3" s="3404"/>
      <c r="KQL3" s="3404"/>
      <c r="KQM3" s="3404"/>
      <c r="KQN3" s="3404"/>
      <c r="KQO3" s="3404"/>
      <c r="KQP3" s="3404"/>
      <c r="KQQ3" s="3404"/>
      <c r="KQR3" s="3404"/>
      <c r="KQS3" s="3404"/>
      <c r="KQT3" s="3404"/>
      <c r="KQU3" s="3404"/>
      <c r="KQV3" s="3404"/>
      <c r="KQW3" s="3404"/>
      <c r="KQX3" s="3404"/>
      <c r="KQY3" s="3404"/>
      <c r="KQZ3" s="3404"/>
      <c r="KRA3" s="3404"/>
      <c r="KRB3" s="3404"/>
      <c r="KRC3" s="3404"/>
      <c r="KRD3" s="3404"/>
      <c r="KRE3" s="3404"/>
      <c r="KRF3" s="3404"/>
      <c r="KRG3" s="3404"/>
      <c r="KRH3" s="3404"/>
      <c r="KRI3" s="3404"/>
      <c r="KRJ3" s="3404"/>
      <c r="KRK3" s="3404"/>
      <c r="KRL3" s="3404"/>
      <c r="KRM3" s="3404"/>
      <c r="KRN3" s="3404"/>
      <c r="KRO3" s="3404"/>
      <c r="KRP3" s="3404"/>
      <c r="KRQ3" s="3404"/>
      <c r="KRR3" s="3404"/>
      <c r="KRS3" s="3404"/>
      <c r="KRT3" s="3404"/>
      <c r="KRU3" s="3404"/>
      <c r="KRV3" s="3404"/>
      <c r="KRW3" s="3404"/>
      <c r="KRX3" s="3404"/>
      <c r="KRY3" s="3404"/>
      <c r="KRZ3" s="3404"/>
      <c r="KSA3" s="3404"/>
      <c r="KSB3" s="3404"/>
      <c r="KSC3" s="3404"/>
      <c r="KSD3" s="3404"/>
      <c r="KSE3" s="3404"/>
      <c r="KSF3" s="3404"/>
      <c r="KSG3" s="3404"/>
      <c r="KSH3" s="3404"/>
      <c r="KSI3" s="3404"/>
      <c r="KSJ3" s="3404"/>
      <c r="KSK3" s="3404"/>
      <c r="KSL3" s="3404"/>
      <c r="KSM3" s="3404"/>
      <c r="KSN3" s="3404"/>
      <c r="KSO3" s="3404"/>
      <c r="KSP3" s="3404"/>
      <c r="KSQ3" s="3404"/>
      <c r="KSR3" s="3404"/>
      <c r="KSS3" s="3404"/>
      <c r="KST3" s="3404"/>
      <c r="KSU3" s="3404"/>
      <c r="KSV3" s="3404"/>
      <c r="KSW3" s="3404"/>
      <c r="KSX3" s="3404"/>
      <c r="KSY3" s="3404"/>
      <c r="KSZ3" s="3404"/>
      <c r="KTA3" s="3404"/>
      <c r="KTB3" s="3404"/>
      <c r="KTC3" s="3404"/>
      <c r="KTD3" s="3404"/>
      <c r="KTE3" s="3404"/>
      <c r="KTF3" s="3404"/>
      <c r="KTG3" s="3404"/>
      <c r="KTH3" s="3404"/>
      <c r="KTI3" s="3404"/>
      <c r="KTJ3" s="3404"/>
      <c r="KTK3" s="3404"/>
      <c r="KTL3" s="3404"/>
      <c r="KTM3" s="3404"/>
      <c r="KTN3" s="3404"/>
      <c r="KTO3" s="3404"/>
      <c r="KTP3" s="3404"/>
      <c r="KTQ3" s="3404"/>
      <c r="KTR3" s="3404"/>
      <c r="KTS3" s="3404"/>
      <c r="KTT3" s="3404"/>
      <c r="KTU3" s="3404"/>
      <c r="KTV3" s="3404"/>
      <c r="KTW3" s="3404"/>
      <c r="KTX3" s="3404"/>
      <c r="KTY3" s="3404"/>
      <c r="KTZ3" s="3404"/>
      <c r="KUA3" s="3404"/>
      <c r="KUB3" s="3404"/>
      <c r="KUC3" s="3404"/>
      <c r="KUD3" s="3404"/>
      <c r="KUE3" s="3404"/>
      <c r="KUF3" s="3404"/>
      <c r="KUG3" s="3404"/>
      <c r="KUH3" s="3404"/>
      <c r="KUI3" s="3404"/>
      <c r="KUJ3" s="3404"/>
      <c r="KUK3" s="3404"/>
      <c r="KUL3" s="3404"/>
      <c r="KUM3" s="3404"/>
      <c r="KUN3" s="3404"/>
      <c r="KUO3" s="3404"/>
      <c r="KUP3" s="3404"/>
      <c r="KUQ3" s="3404"/>
      <c r="KUR3" s="3404"/>
      <c r="KUS3" s="3404"/>
      <c r="KUT3" s="3404"/>
      <c r="KUU3" s="3404"/>
      <c r="KUV3" s="3404"/>
      <c r="KUW3" s="3404"/>
      <c r="KUX3" s="3404"/>
      <c r="KUY3" s="3404"/>
      <c r="KUZ3" s="3404"/>
      <c r="KVA3" s="3404"/>
      <c r="KVB3" s="3404"/>
      <c r="KVC3" s="3404"/>
      <c r="KVD3" s="3404"/>
      <c r="KVE3" s="3404"/>
      <c r="KVF3" s="3404"/>
      <c r="KVG3" s="3404"/>
      <c r="KVH3" s="3404"/>
      <c r="KVI3" s="3404"/>
      <c r="KVJ3" s="3404"/>
      <c r="KVK3" s="3404"/>
      <c r="KVL3" s="3404"/>
      <c r="KVM3" s="3404"/>
      <c r="KVN3" s="3404"/>
      <c r="KVO3" s="3404"/>
      <c r="KVP3" s="3404"/>
      <c r="KVQ3" s="3404"/>
      <c r="KVR3" s="3404"/>
      <c r="KVS3" s="3404"/>
      <c r="KVT3" s="3404"/>
      <c r="KVU3" s="3404"/>
      <c r="KVV3" s="3404"/>
      <c r="KVW3" s="3404"/>
      <c r="KVX3" s="3404"/>
      <c r="KVY3" s="3404"/>
      <c r="KVZ3" s="3404"/>
      <c r="KWA3" s="3404"/>
      <c r="KWB3" s="3404"/>
      <c r="KWC3" s="3404"/>
      <c r="KWD3" s="3404"/>
      <c r="KWE3" s="3404"/>
      <c r="KWF3" s="3404"/>
      <c r="KWG3" s="3404"/>
      <c r="KWH3" s="3404"/>
      <c r="KWI3" s="3404"/>
      <c r="KWJ3" s="3404"/>
      <c r="KWK3" s="3404"/>
      <c r="KWL3" s="3404"/>
      <c r="KWM3" s="3404"/>
      <c r="KWN3" s="3404"/>
      <c r="KWO3" s="3404"/>
      <c r="KWP3" s="3404"/>
      <c r="KWQ3" s="3404"/>
      <c r="KWR3" s="3404"/>
      <c r="KWS3" s="3404"/>
      <c r="KWT3" s="3404"/>
      <c r="KWU3" s="3404"/>
      <c r="KWV3" s="3404"/>
      <c r="KWW3" s="3404"/>
      <c r="KWX3" s="3404"/>
      <c r="KWY3" s="3404"/>
      <c r="KWZ3" s="3404"/>
      <c r="KXA3" s="3404"/>
      <c r="KXB3" s="3404"/>
      <c r="KXC3" s="3404"/>
      <c r="KXD3" s="3404"/>
      <c r="KXE3" s="3404"/>
      <c r="KXF3" s="3404"/>
      <c r="KXG3" s="3404"/>
      <c r="KXH3" s="3404"/>
      <c r="KXI3" s="3404"/>
      <c r="KXJ3" s="3404"/>
      <c r="KXK3" s="3404"/>
      <c r="KXL3" s="3404"/>
      <c r="KXM3" s="3404"/>
      <c r="KXN3" s="3404"/>
      <c r="KXO3" s="3404"/>
      <c r="KXP3" s="3404"/>
      <c r="KXQ3" s="3404"/>
      <c r="KXR3" s="3404"/>
      <c r="KXS3" s="3404"/>
      <c r="KXT3" s="3404"/>
      <c r="KXU3" s="3404"/>
      <c r="KXV3" s="3404"/>
      <c r="KXW3" s="3404"/>
      <c r="KXX3" s="3404"/>
      <c r="KXY3" s="3404"/>
      <c r="KXZ3" s="3404"/>
      <c r="KYA3" s="3404"/>
      <c r="KYB3" s="3404"/>
      <c r="KYC3" s="3404"/>
      <c r="KYD3" s="3404"/>
      <c r="KYE3" s="3404"/>
      <c r="KYF3" s="3404"/>
      <c r="KYG3" s="3404"/>
      <c r="KYH3" s="3404"/>
      <c r="KYI3" s="3404"/>
      <c r="KYJ3" s="3404"/>
      <c r="KYK3" s="3404"/>
      <c r="KYL3" s="3404"/>
      <c r="KYM3" s="3404"/>
      <c r="KYN3" s="3404"/>
      <c r="KYO3" s="3404"/>
      <c r="KYP3" s="3404"/>
      <c r="KYQ3" s="3404"/>
      <c r="KYR3" s="3404"/>
      <c r="KYS3" s="3404"/>
      <c r="KYT3" s="3404"/>
      <c r="KYU3" s="3404"/>
      <c r="KYV3" s="3404"/>
      <c r="KYW3" s="3404"/>
      <c r="KYX3" s="3404"/>
      <c r="KYY3" s="3404"/>
      <c r="KYZ3" s="3404"/>
      <c r="KZA3" s="3404"/>
      <c r="KZB3" s="3404"/>
      <c r="KZC3" s="3404"/>
      <c r="KZD3" s="3404"/>
      <c r="KZE3" s="3404"/>
      <c r="KZF3" s="3404"/>
      <c r="KZG3" s="3404"/>
      <c r="KZH3" s="3404"/>
      <c r="KZI3" s="3404"/>
      <c r="KZJ3" s="3404"/>
      <c r="KZK3" s="3404"/>
      <c r="KZL3" s="3404"/>
      <c r="KZM3" s="3404"/>
      <c r="KZN3" s="3404"/>
      <c r="KZO3" s="3404"/>
      <c r="KZP3" s="3404"/>
      <c r="KZQ3" s="3404"/>
      <c r="KZR3" s="3404"/>
      <c r="KZS3" s="3404"/>
      <c r="KZT3" s="3404"/>
      <c r="KZU3" s="3404"/>
      <c r="KZV3" s="3404"/>
      <c r="KZW3" s="3404"/>
      <c r="KZX3" s="3404"/>
      <c r="KZY3" s="3404"/>
      <c r="KZZ3" s="3404"/>
      <c r="LAA3" s="3404"/>
      <c r="LAB3" s="3404"/>
      <c r="LAC3" s="3404"/>
      <c r="LAD3" s="3404"/>
      <c r="LAE3" s="3404"/>
      <c r="LAF3" s="3404"/>
      <c r="LAG3" s="3404"/>
      <c r="LAH3" s="3404"/>
      <c r="LAI3" s="3404"/>
      <c r="LAJ3" s="3404"/>
      <c r="LAK3" s="3404"/>
      <c r="LAL3" s="3404"/>
      <c r="LAM3" s="3404"/>
      <c r="LAN3" s="3404"/>
      <c r="LAO3" s="3404"/>
      <c r="LAP3" s="3404"/>
      <c r="LAQ3" s="3404"/>
      <c r="LAR3" s="3404"/>
      <c r="LAS3" s="3404"/>
      <c r="LAT3" s="3404"/>
      <c r="LAU3" s="3404"/>
      <c r="LAV3" s="3404"/>
      <c r="LAW3" s="3404"/>
      <c r="LAX3" s="3404"/>
      <c r="LAY3" s="3404"/>
      <c r="LAZ3" s="3404"/>
      <c r="LBA3" s="3404"/>
      <c r="LBB3" s="3404"/>
      <c r="LBC3" s="3404"/>
      <c r="LBD3" s="3404"/>
      <c r="LBE3" s="3404"/>
      <c r="LBF3" s="3404"/>
      <c r="LBG3" s="3404"/>
      <c r="LBH3" s="3404"/>
      <c r="LBI3" s="3404"/>
      <c r="LBJ3" s="3404"/>
      <c r="LBK3" s="3404"/>
      <c r="LBL3" s="3404"/>
      <c r="LBM3" s="3404"/>
      <c r="LBN3" s="3404"/>
      <c r="LBO3" s="3404"/>
      <c r="LBP3" s="3404"/>
      <c r="LBQ3" s="3404"/>
      <c r="LBR3" s="3404"/>
      <c r="LBS3" s="3404"/>
      <c r="LBT3" s="3404"/>
      <c r="LBU3" s="3404"/>
      <c r="LBV3" s="3404"/>
      <c r="LBW3" s="3404"/>
      <c r="LBX3" s="3404"/>
      <c r="LBY3" s="3404"/>
      <c r="LBZ3" s="3404"/>
      <c r="LCA3" s="3404"/>
      <c r="LCB3" s="3404"/>
      <c r="LCC3" s="3404"/>
      <c r="LCD3" s="3404"/>
      <c r="LCE3" s="3404"/>
      <c r="LCF3" s="3404"/>
      <c r="LCG3" s="3404"/>
      <c r="LCH3" s="3404"/>
      <c r="LCI3" s="3404"/>
      <c r="LCJ3" s="3404"/>
      <c r="LCK3" s="3404"/>
      <c r="LCL3" s="3404"/>
      <c r="LCM3" s="3404"/>
      <c r="LCN3" s="3404"/>
      <c r="LCO3" s="3404"/>
      <c r="LCP3" s="3404"/>
      <c r="LCQ3" s="3404"/>
      <c r="LCR3" s="3404"/>
      <c r="LCS3" s="3404"/>
      <c r="LCT3" s="3404"/>
      <c r="LCU3" s="3404"/>
      <c r="LCV3" s="3404"/>
      <c r="LCW3" s="3404"/>
      <c r="LCX3" s="3404"/>
      <c r="LCY3" s="3404"/>
      <c r="LCZ3" s="3404"/>
      <c r="LDA3" s="3404"/>
      <c r="LDB3" s="3404"/>
      <c r="LDC3" s="3404"/>
      <c r="LDD3" s="3404"/>
      <c r="LDE3" s="3404"/>
      <c r="LDF3" s="3404"/>
      <c r="LDG3" s="3404"/>
      <c r="LDH3" s="3404"/>
      <c r="LDI3" s="3404"/>
      <c r="LDJ3" s="3404"/>
      <c r="LDK3" s="3404"/>
      <c r="LDL3" s="3404"/>
      <c r="LDM3" s="3404"/>
      <c r="LDN3" s="3404"/>
      <c r="LDO3" s="3404"/>
      <c r="LDP3" s="3404"/>
      <c r="LDQ3" s="3404"/>
      <c r="LDR3" s="3404"/>
      <c r="LDS3" s="3404"/>
      <c r="LDT3" s="3404"/>
      <c r="LDU3" s="3404"/>
      <c r="LDV3" s="3404"/>
      <c r="LDW3" s="3404"/>
      <c r="LDX3" s="3404"/>
      <c r="LDY3" s="3404"/>
      <c r="LDZ3" s="3404"/>
      <c r="LEA3" s="3404"/>
      <c r="LEB3" s="3404"/>
      <c r="LEC3" s="3404"/>
      <c r="LED3" s="3404"/>
      <c r="LEE3" s="3404"/>
      <c r="LEF3" s="3404"/>
      <c r="LEG3" s="3404"/>
      <c r="LEH3" s="3404"/>
      <c r="LEI3" s="3404"/>
      <c r="LEJ3" s="3404"/>
      <c r="LEK3" s="3404"/>
      <c r="LEL3" s="3404"/>
      <c r="LEM3" s="3404"/>
      <c r="LEN3" s="3404"/>
      <c r="LEO3" s="3404"/>
      <c r="LEP3" s="3404"/>
      <c r="LEQ3" s="3404"/>
      <c r="LER3" s="3404"/>
      <c r="LES3" s="3404"/>
      <c r="LET3" s="3404"/>
      <c r="LEU3" s="3404"/>
      <c r="LEV3" s="3404"/>
      <c r="LEW3" s="3404"/>
      <c r="LEX3" s="3404"/>
      <c r="LEY3" s="3404"/>
      <c r="LEZ3" s="3404"/>
      <c r="LFA3" s="3404"/>
      <c r="LFB3" s="3404"/>
      <c r="LFC3" s="3404"/>
      <c r="LFD3" s="3404"/>
      <c r="LFE3" s="3404"/>
      <c r="LFF3" s="3404"/>
      <c r="LFG3" s="3404"/>
      <c r="LFH3" s="3404"/>
      <c r="LFI3" s="3404"/>
      <c r="LFJ3" s="3404"/>
      <c r="LFK3" s="3404"/>
      <c r="LFL3" s="3404"/>
      <c r="LFM3" s="3404"/>
      <c r="LFN3" s="3404"/>
      <c r="LFO3" s="3404"/>
      <c r="LFP3" s="3404"/>
      <c r="LFQ3" s="3404"/>
      <c r="LFR3" s="3404"/>
      <c r="LFS3" s="3404"/>
      <c r="LFT3" s="3404"/>
      <c r="LFU3" s="3404"/>
      <c r="LFV3" s="3404"/>
      <c r="LFW3" s="3404"/>
      <c r="LFX3" s="3404"/>
      <c r="LFY3" s="3404"/>
      <c r="LFZ3" s="3404"/>
      <c r="LGA3" s="3404"/>
      <c r="LGB3" s="3404"/>
      <c r="LGC3" s="3404"/>
      <c r="LGD3" s="3404"/>
      <c r="LGE3" s="3404"/>
      <c r="LGF3" s="3404"/>
      <c r="LGG3" s="3404"/>
      <c r="LGH3" s="3404"/>
      <c r="LGI3" s="3404"/>
      <c r="LGJ3" s="3404"/>
      <c r="LGK3" s="3404"/>
      <c r="LGL3" s="3404"/>
      <c r="LGM3" s="3404"/>
      <c r="LGN3" s="3404"/>
      <c r="LGO3" s="3404"/>
      <c r="LGP3" s="3404"/>
      <c r="LGQ3" s="3404"/>
      <c r="LGR3" s="3404"/>
      <c r="LGS3" s="3404"/>
      <c r="LGT3" s="3404"/>
      <c r="LGU3" s="3404"/>
      <c r="LGV3" s="3404"/>
      <c r="LGW3" s="3404"/>
      <c r="LGX3" s="3404"/>
      <c r="LGY3" s="3404"/>
      <c r="LGZ3" s="3404"/>
      <c r="LHA3" s="3404"/>
      <c r="LHB3" s="3404"/>
      <c r="LHC3" s="3404"/>
      <c r="LHD3" s="3404"/>
      <c r="LHE3" s="3404"/>
      <c r="LHF3" s="3404"/>
      <c r="LHG3" s="3404"/>
      <c r="LHH3" s="3404"/>
      <c r="LHI3" s="3404"/>
      <c r="LHJ3" s="3404"/>
      <c r="LHK3" s="3404"/>
      <c r="LHL3" s="3404"/>
      <c r="LHM3" s="3404"/>
      <c r="LHN3" s="3404"/>
      <c r="LHO3" s="3404"/>
      <c r="LHP3" s="3404"/>
      <c r="LHQ3" s="3404"/>
      <c r="LHR3" s="3404"/>
      <c r="LHS3" s="3404"/>
      <c r="LHT3" s="3404"/>
      <c r="LHU3" s="3404"/>
      <c r="LHV3" s="3404"/>
      <c r="LHW3" s="3404"/>
      <c r="LHX3" s="3404"/>
      <c r="LHY3" s="3404"/>
      <c r="LHZ3" s="3404"/>
      <c r="LIA3" s="3404"/>
      <c r="LIB3" s="3404"/>
      <c r="LIC3" s="3404"/>
      <c r="LID3" s="3404"/>
      <c r="LIE3" s="3404"/>
      <c r="LIF3" s="3404"/>
      <c r="LIG3" s="3404"/>
      <c r="LIH3" s="3404"/>
      <c r="LII3" s="3404"/>
      <c r="LIJ3" s="3404"/>
      <c r="LIK3" s="3404"/>
      <c r="LIL3" s="3404"/>
      <c r="LIM3" s="3404"/>
      <c r="LIN3" s="3404"/>
      <c r="LIO3" s="3404"/>
      <c r="LIP3" s="3404"/>
      <c r="LIQ3" s="3404"/>
      <c r="LIR3" s="3404"/>
      <c r="LIS3" s="3404"/>
      <c r="LIT3" s="3404"/>
      <c r="LIU3" s="3404"/>
      <c r="LIV3" s="3404"/>
      <c r="LIW3" s="3404"/>
      <c r="LIX3" s="3404"/>
      <c r="LIY3" s="3404"/>
      <c r="LIZ3" s="3404"/>
      <c r="LJA3" s="3404"/>
      <c r="LJB3" s="3404"/>
      <c r="LJC3" s="3404"/>
      <c r="LJD3" s="3404"/>
      <c r="LJE3" s="3404"/>
      <c r="LJF3" s="3404"/>
      <c r="LJG3" s="3404"/>
      <c r="LJH3" s="3404"/>
      <c r="LJI3" s="3404"/>
      <c r="LJJ3" s="3404"/>
      <c r="LJK3" s="3404"/>
      <c r="LJL3" s="3404"/>
      <c r="LJM3" s="3404"/>
      <c r="LJN3" s="3404"/>
      <c r="LJO3" s="3404"/>
      <c r="LJP3" s="3404"/>
      <c r="LJQ3" s="3404"/>
      <c r="LJR3" s="3404"/>
      <c r="LJS3" s="3404"/>
      <c r="LJT3" s="3404"/>
      <c r="LJU3" s="3404"/>
      <c r="LJV3" s="3404"/>
      <c r="LJW3" s="3404"/>
      <c r="LJX3" s="3404"/>
      <c r="LJY3" s="3404"/>
      <c r="LJZ3" s="3404"/>
      <c r="LKA3" s="3404"/>
      <c r="LKB3" s="3404"/>
      <c r="LKC3" s="3404"/>
      <c r="LKD3" s="3404"/>
      <c r="LKE3" s="3404"/>
      <c r="LKF3" s="3404"/>
      <c r="LKG3" s="3404"/>
      <c r="LKH3" s="3404"/>
      <c r="LKI3" s="3404"/>
      <c r="LKJ3" s="3404"/>
      <c r="LKK3" s="3404"/>
      <c r="LKL3" s="3404"/>
      <c r="LKM3" s="3404"/>
      <c r="LKN3" s="3404"/>
      <c r="LKO3" s="3404"/>
      <c r="LKP3" s="3404"/>
      <c r="LKQ3" s="3404"/>
      <c r="LKR3" s="3404"/>
      <c r="LKS3" s="3404"/>
      <c r="LKT3" s="3404"/>
      <c r="LKU3" s="3404"/>
      <c r="LKV3" s="3404"/>
      <c r="LKW3" s="3404"/>
      <c r="LKX3" s="3404"/>
      <c r="LKY3" s="3404"/>
      <c r="LKZ3" s="3404"/>
      <c r="LLA3" s="3404"/>
      <c r="LLB3" s="3404"/>
      <c r="LLC3" s="3404"/>
      <c r="LLD3" s="3404"/>
      <c r="LLE3" s="3404"/>
      <c r="LLF3" s="3404"/>
      <c r="LLG3" s="3404"/>
      <c r="LLH3" s="3404"/>
      <c r="LLI3" s="3404"/>
      <c r="LLJ3" s="3404"/>
      <c r="LLK3" s="3404"/>
      <c r="LLL3" s="3404"/>
      <c r="LLM3" s="3404"/>
      <c r="LLN3" s="3404"/>
      <c r="LLO3" s="3404"/>
      <c r="LLP3" s="3404"/>
      <c r="LLQ3" s="3404"/>
      <c r="LLR3" s="3404"/>
      <c r="LLS3" s="3404"/>
      <c r="LLT3" s="3404"/>
      <c r="LLU3" s="3404"/>
      <c r="LLV3" s="3404"/>
      <c r="LLW3" s="3404"/>
      <c r="LLX3" s="3404"/>
      <c r="LLY3" s="3404"/>
      <c r="LLZ3" s="3404"/>
      <c r="LMA3" s="3404"/>
      <c r="LMB3" s="3404"/>
      <c r="LMC3" s="3404"/>
      <c r="LMD3" s="3404"/>
      <c r="LME3" s="3404"/>
      <c r="LMF3" s="3404"/>
      <c r="LMG3" s="3404"/>
      <c r="LMH3" s="3404"/>
      <c r="LMI3" s="3404"/>
      <c r="LMJ3" s="3404"/>
      <c r="LMK3" s="3404"/>
      <c r="LML3" s="3404"/>
      <c r="LMM3" s="3404"/>
      <c r="LMN3" s="3404"/>
      <c r="LMO3" s="3404"/>
      <c r="LMP3" s="3404"/>
      <c r="LMQ3" s="3404"/>
      <c r="LMR3" s="3404"/>
      <c r="LMS3" s="3404"/>
      <c r="LMT3" s="3404"/>
      <c r="LMU3" s="3404"/>
      <c r="LMV3" s="3404"/>
      <c r="LMW3" s="3404"/>
      <c r="LMX3" s="3404"/>
      <c r="LMY3" s="3404"/>
      <c r="LMZ3" s="3404"/>
      <c r="LNA3" s="3404"/>
      <c r="LNB3" s="3404"/>
      <c r="LNC3" s="3404"/>
      <c r="LND3" s="3404"/>
      <c r="LNE3" s="3404"/>
      <c r="LNF3" s="3404"/>
      <c r="LNG3" s="3404"/>
      <c r="LNH3" s="3404"/>
      <c r="LNI3" s="3404"/>
      <c r="LNJ3" s="3404"/>
      <c r="LNK3" s="3404"/>
      <c r="LNL3" s="3404"/>
      <c r="LNM3" s="3404"/>
      <c r="LNN3" s="3404"/>
      <c r="LNO3" s="3404"/>
      <c r="LNP3" s="3404"/>
      <c r="LNQ3" s="3404"/>
      <c r="LNR3" s="3404"/>
      <c r="LNS3" s="3404"/>
      <c r="LNT3" s="3404"/>
      <c r="LNU3" s="3404"/>
      <c r="LNV3" s="3404"/>
      <c r="LNW3" s="3404"/>
      <c r="LNX3" s="3404"/>
      <c r="LNY3" s="3404"/>
      <c r="LNZ3" s="3404"/>
      <c r="LOA3" s="3404"/>
      <c r="LOB3" s="3404"/>
      <c r="LOC3" s="3404"/>
      <c r="LOD3" s="3404"/>
      <c r="LOE3" s="3404"/>
      <c r="LOF3" s="3404"/>
      <c r="LOG3" s="3404"/>
      <c r="LOH3" s="3404"/>
      <c r="LOI3" s="3404"/>
      <c r="LOJ3" s="3404"/>
      <c r="LOK3" s="3404"/>
      <c r="LOL3" s="3404"/>
      <c r="LOM3" s="3404"/>
      <c r="LON3" s="3404"/>
      <c r="LOO3" s="3404"/>
      <c r="LOP3" s="3404"/>
      <c r="LOQ3" s="3404"/>
      <c r="LOR3" s="3404"/>
      <c r="LOS3" s="3404"/>
      <c r="LOT3" s="3404"/>
      <c r="LOU3" s="3404"/>
      <c r="LOV3" s="3404"/>
      <c r="LOW3" s="3404"/>
      <c r="LOX3" s="3404"/>
      <c r="LOY3" s="3404"/>
      <c r="LOZ3" s="3404"/>
      <c r="LPA3" s="3404"/>
      <c r="LPB3" s="3404"/>
      <c r="LPC3" s="3404"/>
      <c r="LPD3" s="3404"/>
      <c r="LPE3" s="3404"/>
      <c r="LPF3" s="3404"/>
      <c r="LPG3" s="3404"/>
      <c r="LPH3" s="3404"/>
      <c r="LPI3" s="3404"/>
      <c r="LPJ3" s="3404"/>
      <c r="LPK3" s="3404"/>
      <c r="LPL3" s="3404"/>
      <c r="LPM3" s="3404"/>
      <c r="LPN3" s="3404"/>
      <c r="LPO3" s="3404"/>
      <c r="LPP3" s="3404"/>
      <c r="LPQ3" s="3404"/>
      <c r="LPR3" s="3404"/>
      <c r="LPS3" s="3404"/>
      <c r="LPT3" s="3404"/>
      <c r="LPU3" s="3404"/>
      <c r="LPV3" s="3404"/>
      <c r="LPW3" s="3404"/>
      <c r="LPX3" s="3404"/>
      <c r="LPY3" s="3404"/>
      <c r="LPZ3" s="3404"/>
      <c r="LQA3" s="3404"/>
      <c r="LQB3" s="3404"/>
      <c r="LQC3" s="3404"/>
      <c r="LQD3" s="3404"/>
      <c r="LQE3" s="3404"/>
      <c r="LQF3" s="3404"/>
      <c r="LQG3" s="3404"/>
      <c r="LQH3" s="3404"/>
      <c r="LQI3" s="3404"/>
      <c r="LQJ3" s="3404"/>
      <c r="LQK3" s="3404"/>
      <c r="LQL3" s="3404"/>
      <c r="LQM3" s="3404"/>
      <c r="LQN3" s="3404"/>
      <c r="LQO3" s="3404"/>
      <c r="LQP3" s="3404"/>
      <c r="LQQ3" s="3404"/>
      <c r="LQR3" s="3404"/>
      <c r="LQS3" s="3404"/>
      <c r="LQT3" s="3404"/>
      <c r="LQU3" s="3404"/>
      <c r="LQV3" s="3404"/>
      <c r="LQW3" s="3404"/>
      <c r="LQX3" s="3404"/>
      <c r="LQY3" s="3404"/>
      <c r="LQZ3" s="3404"/>
      <c r="LRA3" s="3404"/>
      <c r="LRB3" s="3404"/>
      <c r="LRC3" s="3404"/>
      <c r="LRD3" s="3404"/>
      <c r="LRE3" s="3404"/>
      <c r="LRF3" s="3404"/>
      <c r="LRG3" s="3404"/>
      <c r="LRH3" s="3404"/>
      <c r="LRI3" s="3404"/>
      <c r="LRJ3" s="3404"/>
      <c r="LRK3" s="3404"/>
      <c r="LRL3" s="3404"/>
      <c r="LRM3" s="3404"/>
      <c r="LRN3" s="3404"/>
      <c r="LRO3" s="3404"/>
      <c r="LRP3" s="3404"/>
      <c r="LRQ3" s="3404"/>
      <c r="LRR3" s="3404"/>
      <c r="LRS3" s="3404"/>
      <c r="LRT3" s="3404"/>
      <c r="LRU3" s="3404"/>
      <c r="LRV3" s="3404"/>
      <c r="LRW3" s="3404"/>
      <c r="LRX3" s="3404"/>
      <c r="LRY3" s="3404"/>
      <c r="LRZ3" s="3404"/>
      <c r="LSA3" s="3404"/>
      <c r="LSB3" s="3404"/>
      <c r="LSC3" s="3404"/>
      <c r="LSD3" s="3404"/>
      <c r="LSE3" s="3404"/>
      <c r="LSF3" s="3404"/>
      <c r="LSG3" s="3404"/>
      <c r="LSH3" s="3404"/>
      <c r="LSI3" s="3404"/>
      <c r="LSJ3" s="3404"/>
      <c r="LSK3" s="3404"/>
      <c r="LSL3" s="3404"/>
      <c r="LSM3" s="3404"/>
      <c r="LSN3" s="3404"/>
      <c r="LSO3" s="3404"/>
      <c r="LSP3" s="3404"/>
      <c r="LSQ3" s="3404"/>
      <c r="LSR3" s="3404"/>
      <c r="LSS3" s="3404"/>
      <c r="LST3" s="3404"/>
      <c r="LSU3" s="3404"/>
      <c r="LSV3" s="3404"/>
      <c r="LSW3" s="3404"/>
      <c r="LSX3" s="3404"/>
      <c r="LSY3" s="3404"/>
      <c r="LSZ3" s="3404"/>
      <c r="LTA3" s="3404"/>
      <c r="LTB3" s="3404"/>
      <c r="LTC3" s="3404"/>
      <c r="LTD3" s="3404"/>
      <c r="LTE3" s="3404"/>
      <c r="LTF3" s="3404"/>
      <c r="LTG3" s="3404"/>
      <c r="LTH3" s="3404"/>
      <c r="LTI3" s="3404"/>
      <c r="LTJ3" s="3404"/>
      <c r="LTK3" s="3404"/>
      <c r="LTL3" s="3404"/>
      <c r="LTM3" s="3404"/>
      <c r="LTN3" s="3404"/>
      <c r="LTO3" s="3404"/>
      <c r="LTP3" s="3404"/>
      <c r="LTQ3" s="3404"/>
      <c r="LTR3" s="3404"/>
      <c r="LTS3" s="3404"/>
      <c r="LTT3" s="3404"/>
      <c r="LTU3" s="3404"/>
      <c r="LTV3" s="3404"/>
      <c r="LTW3" s="3404"/>
      <c r="LTX3" s="3404"/>
      <c r="LTY3" s="3404"/>
      <c r="LTZ3" s="3404"/>
      <c r="LUA3" s="3404"/>
      <c r="LUB3" s="3404"/>
      <c r="LUC3" s="3404"/>
      <c r="LUD3" s="3404"/>
      <c r="LUE3" s="3404"/>
      <c r="LUF3" s="3404"/>
      <c r="LUG3" s="3404"/>
      <c r="LUH3" s="3404"/>
      <c r="LUI3" s="3404"/>
      <c r="LUJ3" s="3404"/>
      <c r="LUK3" s="3404"/>
      <c r="LUL3" s="3404"/>
      <c r="LUM3" s="3404"/>
      <c r="LUN3" s="3404"/>
      <c r="LUO3" s="3404"/>
      <c r="LUP3" s="3404"/>
      <c r="LUQ3" s="3404"/>
      <c r="LUR3" s="3404"/>
      <c r="LUS3" s="3404"/>
      <c r="LUT3" s="3404"/>
      <c r="LUU3" s="3404"/>
      <c r="LUV3" s="3404"/>
      <c r="LUW3" s="3404"/>
      <c r="LUX3" s="3404"/>
      <c r="LUY3" s="3404"/>
      <c r="LUZ3" s="3404"/>
      <c r="LVA3" s="3404"/>
      <c r="LVB3" s="3404"/>
      <c r="LVC3" s="3404"/>
      <c r="LVD3" s="3404"/>
      <c r="LVE3" s="3404"/>
      <c r="LVF3" s="3404"/>
      <c r="LVG3" s="3404"/>
      <c r="LVH3" s="3404"/>
      <c r="LVI3" s="3404"/>
      <c r="LVJ3" s="3404"/>
      <c r="LVK3" s="3404"/>
      <c r="LVL3" s="3404"/>
      <c r="LVM3" s="3404"/>
      <c r="LVN3" s="3404"/>
      <c r="LVO3" s="3404"/>
      <c r="LVP3" s="3404"/>
      <c r="LVQ3" s="3404"/>
      <c r="LVR3" s="3404"/>
      <c r="LVS3" s="3404"/>
      <c r="LVT3" s="3404"/>
      <c r="LVU3" s="3404"/>
      <c r="LVV3" s="3404"/>
      <c r="LVW3" s="3404"/>
      <c r="LVX3" s="3404"/>
      <c r="LVY3" s="3404"/>
      <c r="LVZ3" s="3404"/>
      <c r="LWA3" s="3404"/>
      <c r="LWB3" s="3404"/>
      <c r="LWC3" s="3404"/>
      <c r="LWD3" s="3404"/>
      <c r="LWE3" s="3404"/>
      <c r="LWF3" s="3404"/>
      <c r="LWG3" s="3404"/>
      <c r="LWH3" s="3404"/>
      <c r="LWI3" s="3404"/>
      <c r="LWJ3" s="3404"/>
      <c r="LWK3" s="3404"/>
      <c r="LWL3" s="3404"/>
      <c r="LWM3" s="3404"/>
      <c r="LWN3" s="3404"/>
      <c r="LWO3" s="3404"/>
      <c r="LWP3" s="3404"/>
      <c r="LWQ3" s="3404"/>
      <c r="LWR3" s="3404"/>
      <c r="LWS3" s="3404"/>
      <c r="LWT3" s="3404"/>
      <c r="LWU3" s="3404"/>
      <c r="LWV3" s="3404"/>
      <c r="LWW3" s="3404"/>
      <c r="LWX3" s="3404"/>
      <c r="LWY3" s="3404"/>
      <c r="LWZ3" s="3404"/>
      <c r="LXA3" s="3404"/>
      <c r="LXB3" s="3404"/>
      <c r="LXC3" s="3404"/>
      <c r="LXD3" s="3404"/>
      <c r="LXE3" s="3404"/>
      <c r="LXF3" s="3404"/>
      <c r="LXG3" s="3404"/>
      <c r="LXH3" s="3404"/>
      <c r="LXI3" s="3404"/>
      <c r="LXJ3" s="3404"/>
      <c r="LXK3" s="3404"/>
      <c r="LXL3" s="3404"/>
      <c r="LXM3" s="3404"/>
      <c r="LXN3" s="3404"/>
      <c r="LXO3" s="3404"/>
      <c r="LXP3" s="3404"/>
      <c r="LXQ3" s="3404"/>
      <c r="LXR3" s="3404"/>
      <c r="LXS3" s="3404"/>
      <c r="LXT3" s="3404"/>
      <c r="LXU3" s="3404"/>
      <c r="LXV3" s="3404"/>
      <c r="LXW3" s="3404"/>
      <c r="LXX3" s="3404"/>
      <c r="LXY3" s="3404"/>
      <c r="LXZ3" s="3404"/>
      <c r="LYA3" s="3404"/>
      <c r="LYB3" s="3404"/>
      <c r="LYC3" s="3404"/>
      <c r="LYD3" s="3404"/>
      <c r="LYE3" s="3404"/>
      <c r="LYF3" s="3404"/>
      <c r="LYG3" s="3404"/>
      <c r="LYH3" s="3404"/>
      <c r="LYI3" s="3404"/>
      <c r="LYJ3" s="3404"/>
      <c r="LYK3" s="3404"/>
      <c r="LYL3" s="3404"/>
      <c r="LYM3" s="3404"/>
      <c r="LYN3" s="3404"/>
      <c r="LYO3" s="3404"/>
      <c r="LYP3" s="3404"/>
      <c r="LYQ3" s="3404"/>
      <c r="LYR3" s="3404"/>
      <c r="LYS3" s="3404"/>
      <c r="LYT3" s="3404"/>
      <c r="LYU3" s="3404"/>
      <c r="LYV3" s="3404"/>
      <c r="LYW3" s="3404"/>
      <c r="LYX3" s="3404"/>
      <c r="LYY3" s="3404"/>
      <c r="LYZ3" s="3404"/>
      <c r="LZA3" s="3404"/>
      <c r="LZB3" s="3404"/>
      <c r="LZC3" s="3404"/>
      <c r="LZD3" s="3404"/>
      <c r="LZE3" s="3404"/>
      <c r="LZF3" s="3404"/>
      <c r="LZG3" s="3404"/>
      <c r="LZH3" s="3404"/>
      <c r="LZI3" s="3404"/>
      <c r="LZJ3" s="3404"/>
      <c r="LZK3" s="3404"/>
      <c r="LZL3" s="3404"/>
      <c r="LZM3" s="3404"/>
      <c r="LZN3" s="3404"/>
      <c r="LZO3" s="3404"/>
      <c r="LZP3" s="3404"/>
      <c r="LZQ3" s="3404"/>
      <c r="LZR3" s="3404"/>
      <c r="LZS3" s="3404"/>
      <c r="LZT3" s="3404"/>
      <c r="LZU3" s="3404"/>
      <c r="LZV3" s="3404"/>
      <c r="LZW3" s="3404"/>
      <c r="LZX3" s="3404"/>
      <c r="LZY3" s="3404"/>
      <c r="LZZ3" s="3404"/>
      <c r="MAA3" s="3404"/>
      <c r="MAB3" s="3404"/>
      <c r="MAC3" s="3404"/>
      <c r="MAD3" s="3404"/>
      <c r="MAE3" s="3404"/>
      <c r="MAF3" s="3404"/>
      <c r="MAG3" s="3404"/>
      <c r="MAH3" s="3404"/>
      <c r="MAI3" s="3404"/>
      <c r="MAJ3" s="3404"/>
      <c r="MAK3" s="3404"/>
      <c r="MAL3" s="3404"/>
      <c r="MAM3" s="3404"/>
      <c r="MAN3" s="3404"/>
      <c r="MAO3" s="3404"/>
      <c r="MAP3" s="3404"/>
      <c r="MAQ3" s="3404"/>
      <c r="MAR3" s="3404"/>
      <c r="MAS3" s="3404"/>
      <c r="MAT3" s="3404"/>
      <c r="MAU3" s="3404"/>
      <c r="MAV3" s="3404"/>
      <c r="MAW3" s="3404"/>
      <c r="MAX3" s="3404"/>
      <c r="MAY3" s="3404"/>
      <c r="MAZ3" s="3404"/>
      <c r="MBA3" s="3404"/>
      <c r="MBB3" s="3404"/>
      <c r="MBC3" s="3404"/>
      <c r="MBD3" s="3404"/>
      <c r="MBE3" s="3404"/>
      <c r="MBF3" s="3404"/>
      <c r="MBG3" s="3404"/>
      <c r="MBH3" s="3404"/>
      <c r="MBI3" s="3404"/>
      <c r="MBJ3" s="3404"/>
      <c r="MBK3" s="3404"/>
      <c r="MBL3" s="3404"/>
      <c r="MBM3" s="3404"/>
      <c r="MBN3" s="3404"/>
      <c r="MBO3" s="3404"/>
      <c r="MBP3" s="3404"/>
      <c r="MBQ3" s="3404"/>
      <c r="MBR3" s="3404"/>
      <c r="MBS3" s="3404"/>
      <c r="MBT3" s="3404"/>
      <c r="MBU3" s="3404"/>
      <c r="MBV3" s="3404"/>
      <c r="MBW3" s="3404"/>
      <c r="MBX3" s="3404"/>
      <c r="MBY3" s="3404"/>
      <c r="MBZ3" s="3404"/>
      <c r="MCA3" s="3404"/>
      <c r="MCB3" s="3404"/>
      <c r="MCC3" s="3404"/>
      <c r="MCD3" s="3404"/>
      <c r="MCE3" s="3404"/>
      <c r="MCF3" s="3404"/>
      <c r="MCG3" s="3404"/>
      <c r="MCH3" s="3404"/>
      <c r="MCI3" s="3404"/>
      <c r="MCJ3" s="3404"/>
      <c r="MCK3" s="3404"/>
      <c r="MCL3" s="3404"/>
      <c r="MCM3" s="3404"/>
      <c r="MCN3" s="3404"/>
      <c r="MCO3" s="3404"/>
      <c r="MCP3" s="3404"/>
      <c r="MCQ3" s="3404"/>
      <c r="MCR3" s="3404"/>
      <c r="MCS3" s="3404"/>
      <c r="MCT3" s="3404"/>
      <c r="MCU3" s="3404"/>
      <c r="MCV3" s="3404"/>
      <c r="MCW3" s="3404"/>
      <c r="MCX3" s="3404"/>
      <c r="MCY3" s="3404"/>
      <c r="MCZ3" s="3404"/>
      <c r="MDA3" s="3404"/>
      <c r="MDB3" s="3404"/>
      <c r="MDC3" s="3404"/>
      <c r="MDD3" s="3404"/>
      <c r="MDE3" s="3404"/>
      <c r="MDF3" s="3404"/>
      <c r="MDG3" s="3404"/>
      <c r="MDH3" s="3404"/>
      <c r="MDI3" s="3404"/>
      <c r="MDJ3" s="3404"/>
      <c r="MDK3" s="3404"/>
      <c r="MDL3" s="3404"/>
      <c r="MDM3" s="3404"/>
      <c r="MDN3" s="3404"/>
      <c r="MDO3" s="3404"/>
      <c r="MDP3" s="3404"/>
      <c r="MDQ3" s="3404"/>
      <c r="MDR3" s="3404"/>
      <c r="MDS3" s="3404"/>
      <c r="MDT3" s="3404"/>
      <c r="MDU3" s="3404"/>
      <c r="MDV3" s="3404"/>
      <c r="MDW3" s="3404"/>
      <c r="MDX3" s="3404"/>
      <c r="MDY3" s="3404"/>
      <c r="MDZ3" s="3404"/>
      <c r="MEA3" s="3404"/>
      <c r="MEB3" s="3404"/>
      <c r="MEC3" s="3404"/>
      <c r="MED3" s="3404"/>
      <c r="MEE3" s="3404"/>
      <c r="MEF3" s="3404"/>
      <c r="MEG3" s="3404"/>
      <c r="MEH3" s="3404"/>
      <c r="MEI3" s="3404"/>
      <c r="MEJ3" s="3404"/>
      <c r="MEK3" s="3404"/>
      <c r="MEL3" s="3404"/>
      <c r="MEM3" s="3404"/>
      <c r="MEN3" s="3404"/>
      <c r="MEO3" s="3404"/>
      <c r="MEP3" s="3404"/>
      <c r="MEQ3" s="3404"/>
      <c r="MER3" s="3404"/>
      <c r="MES3" s="3404"/>
      <c r="MET3" s="3404"/>
      <c r="MEU3" s="3404"/>
      <c r="MEV3" s="3404"/>
      <c r="MEW3" s="3404"/>
      <c r="MEX3" s="3404"/>
      <c r="MEY3" s="3404"/>
      <c r="MEZ3" s="3404"/>
      <c r="MFA3" s="3404"/>
      <c r="MFB3" s="3404"/>
      <c r="MFC3" s="3404"/>
      <c r="MFD3" s="3404"/>
      <c r="MFE3" s="3404"/>
      <c r="MFF3" s="3404"/>
      <c r="MFG3" s="3404"/>
      <c r="MFH3" s="3404"/>
      <c r="MFI3" s="3404"/>
      <c r="MFJ3" s="3404"/>
      <c r="MFK3" s="3404"/>
      <c r="MFL3" s="3404"/>
      <c r="MFM3" s="3404"/>
      <c r="MFN3" s="3404"/>
      <c r="MFO3" s="3404"/>
      <c r="MFP3" s="3404"/>
      <c r="MFQ3" s="3404"/>
      <c r="MFR3" s="3404"/>
      <c r="MFS3" s="3404"/>
      <c r="MFT3" s="3404"/>
      <c r="MFU3" s="3404"/>
      <c r="MFV3" s="3404"/>
      <c r="MFW3" s="3404"/>
      <c r="MFX3" s="3404"/>
      <c r="MFY3" s="3404"/>
      <c r="MFZ3" s="3404"/>
      <c r="MGA3" s="3404"/>
      <c r="MGB3" s="3404"/>
      <c r="MGC3" s="3404"/>
      <c r="MGD3" s="3404"/>
      <c r="MGE3" s="3404"/>
      <c r="MGF3" s="3404"/>
      <c r="MGG3" s="3404"/>
      <c r="MGH3" s="3404"/>
      <c r="MGI3" s="3404"/>
      <c r="MGJ3" s="3404"/>
      <c r="MGK3" s="3404"/>
      <c r="MGL3" s="3404"/>
      <c r="MGM3" s="3404"/>
      <c r="MGN3" s="3404"/>
      <c r="MGO3" s="3404"/>
      <c r="MGP3" s="3404"/>
      <c r="MGQ3" s="3404"/>
      <c r="MGR3" s="3404"/>
      <c r="MGS3" s="3404"/>
      <c r="MGT3" s="3404"/>
      <c r="MGU3" s="3404"/>
      <c r="MGV3" s="3404"/>
      <c r="MGW3" s="3404"/>
      <c r="MGX3" s="3404"/>
      <c r="MGY3" s="3404"/>
      <c r="MGZ3" s="3404"/>
      <c r="MHA3" s="3404"/>
      <c r="MHB3" s="3404"/>
      <c r="MHC3" s="3404"/>
      <c r="MHD3" s="3404"/>
      <c r="MHE3" s="3404"/>
      <c r="MHF3" s="3404"/>
      <c r="MHG3" s="3404"/>
      <c r="MHH3" s="3404"/>
      <c r="MHI3" s="3404"/>
      <c r="MHJ3" s="3404"/>
      <c r="MHK3" s="3404"/>
      <c r="MHL3" s="3404"/>
      <c r="MHM3" s="3404"/>
      <c r="MHN3" s="3404"/>
      <c r="MHO3" s="3404"/>
      <c r="MHP3" s="3404"/>
      <c r="MHQ3" s="3404"/>
      <c r="MHR3" s="3404"/>
      <c r="MHS3" s="3404"/>
      <c r="MHT3" s="3404"/>
      <c r="MHU3" s="3404"/>
      <c r="MHV3" s="3404"/>
      <c r="MHW3" s="3404"/>
      <c r="MHX3" s="3404"/>
      <c r="MHY3" s="3404"/>
      <c r="MHZ3" s="3404"/>
      <c r="MIA3" s="3404"/>
      <c r="MIB3" s="3404"/>
      <c r="MIC3" s="3404"/>
      <c r="MID3" s="3404"/>
      <c r="MIE3" s="3404"/>
      <c r="MIF3" s="3404"/>
      <c r="MIG3" s="3404"/>
      <c r="MIH3" s="3404"/>
      <c r="MII3" s="3404"/>
      <c r="MIJ3" s="3404"/>
      <c r="MIK3" s="3404"/>
      <c r="MIL3" s="3404"/>
      <c r="MIM3" s="3404"/>
      <c r="MIN3" s="3404"/>
      <c r="MIO3" s="3404"/>
      <c r="MIP3" s="3404"/>
      <c r="MIQ3" s="3404"/>
      <c r="MIR3" s="3404"/>
      <c r="MIS3" s="3404"/>
      <c r="MIT3" s="3404"/>
      <c r="MIU3" s="3404"/>
      <c r="MIV3" s="3404"/>
      <c r="MIW3" s="3404"/>
      <c r="MIX3" s="3404"/>
      <c r="MIY3" s="3404"/>
      <c r="MIZ3" s="3404"/>
      <c r="MJA3" s="3404"/>
      <c r="MJB3" s="3404"/>
      <c r="MJC3" s="3404"/>
      <c r="MJD3" s="3404"/>
      <c r="MJE3" s="3404"/>
      <c r="MJF3" s="3404"/>
      <c r="MJG3" s="3404"/>
      <c r="MJH3" s="3404"/>
      <c r="MJI3" s="3404"/>
      <c r="MJJ3" s="3404"/>
      <c r="MJK3" s="3404"/>
      <c r="MJL3" s="3404"/>
      <c r="MJM3" s="3404"/>
      <c r="MJN3" s="3404"/>
      <c r="MJO3" s="3404"/>
      <c r="MJP3" s="3404"/>
      <c r="MJQ3" s="3404"/>
      <c r="MJR3" s="3404"/>
      <c r="MJS3" s="3404"/>
      <c r="MJT3" s="3404"/>
      <c r="MJU3" s="3404"/>
      <c r="MJV3" s="3404"/>
      <c r="MJW3" s="3404"/>
      <c r="MJX3" s="3404"/>
      <c r="MJY3" s="3404"/>
      <c r="MJZ3" s="3404"/>
      <c r="MKA3" s="3404"/>
      <c r="MKB3" s="3404"/>
      <c r="MKC3" s="3404"/>
      <c r="MKD3" s="3404"/>
      <c r="MKE3" s="3404"/>
      <c r="MKF3" s="3404"/>
      <c r="MKG3" s="3404"/>
      <c r="MKH3" s="3404"/>
      <c r="MKI3" s="3404"/>
      <c r="MKJ3" s="3404"/>
      <c r="MKK3" s="3404"/>
      <c r="MKL3" s="3404"/>
      <c r="MKM3" s="3404"/>
      <c r="MKN3" s="3404"/>
      <c r="MKO3" s="3404"/>
      <c r="MKP3" s="3404"/>
      <c r="MKQ3" s="3404"/>
      <c r="MKR3" s="3404"/>
      <c r="MKS3" s="3404"/>
      <c r="MKT3" s="3404"/>
      <c r="MKU3" s="3404"/>
      <c r="MKV3" s="3404"/>
      <c r="MKW3" s="3404"/>
      <c r="MKX3" s="3404"/>
      <c r="MKY3" s="3404"/>
      <c r="MKZ3" s="3404"/>
      <c r="MLA3" s="3404"/>
      <c r="MLB3" s="3404"/>
      <c r="MLC3" s="3404"/>
      <c r="MLD3" s="3404"/>
      <c r="MLE3" s="3404"/>
      <c r="MLF3" s="3404"/>
      <c r="MLG3" s="3404"/>
      <c r="MLH3" s="3404"/>
      <c r="MLI3" s="3404"/>
      <c r="MLJ3" s="3404"/>
      <c r="MLK3" s="3404"/>
      <c r="MLL3" s="3404"/>
      <c r="MLM3" s="3404"/>
      <c r="MLN3" s="3404"/>
      <c r="MLO3" s="3404"/>
      <c r="MLP3" s="3404"/>
      <c r="MLQ3" s="3404"/>
      <c r="MLR3" s="3404"/>
      <c r="MLS3" s="3404"/>
      <c r="MLT3" s="3404"/>
      <c r="MLU3" s="3404"/>
      <c r="MLV3" s="3404"/>
      <c r="MLW3" s="3404"/>
      <c r="MLX3" s="3404"/>
      <c r="MLY3" s="3404"/>
      <c r="MLZ3" s="3404"/>
      <c r="MMA3" s="3404"/>
      <c r="MMB3" s="3404"/>
      <c r="MMC3" s="3404"/>
      <c r="MMD3" s="3404"/>
      <c r="MME3" s="3404"/>
      <c r="MMF3" s="3404"/>
      <c r="MMG3" s="3404"/>
      <c r="MMH3" s="3404"/>
      <c r="MMI3" s="3404"/>
      <c r="MMJ3" s="3404"/>
      <c r="MMK3" s="3404"/>
      <c r="MML3" s="3404"/>
      <c r="MMM3" s="3404"/>
      <c r="MMN3" s="3404"/>
      <c r="MMO3" s="3404"/>
      <c r="MMP3" s="3404"/>
      <c r="MMQ3" s="3404"/>
      <c r="MMR3" s="3404"/>
      <c r="MMS3" s="3404"/>
      <c r="MMT3" s="3404"/>
      <c r="MMU3" s="3404"/>
      <c r="MMV3" s="3404"/>
      <c r="MMW3" s="3404"/>
      <c r="MMX3" s="3404"/>
      <c r="MMY3" s="3404"/>
      <c r="MMZ3" s="3404"/>
      <c r="MNA3" s="3404"/>
      <c r="MNB3" s="3404"/>
      <c r="MNC3" s="3404"/>
      <c r="MND3" s="3404"/>
      <c r="MNE3" s="3404"/>
      <c r="MNF3" s="3404"/>
      <c r="MNG3" s="3404"/>
      <c r="MNH3" s="3404"/>
      <c r="MNI3" s="3404"/>
      <c r="MNJ3" s="3404"/>
      <c r="MNK3" s="3404"/>
      <c r="MNL3" s="3404"/>
      <c r="MNM3" s="3404"/>
      <c r="MNN3" s="3404"/>
      <c r="MNO3" s="3404"/>
      <c r="MNP3" s="3404"/>
      <c r="MNQ3" s="3404"/>
      <c r="MNR3" s="3404"/>
      <c r="MNS3" s="3404"/>
      <c r="MNT3" s="3404"/>
      <c r="MNU3" s="3404"/>
      <c r="MNV3" s="3404"/>
      <c r="MNW3" s="3404"/>
      <c r="MNX3" s="3404"/>
      <c r="MNY3" s="3404"/>
      <c r="MNZ3" s="3404"/>
      <c r="MOA3" s="3404"/>
      <c r="MOB3" s="3404"/>
      <c r="MOC3" s="3404"/>
      <c r="MOD3" s="3404"/>
      <c r="MOE3" s="3404"/>
      <c r="MOF3" s="3404"/>
      <c r="MOG3" s="3404"/>
      <c r="MOH3" s="3404"/>
      <c r="MOI3" s="3404"/>
      <c r="MOJ3" s="3404"/>
      <c r="MOK3" s="3404"/>
      <c r="MOL3" s="3404"/>
      <c r="MOM3" s="3404"/>
      <c r="MON3" s="3404"/>
      <c r="MOO3" s="3404"/>
      <c r="MOP3" s="3404"/>
      <c r="MOQ3" s="3404"/>
      <c r="MOR3" s="3404"/>
      <c r="MOS3" s="3404"/>
      <c r="MOT3" s="3404"/>
      <c r="MOU3" s="3404"/>
      <c r="MOV3" s="3404"/>
      <c r="MOW3" s="3404"/>
      <c r="MOX3" s="3404"/>
      <c r="MOY3" s="3404"/>
      <c r="MOZ3" s="3404"/>
      <c r="MPA3" s="3404"/>
      <c r="MPB3" s="3404"/>
      <c r="MPC3" s="3404"/>
      <c r="MPD3" s="3404"/>
      <c r="MPE3" s="3404"/>
      <c r="MPF3" s="3404"/>
      <c r="MPG3" s="3404"/>
      <c r="MPH3" s="3404"/>
      <c r="MPI3" s="3404"/>
      <c r="MPJ3" s="3404"/>
      <c r="MPK3" s="3404"/>
      <c r="MPL3" s="3404"/>
      <c r="MPM3" s="3404"/>
      <c r="MPN3" s="3404"/>
      <c r="MPO3" s="3404"/>
      <c r="MPP3" s="3404"/>
      <c r="MPQ3" s="3404"/>
      <c r="MPR3" s="3404"/>
      <c r="MPS3" s="3404"/>
      <c r="MPT3" s="3404"/>
      <c r="MPU3" s="3404"/>
      <c r="MPV3" s="3404"/>
      <c r="MPW3" s="3404"/>
      <c r="MPX3" s="3404"/>
      <c r="MPY3" s="3404"/>
      <c r="MPZ3" s="3404"/>
      <c r="MQA3" s="3404"/>
      <c r="MQB3" s="3404"/>
      <c r="MQC3" s="3404"/>
      <c r="MQD3" s="3404"/>
      <c r="MQE3" s="3404"/>
      <c r="MQF3" s="3404"/>
      <c r="MQG3" s="3404"/>
      <c r="MQH3" s="3404"/>
      <c r="MQI3" s="3404"/>
      <c r="MQJ3" s="3404"/>
      <c r="MQK3" s="3404"/>
      <c r="MQL3" s="3404"/>
      <c r="MQM3" s="3404"/>
      <c r="MQN3" s="3404"/>
      <c r="MQO3" s="3404"/>
      <c r="MQP3" s="3404"/>
      <c r="MQQ3" s="3404"/>
      <c r="MQR3" s="3404"/>
      <c r="MQS3" s="3404"/>
      <c r="MQT3" s="3404"/>
      <c r="MQU3" s="3404"/>
      <c r="MQV3" s="3404"/>
      <c r="MQW3" s="3404"/>
      <c r="MQX3" s="3404"/>
      <c r="MQY3" s="3404"/>
      <c r="MQZ3" s="3404"/>
      <c r="MRA3" s="3404"/>
      <c r="MRB3" s="3404"/>
      <c r="MRC3" s="3404"/>
      <c r="MRD3" s="3404"/>
      <c r="MRE3" s="3404"/>
      <c r="MRF3" s="3404"/>
      <c r="MRG3" s="3404"/>
      <c r="MRH3" s="3404"/>
      <c r="MRI3" s="3404"/>
      <c r="MRJ3" s="3404"/>
      <c r="MRK3" s="3404"/>
      <c r="MRL3" s="3404"/>
      <c r="MRM3" s="3404"/>
      <c r="MRN3" s="3404"/>
      <c r="MRO3" s="3404"/>
      <c r="MRP3" s="3404"/>
      <c r="MRQ3" s="3404"/>
      <c r="MRR3" s="3404"/>
      <c r="MRS3" s="3404"/>
      <c r="MRT3" s="3404"/>
      <c r="MRU3" s="3404"/>
      <c r="MRV3" s="3404"/>
      <c r="MRW3" s="3404"/>
      <c r="MRX3" s="3404"/>
      <c r="MRY3" s="3404"/>
      <c r="MRZ3" s="3404"/>
      <c r="MSA3" s="3404"/>
      <c r="MSB3" s="3404"/>
      <c r="MSC3" s="3404"/>
      <c r="MSD3" s="3404"/>
      <c r="MSE3" s="3404"/>
      <c r="MSF3" s="3404"/>
      <c r="MSG3" s="3404"/>
      <c r="MSH3" s="3404"/>
      <c r="MSI3" s="3404"/>
      <c r="MSJ3" s="3404"/>
      <c r="MSK3" s="3404"/>
      <c r="MSL3" s="3404"/>
      <c r="MSM3" s="3404"/>
      <c r="MSN3" s="3404"/>
      <c r="MSO3" s="3404"/>
      <c r="MSP3" s="3404"/>
      <c r="MSQ3" s="3404"/>
      <c r="MSR3" s="3404"/>
      <c r="MSS3" s="3404"/>
      <c r="MST3" s="3404"/>
      <c r="MSU3" s="3404"/>
      <c r="MSV3" s="3404"/>
      <c r="MSW3" s="3404"/>
      <c r="MSX3" s="3404"/>
      <c r="MSY3" s="3404"/>
      <c r="MSZ3" s="3404"/>
      <c r="MTA3" s="3404"/>
      <c r="MTB3" s="3404"/>
      <c r="MTC3" s="3404"/>
      <c r="MTD3" s="3404"/>
      <c r="MTE3" s="3404"/>
      <c r="MTF3" s="3404"/>
      <c r="MTG3" s="3404"/>
      <c r="MTH3" s="3404"/>
      <c r="MTI3" s="3404"/>
      <c r="MTJ3" s="3404"/>
      <c r="MTK3" s="3404"/>
      <c r="MTL3" s="3404"/>
      <c r="MTM3" s="3404"/>
      <c r="MTN3" s="3404"/>
      <c r="MTO3" s="3404"/>
      <c r="MTP3" s="3404"/>
      <c r="MTQ3" s="3404"/>
      <c r="MTR3" s="3404"/>
      <c r="MTS3" s="3404"/>
      <c r="MTT3" s="3404"/>
      <c r="MTU3" s="3404"/>
      <c r="MTV3" s="3404"/>
      <c r="MTW3" s="3404"/>
      <c r="MTX3" s="3404"/>
      <c r="MTY3" s="3404"/>
      <c r="MTZ3" s="3404"/>
      <c r="MUA3" s="3404"/>
      <c r="MUB3" s="3404"/>
      <c r="MUC3" s="3404"/>
      <c r="MUD3" s="3404"/>
      <c r="MUE3" s="3404"/>
      <c r="MUF3" s="3404"/>
      <c r="MUG3" s="3404"/>
      <c r="MUH3" s="3404"/>
      <c r="MUI3" s="3404"/>
      <c r="MUJ3" s="3404"/>
      <c r="MUK3" s="3404"/>
      <c r="MUL3" s="3404"/>
      <c r="MUM3" s="3404"/>
      <c r="MUN3" s="3404"/>
      <c r="MUO3" s="3404"/>
      <c r="MUP3" s="3404"/>
      <c r="MUQ3" s="3404"/>
      <c r="MUR3" s="3404"/>
      <c r="MUS3" s="3404"/>
      <c r="MUT3" s="3404"/>
      <c r="MUU3" s="3404"/>
      <c r="MUV3" s="3404"/>
      <c r="MUW3" s="3404"/>
      <c r="MUX3" s="3404"/>
      <c r="MUY3" s="3404"/>
      <c r="MUZ3" s="3404"/>
      <c r="MVA3" s="3404"/>
      <c r="MVB3" s="3404"/>
      <c r="MVC3" s="3404"/>
      <c r="MVD3" s="3404"/>
      <c r="MVE3" s="3404"/>
      <c r="MVF3" s="3404"/>
      <c r="MVG3" s="3404"/>
      <c r="MVH3" s="3404"/>
      <c r="MVI3" s="3404"/>
      <c r="MVJ3" s="3404"/>
      <c r="MVK3" s="3404"/>
      <c r="MVL3" s="3404"/>
      <c r="MVM3" s="3404"/>
      <c r="MVN3" s="3404"/>
      <c r="MVO3" s="3404"/>
      <c r="MVP3" s="3404"/>
      <c r="MVQ3" s="3404"/>
      <c r="MVR3" s="3404"/>
      <c r="MVS3" s="3404"/>
      <c r="MVT3" s="3404"/>
      <c r="MVU3" s="3404"/>
      <c r="MVV3" s="3404"/>
      <c r="MVW3" s="3404"/>
      <c r="MVX3" s="3404"/>
      <c r="MVY3" s="3404"/>
      <c r="MVZ3" s="3404"/>
      <c r="MWA3" s="3404"/>
      <c r="MWB3" s="3404"/>
      <c r="MWC3" s="3404"/>
      <c r="MWD3" s="3404"/>
      <c r="MWE3" s="3404"/>
      <c r="MWF3" s="3404"/>
      <c r="MWG3" s="3404"/>
      <c r="MWH3" s="3404"/>
      <c r="MWI3" s="3404"/>
      <c r="MWJ3" s="3404"/>
      <c r="MWK3" s="3404"/>
      <c r="MWL3" s="3404"/>
      <c r="MWM3" s="3404"/>
      <c r="MWN3" s="3404"/>
      <c r="MWO3" s="3404"/>
      <c r="MWP3" s="3404"/>
      <c r="MWQ3" s="3404"/>
      <c r="MWR3" s="3404"/>
      <c r="MWS3" s="3404"/>
      <c r="MWT3" s="3404"/>
      <c r="MWU3" s="3404"/>
      <c r="MWV3" s="3404"/>
      <c r="MWW3" s="3404"/>
      <c r="MWX3" s="3404"/>
      <c r="MWY3" s="3404"/>
      <c r="MWZ3" s="3404"/>
      <c r="MXA3" s="3404"/>
      <c r="MXB3" s="3404"/>
      <c r="MXC3" s="3404"/>
      <c r="MXD3" s="3404"/>
      <c r="MXE3" s="3404"/>
      <c r="MXF3" s="3404"/>
      <c r="MXG3" s="3404"/>
      <c r="MXH3" s="3404"/>
      <c r="MXI3" s="3404"/>
      <c r="MXJ3" s="3404"/>
      <c r="MXK3" s="3404"/>
      <c r="MXL3" s="3404"/>
      <c r="MXM3" s="3404"/>
      <c r="MXN3" s="3404"/>
      <c r="MXO3" s="3404"/>
      <c r="MXP3" s="3404"/>
      <c r="MXQ3" s="3404"/>
      <c r="MXR3" s="3404"/>
      <c r="MXS3" s="3404"/>
      <c r="MXT3" s="3404"/>
      <c r="MXU3" s="3404"/>
      <c r="MXV3" s="3404"/>
      <c r="MXW3" s="3404"/>
      <c r="MXX3" s="3404"/>
      <c r="MXY3" s="3404"/>
      <c r="MXZ3" s="3404"/>
      <c r="MYA3" s="3404"/>
      <c r="MYB3" s="3404"/>
      <c r="MYC3" s="3404"/>
      <c r="MYD3" s="3404"/>
      <c r="MYE3" s="3404"/>
      <c r="MYF3" s="3404"/>
      <c r="MYG3" s="3404"/>
      <c r="MYH3" s="3404"/>
      <c r="MYI3" s="3404"/>
      <c r="MYJ3" s="3404"/>
      <c r="MYK3" s="3404"/>
      <c r="MYL3" s="3404"/>
      <c r="MYM3" s="3404"/>
      <c r="MYN3" s="3404"/>
      <c r="MYO3" s="3404"/>
      <c r="MYP3" s="3404"/>
      <c r="MYQ3" s="3404"/>
      <c r="MYR3" s="3404"/>
      <c r="MYS3" s="3404"/>
      <c r="MYT3" s="3404"/>
      <c r="MYU3" s="3404"/>
      <c r="MYV3" s="3404"/>
      <c r="MYW3" s="3404"/>
      <c r="MYX3" s="3404"/>
      <c r="MYY3" s="3404"/>
      <c r="MYZ3" s="3404"/>
      <c r="MZA3" s="3404"/>
      <c r="MZB3" s="3404"/>
      <c r="MZC3" s="3404"/>
      <c r="MZD3" s="3404"/>
      <c r="MZE3" s="3404"/>
      <c r="MZF3" s="3404"/>
      <c r="MZG3" s="3404"/>
      <c r="MZH3" s="3404"/>
      <c r="MZI3" s="3404"/>
      <c r="MZJ3" s="3404"/>
      <c r="MZK3" s="3404"/>
      <c r="MZL3" s="3404"/>
      <c r="MZM3" s="3404"/>
      <c r="MZN3" s="3404"/>
      <c r="MZO3" s="3404"/>
      <c r="MZP3" s="3404"/>
      <c r="MZQ3" s="3404"/>
      <c r="MZR3" s="3404"/>
      <c r="MZS3" s="3404"/>
      <c r="MZT3" s="3404"/>
      <c r="MZU3" s="3404"/>
      <c r="MZV3" s="3404"/>
      <c r="MZW3" s="3404"/>
      <c r="MZX3" s="3404"/>
      <c r="MZY3" s="3404"/>
      <c r="MZZ3" s="3404"/>
      <c r="NAA3" s="3404"/>
      <c r="NAB3" s="3404"/>
      <c r="NAC3" s="3404"/>
      <c r="NAD3" s="3404"/>
      <c r="NAE3" s="3404"/>
      <c r="NAF3" s="3404"/>
      <c r="NAG3" s="3404"/>
      <c r="NAH3" s="3404"/>
      <c r="NAI3" s="3404"/>
      <c r="NAJ3" s="3404"/>
      <c r="NAK3" s="3404"/>
      <c r="NAL3" s="3404"/>
      <c r="NAM3" s="3404"/>
      <c r="NAN3" s="3404"/>
      <c r="NAO3" s="3404"/>
      <c r="NAP3" s="3404"/>
      <c r="NAQ3" s="3404"/>
      <c r="NAR3" s="3404"/>
      <c r="NAS3" s="3404"/>
      <c r="NAT3" s="3404"/>
      <c r="NAU3" s="3404"/>
      <c r="NAV3" s="3404"/>
      <c r="NAW3" s="3404"/>
      <c r="NAX3" s="3404"/>
      <c r="NAY3" s="3404"/>
      <c r="NAZ3" s="3404"/>
      <c r="NBA3" s="3404"/>
      <c r="NBB3" s="3404"/>
      <c r="NBC3" s="3404"/>
      <c r="NBD3" s="3404"/>
      <c r="NBE3" s="3404"/>
      <c r="NBF3" s="3404"/>
      <c r="NBG3" s="3404"/>
      <c r="NBH3" s="3404"/>
      <c r="NBI3" s="3404"/>
      <c r="NBJ3" s="3404"/>
      <c r="NBK3" s="3404"/>
      <c r="NBL3" s="3404"/>
      <c r="NBM3" s="3404"/>
      <c r="NBN3" s="3404"/>
      <c r="NBO3" s="3404"/>
      <c r="NBP3" s="3404"/>
      <c r="NBQ3" s="3404"/>
      <c r="NBR3" s="3404"/>
      <c r="NBS3" s="3404"/>
      <c r="NBT3" s="3404"/>
      <c r="NBU3" s="3404"/>
      <c r="NBV3" s="3404"/>
      <c r="NBW3" s="3404"/>
      <c r="NBX3" s="3404"/>
      <c r="NBY3" s="3404"/>
      <c r="NBZ3" s="3404"/>
      <c r="NCA3" s="3404"/>
      <c r="NCB3" s="3404"/>
      <c r="NCC3" s="3404"/>
      <c r="NCD3" s="3404"/>
      <c r="NCE3" s="3404"/>
      <c r="NCF3" s="3404"/>
      <c r="NCG3" s="3404"/>
      <c r="NCH3" s="3404"/>
      <c r="NCI3" s="3404"/>
      <c r="NCJ3" s="3404"/>
      <c r="NCK3" s="3404"/>
      <c r="NCL3" s="3404"/>
      <c r="NCM3" s="3404"/>
      <c r="NCN3" s="3404"/>
      <c r="NCO3" s="3404"/>
      <c r="NCP3" s="3404"/>
      <c r="NCQ3" s="3404"/>
      <c r="NCR3" s="3404"/>
      <c r="NCS3" s="3404"/>
      <c r="NCT3" s="3404"/>
      <c r="NCU3" s="3404"/>
      <c r="NCV3" s="3404"/>
      <c r="NCW3" s="3404"/>
      <c r="NCX3" s="3404"/>
      <c r="NCY3" s="3404"/>
      <c r="NCZ3" s="3404"/>
      <c r="NDA3" s="3404"/>
      <c r="NDB3" s="3404"/>
      <c r="NDC3" s="3404"/>
      <c r="NDD3" s="3404"/>
      <c r="NDE3" s="3404"/>
      <c r="NDF3" s="3404"/>
      <c r="NDG3" s="3404"/>
      <c r="NDH3" s="3404"/>
      <c r="NDI3" s="3404"/>
      <c r="NDJ3" s="3404"/>
      <c r="NDK3" s="3404"/>
      <c r="NDL3" s="3404"/>
      <c r="NDM3" s="3404"/>
      <c r="NDN3" s="3404"/>
      <c r="NDO3" s="3404"/>
      <c r="NDP3" s="3404"/>
      <c r="NDQ3" s="3404"/>
      <c r="NDR3" s="3404"/>
      <c r="NDS3" s="3404"/>
      <c r="NDT3" s="3404"/>
      <c r="NDU3" s="3404"/>
      <c r="NDV3" s="3404"/>
      <c r="NDW3" s="3404"/>
      <c r="NDX3" s="3404"/>
      <c r="NDY3" s="3404"/>
      <c r="NDZ3" s="3404"/>
      <c r="NEA3" s="3404"/>
      <c r="NEB3" s="3404"/>
      <c r="NEC3" s="3404"/>
      <c r="NED3" s="3404"/>
      <c r="NEE3" s="3404"/>
      <c r="NEF3" s="3404"/>
      <c r="NEG3" s="3404"/>
      <c r="NEH3" s="3404"/>
      <c r="NEI3" s="3404"/>
      <c r="NEJ3" s="3404"/>
      <c r="NEK3" s="3404"/>
      <c r="NEL3" s="3404"/>
      <c r="NEM3" s="3404"/>
      <c r="NEN3" s="3404"/>
      <c r="NEO3" s="3404"/>
      <c r="NEP3" s="3404"/>
      <c r="NEQ3" s="3404"/>
      <c r="NER3" s="3404"/>
      <c r="NES3" s="3404"/>
      <c r="NET3" s="3404"/>
      <c r="NEU3" s="3404"/>
      <c r="NEV3" s="3404"/>
      <c r="NEW3" s="3404"/>
      <c r="NEX3" s="3404"/>
      <c r="NEY3" s="3404"/>
      <c r="NEZ3" s="3404"/>
      <c r="NFA3" s="3404"/>
      <c r="NFB3" s="3404"/>
      <c r="NFC3" s="3404"/>
      <c r="NFD3" s="3404"/>
      <c r="NFE3" s="3404"/>
      <c r="NFF3" s="3404"/>
      <c r="NFG3" s="3404"/>
      <c r="NFH3" s="3404"/>
      <c r="NFI3" s="3404"/>
      <c r="NFJ3" s="3404"/>
      <c r="NFK3" s="3404"/>
      <c r="NFL3" s="3404"/>
      <c r="NFM3" s="3404"/>
      <c r="NFN3" s="3404"/>
      <c r="NFO3" s="3404"/>
      <c r="NFP3" s="3404"/>
      <c r="NFQ3" s="3404"/>
      <c r="NFR3" s="3404"/>
      <c r="NFS3" s="3404"/>
      <c r="NFT3" s="3404"/>
      <c r="NFU3" s="3404"/>
      <c r="NFV3" s="3404"/>
      <c r="NFW3" s="3404"/>
      <c r="NFX3" s="3404"/>
      <c r="NFY3" s="3404"/>
      <c r="NFZ3" s="3404"/>
      <c r="NGA3" s="3404"/>
      <c r="NGB3" s="3404"/>
      <c r="NGC3" s="3404"/>
      <c r="NGD3" s="3404"/>
      <c r="NGE3" s="3404"/>
      <c r="NGF3" s="3404"/>
      <c r="NGG3" s="3404"/>
      <c r="NGH3" s="3404"/>
      <c r="NGI3" s="3404"/>
      <c r="NGJ3" s="3404"/>
      <c r="NGK3" s="3404"/>
      <c r="NGL3" s="3404"/>
      <c r="NGM3" s="3404"/>
      <c r="NGN3" s="3404"/>
      <c r="NGO3" s="3404"/>
      <c r="NGP3" s="3404"/>
      <c r="NGQ3" s="3404"/>
      <c r="NGR3" s="3404"/>
      <c r="NGS3" s="3404"/>
      <c r="NGT3" s="3404"/>
      <c r="NGU3" s="3404"/>
      <c r="NGV3" s="3404"/>
      <c r="NGW3" s="3404"/>
      <c r="NGX3" s="3404"/>
      <c r="NGY3" s="3404"/>
      <c r="NGZ3" s="3404"/>
      <c r="NHA3" s="3404"/>
      <c r="NHB3" s="3404"/>
      <c r="NHC3" s="3404"/>
      <c r="NHD3" s="3404"/>
      <c r="NHE3" s="3404"/>
      <c r="NHF3" s="3404"/>
      <c r="NHG3" s="3404"/>
      <c r="NHH3" s="3404"/>
      <c r="NHI3" s="3404"/>
      <c r="NHJ3" s="3404"/>
      <c r="NHK3" s="3404"/>
      <c r="NHL3" s="3404"/>
      <c r="NHM3" s="3404"/>
      <c r="NHN3" s="3404"/>
      <c r="NHO3" s="3404"/>
      <c r="NHP3" s="3404"/>
      <c r="NHQ3" s="3404"/>
      <c r="NHR3" s="3404"/>
      <c r="NHS3" s="3404"/>
      <c r="NHT3" s="3404"/>
      <c r="NHU3" s="3404"/>
      <c r="NHV3" s="3404"/>
      <c r="NHW3" s="3404"/>
      <c r="NHX3" s="3404"/>
      <c r="NHY3" s="3404"/>
      <c r="NHZ3" s="3404"/>
      <c r="NIA3" s="3404"/>
      <c r="NIB3" s="3404"/>
      <c r="NIC3" s="3404"/>
      <c r="NID3" s="3404"/>
      <c r="NIE3" s="3404"/>
      <c r="NIF3" s="3404"/>
      <c r="NIG3" s="3404"/>
      <c r="NIH3" s="3404"/>
      <c r="NII3" s="3404"/>
      <c r="NIJ3" s="3404"/>
      <c r="NIK3" s="3404"/>
      <c r="NIL3" s="3404"/>
      <c r="NIM3" s="3404"/>
      <c r="NIN3" s="3404"/>
      <c r="NIO3" s="3404"/>
      <c r="NIP3" s="3404"/>
      <c r="NIQ3" s="3404"/>
      <c r="NIR3" s="3404"/>
      <c r="NIS3" s="3404"/>
      <c r="NIT3" s="3404"/>
      <c r="NIU3" s="3404"/>
      <c r="NIV3" s="3404"/>
      <c r="NIW3" s="3404"/>
      <c r="NIX3" s="3404"/>
      <c r="NIY3" s="3404"/>
      <c r="NIZ3" s="3404"/>
      <c r="NJA3" s="3404"/>
      <c r="NJB3" s="3404"/>
      <c r="NJC3" s="3404"/>
      <c r="NJD3" s="3404"/>
      <c r="NJE3" s="3404"/>
      <c r="NJF3" s="3404"/>
      <c r="NJG3" s="3404"/>
      <c r="NJH3" s="3404"/>
      <c r="NJI3" s="3404"/>
      <c r="NJJ3" s="3404"/>
      <c r="NJK3" s="3404"/>
      <c r="NJL3" s="3404"/>
      <c r="NJM3" s="3404"/>
      <c r="NJN3" s="3404"/>
      <c r="NJO3" s="3404"/>
      <c r="NJP3" s="3404"/>
      <c r="NJQ3" s="3404"/>
      <c r="NJR3" s="3404"/>
      <c r="NJS3" s="3404"/>
      <c r="NJT3" s="3404"/>
      <c r="NJU3" s="3404"/>
      <c r="NJV3" s="3404"/>
      <c r="NJW3" s="3404"/>
      <c r="NJX3" s="3404"/>
      <c r="NJY3" s="3404"/>
      <c r="NJZ3" s="3404"/>
      <c r="NKA3" s="3404"/>
      <c r="NKB3" s="3404"/>
      <c r="NKC3" s="3404"/>
      <c r="NKD3" s="3404"/>
      <c r="NKE3" s="3404"/>
      <c r="NKF3" s="3404"/>
      <c r="NKG3" s="3404"/>
      <c r="NKH3" s="3404"/>
      <c r="NKI3" s="3404"/>
      <c r="NKJ3" s="3404"/>
      <c r="NKK3" s="3404"/>
      <c r="NKL3" s="3404"/>
      <c r="NKM3" s="3404"/>
      <c r="NKN3" s="3404"/>
      <c r="NKO3" s="3404"/>
      <c r="NKP3" s="3404"/>
      <c r="NKQ3" s="3404"/>
      <c r="NKR3" s="3404"/>
      <c r="NKS3" s="3404"/>
      <c r="NKT3" s="3404"/>
      <c r="NKU3" s="3404"/>
      <c r="NKV3" s="3404"/>
      <c r="NKW3" s="3404"/>
      <c r="NKX3" s="3404"/>
      <c r="NKY3" s="3404"/>
      <c r="NKZ3" s="3404"/>
      <c r="NLA3" s="3404"/>
      <c r="NLB3" s="3404"/>
      <c r="NLC3" s="3404"/>
      <c r="NLD3" s="3404"/>
      <c r="NLE3" s="3404"/>
      <c r="NLF3" s="3404"/>
      <c r="NLG3" s="3404"/>
      <c r="NLH3" s="3404"/>
      <c r="NLI3" s="3404"/>
      <c r="NLJ3" s="3404"/>
      <c r="NLK3" s="3404"/>
      <c r="NLL3" s="3404"/>
      <c r="NLM3" s="3404"/>
      <c r="NLN3" s="3404"/>
      <c r="NLO3" s="3404"/>
      <c r="NLP3" s="3404"/>
      <c r="NLQ3" s="3404"/>
      <c r="NLR3" s="3404"/>
      <c r="NLS3" s="3404"/>
      <c r="NLT3" s="3404"/>
      <c r="NLU3" s="3404"/>
      <c r="NLV3" s="3404"/>
      <c r="NLW3" s="3404"/>
      <c r="NLX3" s="3404"/>
      <c r="NLY3" s="3404"/>
      <c r="NLZ3" s="3404"/>
      <c r="NMA3" s="3404"/>
      <c r="NMB3" s="3404"/>
      <c r="NMC3" s="3404"/>
      <c r="NMD3" s="3404"/>
      <c r="NME3" s="3404"/>
      <c r="NMF3" s="3404"/>
      <c r="NMG3" s="3404"/>
      <c r="NMH3" s="3404"/>
      <c r="NMI3" s="3404"/>
      <c r="NMJ3" s="3404"/>
      <c r="NMK3" s="3404"/>
      <c r="NML3" s="3404"/>
      <c r="NMM3" s="3404"/>
      <c r="NMN3" s="3404"/>
      <c r="NMO3" s="3404"/>
      <c r="NMP3" s="3404"/>
      <c r="NMQ3" s="3404"/>
      <c r="NMR3" s="3404"/>
      <c r="NMS3" s="3404"/>
      <c r="NMT3" s="3404"/>
      <c r="NMU3" s="3404"/>
      <c r="NMV3" s="3404"/>
      <c r="NMW3" s="3404"/>
      <c r="NMX3" s="3404"/>
      <c r="NMY3" s="3404"/>
      <c r="NMZ3" s="3404"/>
      <c r="NNA3" s="3404"/>
      <c r="NNB3" s="3404"/>
      <c r="NNC3" s="3404"/>
      <c r="NND3" s="3404"/>
      <c r="NNE3" s="3404"/>
      <c r="NNF3" s="3404"/>
      <c r="NNG3" s="3404"/>
      <c r="NNH3" s="3404"/>
      <c r="NNI3" s="3404"/>
      <c r="NNJ3" s="3404"/>
      <c r="NNK3" s="3404"/>
      <c r="NNL3" s="3404"/>
      <c r="NNM3" s="3404"/>
      <c r="NNN3" s="3404"/>
      <c r="NNO3" s="3404"/>
      <c r="NNP3" s="3404"/>
      <c r="NNQ3" s="3404"/>
      <c r="NNR3" s="3404"/>
      <c r="NNS3" s="3404"/>
      <c r="NNT3" s="3404"/>
      <c r="NNU3" s="3404"/>
      <c r="NNV3" s="3404"/>
      <c r="NNW3" s="3404"/>
      <c r="NNX3" s="3404"/>
      <c r="NNY3" s="3404"/>
      <c r="NNZ3" s="3404"/>
      <c r="NOA3" s="3404"/>
      <c r="NOB3" s="3404"/>
      <c r="NOC3" s="3404"/>
      <c r="NOD3" s="3404"/>
      <c r="NOE3" s="3404"/>
      <c r="NOF3" s="3404"/>
      <c r="NOG3" s="3404"/>
      <c r="NOH3" s="3404"/>
      <c r="NOI3" s="3404"/>
      <c r="NOJ3" s="3404"/>
      <c r="NOK3" s="3404"/>
      <c r="NOL3" s="3404"/>
      <c r="NOM3" s="3404"/>
      <c r="NON3" s="3404"/>
      <c r="NOO3" s="3404"/>
      <c r="NOP3" s="3404"/>
      <c r="NOQ3" s="3404"/>
      <c r="NOR3" s="3404"/>
      <c r="NOS3" s="3404"/>
      <c r="NOT3" s="3404"/>
      <c r="NOU3" s="3404"/>
      <c r="NOV3" s="3404"/>
      <c r="NOW3" s="3404"/>
      <c r="NOX3" s="3404"/>
      <c r="NOY3" s="3404"/>
      <c r="NOZ3" s="3404"/>
      <c r="NPA3" s="3404"/>
      <c r="NPB3" s="3404"/>
      <c r="NPC3" s="3404"/>
      <c r="NPD3" s="3404"/>
      <c r="NPE3" s="3404"/>
      <c r="NPF3" s="3404"/>
      <c r="NPG3" s="3404"/>
      <c r="NPH3" s="3404"/>
      <c r="NPI3" s="3404"/>
      <c r="NPJ3" s="3404"/>
      <c r="NPK3" s="3404"/>
      <c r="NPL3" s="3404"/>
      <c r="NPM3" s="3404"/>
      <c r="NPN3" s="3404"/>
      <c r="NPO3" s="3404"/>
      <c r="NPP3" s="3404"/>
      <c r="NPQ3" s="3404"/>
      <c r="NPR3" s="3404"/>
      <c r="NPS3" s="3404"/>
      <c r="NPT3" s="3404"/>
      <c r="NPU3" s="3404"/>
      <c r="NPV3" s="3404"/>
      <c r="NPW3" s="3404"/>
      <c r="NPX3" s="3404"/>
      <c r="NPY3" s="3404"/>
      <c r="NPZ3" s="3404"/>
      <c r="NQA3" s="3404"/>
      <c r="NQB3" s="3404"/>
      <c r="NQC3" s="3404"/>
      <c r="NQD3" s="3404"/>
      <c r="NQE3" s="3404"/>
      <c r="NQF3" s="3404"/>
      <c r="NQG3" s="3404"/>
      <c r="NQH3" s="3404"/>
      <c r="NQI3" s="3404"/>
      <c r="NQJ3" s="3404"/>
      <c r="NQK3" s="3404"/>
      <c r="NQL3" s="3404"/>
      <c r="NQM3" s="3404"/>
      <c r="NQN3" s="3404"/>
      <c r="NQO3" s="3404"/>
      <c r="NQP3" s="3404"/>
      <c r="NQQ3" s="3404"/>
      <c r="NQR3" s="3404"/>
      <c r="NQS3" s="3404"/>
      <c r="NQT3" s="3404"/>
      <c r="NQU3" s="3404"/>
      <c r="NQV3" s="3404"/>
      <c r="NQW3" s="3404"/>
      <c r="NQX3" s="3404"/>
      <c r="NQY3" s="3404"/>
      <c r="NQZ3" s="3404"/>
      <c r="NRA3" s="3404"/>
      <c r="NRB3" s="3404"/>
      <c r="NRC3" s="3404"/>
      <c r="NRD3" s="3404"/>
      <c r="NRE3" s="3404"/>
      <c r="NRF3" s="3404"/>
      <c r="NRG3" s="3404"/>
      <c r="NRH3" s="3404"/>
      <c r="NRI3" s="3404"/>
      <c r="NRJ3" s="3404"/>
      <c r="NRK3" s="3404"/>
      <c r="NRL3" s="3404"/>
      <c r="NRM3" s="3404"/>
      <c r="NRN3" s="3404"/>
      <c r="NRO3" s="3404"/>
      <c r="NRP3" s="3404"/>
      <c r="NRQ3" s="3404"/>
      <c r="NRR3" s="3404"/>
      <c r="NRS3" s="3404"/>
      <c r="NRT3" s="3404"/>
      <c r="NRU3" s="3404"/>
      <c r="NRV3" s="3404"/>
      <c r="NRW3" s="3404"/>
      <c r="NRX3" s="3404"/>
      <c r="NRY3" s="3404"/>
      <c r="NRZ3" s="3404"/>
      <c r="NSA3" s="3404"/>
      <c r="NSB3" s="3404"/>
      <c r="NSC3" s="3404"/>
      <c r="NSD3" s="3404"/>
      <c r="NSE3" s="3404"/>
      <c r="NSF3" s="3404"/>
      <c r="NSG3" s="3404"/>
      <c r="NSH3" s="3404"/>
      <c r="NSI3" s="3404"/>
      <c r="NSJ3" s="3404"/>
      <c r="NSK3" s="3404"/>
      <c r="NSL3" s="3404"/>
      <c r="NSM3" s="3404"/>
      <c r="NSN3" s="3404"/>
      <c r="NSO3" s="3404"/>
      <c r="NSP3" s="3404"/>
      <c r="NSQ3" s="3404"/>
      <c r="NSR3" s="3404"/>
      <c r="NSS3" s="3404"/>
      <c r="NST3" s="3404"/>
      <c r="NSU3" s="3404"/>
      <c r="NSV3" s="3404"/>
      <c r="NSW3" s="3404"/>
      <c r="NSX3" s="3404"/>
      <c r="NSY3" s="3404"/>
      <c r="NSZ3" s="3404"/>
      <c r="NTA3" s="3404"/>
      <c r="NTB3" s="3404"/>
      <c r="NTC3" s="3404"/>
      <c r="NTD3" s="3404"/>
      <c r="NTE3" s="3404"/>
      <c r="NTF3" s="3404"/>
      <c r="NTG3" s="3404"/>
      <c r="NTH3" s="3404"/>
      <c r="NTI3" s="3404"/>
      <c r="NTJ3" s="3404"/>
      <c r="NTK3" s="3404"/>
      <c r="NTL3" s="3404"/>
      <c r="NTM3" s="3404"/>
      <c r="NTN3" s="3404"/>
      <c r="NTO3" s="3404"/>
      <c r="NTP3" s="3404"/>
      <c r="NTQ3" s="3404"/>
      <c r="NTR3" s="3404"/>
      <c r="NTS3" s="3404"/>
      <c r="NTT3" s="3404"/>
      <c r="NTU3" s="3404"/>
      <c r="NTV3" s="3404"/>
      <c r="NTW3" s="3404"/>
      <c r="NTX3" s="3404"/>
      <c r="NTY3" s="3404"/>
      <c r="NTZ3" s="3404"/>
      <c r="NUA3" s="3404"/>
      <c r="NUB3" s="3404"/>
      <c r="NUC3" s="3404"/>
      <c r="NUD3" s="3404"/>
      <c r="NUE3" s="3404"/>
      <c r="NUF3" s="3404"/>
      <c r="NUG3" s="3404"/>
      <c r="NUH3" s="3404"/>
      <c r="NUI3" s="3404"/>
      <c r="NUJ3" s="3404"/>
      <c r="NUK3" s="3404"/>
      <c r="NUL3" s="3404"/>
      <c r="NUM3" s="3404"/>
      <c r="NUN3" s="3404"/>
      <c r="NUO3" s="3404"/>
      <c r="NUP3" s="3404"/>
      <c r="NUQ3" s="3404"/>
      <c r="NUR3" s="3404"/>
      <c r="NUS3" s="3404"/>
      <c r="NUT3" s="3404"/>
      <c r="NUU3" s="3404"/>
      <c r="NUV3" s="3404"/>
      <c r="NUW3" s="3404"/>
      <c r="NUX3" s="3404"/>
      <c r="NUY3" s="3404"/>
      <c r="NUZ3" s="3404"/>
      <c r="NVA3" s="3404"/>
      <c r="NVB3" s="3404"/>
      <c r="NVC3" s="3404"/>
      <c r="NVD3" s="3404"/>
      <c r="NVE3" s="3404"/>
      <c r="NVF3" s="3404"/>
      <c r="NVG3" s="3404"/>
      <c r="NVH3" s="3404"/>
      <c r="NVI3" s="3404"/>
      <c r="NVJ3" s="3404"/>
      <c r="NVK3" s="3404"/>
      <c r="NVL3" s="3404"/>
      <c r="NVM3" s="3404"/>
      <c r="NVN3" s="3404"/>
      <c r="NVO3" s="3404"/>
      <c r="NVP3" s="3404"/>
      <c r="NVQ3" s="3404"/>
      <c r="NVR3" s="3404"/>
      <c r="NVS3" s="3404"/>
      <c r="NVT3" s="3404"/>
      <c r="NVU3" s="3404"/>
      <c r="NVV3" s="3404"/>
      <c r="NVW3" s="3404"/>
      <c r="NVX3" s="3404"/>
      <c r="NVY3" s="3404"/>
      <c r="NVZ3" s="3404"/>
      <c r="NWA3" s="3404"/>
      <c r="NWB3" s="3404"/>
      <c r="NWC3" s="3404"/>
      <c r="NWD3" s="3404"/>
      <c r="NWE3" s="3404"/>
      <c r="NWF3" s="3404"/>
      <c r="NWG3" s="3404"/>
      <c r="NWH3" s="3404"/>
      <c r="NWI3" s="3404"/>
      <c r="NWJ3" s="3404"/>
      <c r="NWK3" s="3404"/>
      <c r="NWL3" s="3404"/>
      <c r="NWM3" s="3404"/>
      <c r="NWN3" s="3404"/>
      <c r="NWO3" s="3404"/>
      <c r="NWP3" s="3404"/>
      <c r="NWQ3" s="3404"/>
      <c r="NWR3" s="3404"/>
      <c r="NWS3" s="3404"/>
      <c r="NWT3" s="3404"/>
      <c r="NWU3" s="3404"/>
      <c r="NWV3" s="3404"/>
      <c r="NWW3" s="3404"/>
      <c r="NWX3" s="3404"/>
      <c r="NWY3" s="3404"/>
      <c r="NWZ3" s="3404"/>
      <c r="NXA3" s="3404"/>
      <c r="NXB3" s="3404"/>
      <c r="NXC3" s="3404"/>
      <c r="NXD3" s="3404"/>
      <c r="NXE3" s="3404"/>
      <c r="NXF3" s="3404"/>
      <c r="NXG3" s="3404"/>
      <c r="NXH3" s="3404"/>
      <c r="NXI3" s="3404"/>
      <c r="NXJ3" s="3404"/>
      <c r="NXK3" s="3404"/>
      <c r="NXL3" s="3404"/>
      <c r="NXM3" s="3404"/>
      <c r="NXN3" s="3404"/>
      <c r="NXO3" s="3404"/>
      <c r="NXP3" s="3404"/>
      <c r="NXQ3" s="3404"/>
      <c r="NXR3" s="3404"/>
      <c r="NXS3" s="3404"/>
      <c r="NXT3" s="3404"/>
      <c r="NXU3" s="3404"/>
      <c r="NXV3" s="3404"/>
      <c r="NXW3" s="3404"/>
      <c r="NXX3" s="3404"/>
      <c r="NXY3" s="3404"/>
      <c r="NXZ3" s="3404"/>
      <c r="NYA3" s="3404"/>
      <c r="NYB3" s="3404"/>
      <c r="NYC3" s="3404"/>
      <c r="NYD3" s="3404"/>
      <c r="NYE3" s="3404"/>
      <c r="NYF3" s="3404"/>
      <c r="NYG3" s="3404"/>
      <c r="NYH3" s="3404"/>
      <c r="NYI3" s="3404"/>
      <c r="NYJ3" s="3404"/>
      <c r="NYK3" s="3404"/>
      <c r="NYL3" s="3404"/>
      <c r="NYM3" s="3404"/>
      <c r="NYN3" s="3404"/>
      <c r="NYO3" s="3404"/>
      <c r="NYP3" s="3404"/>
      <c r="NYQ3" s="3404"/>
      <c r="NYR3" s="3404"/>
      <c r="NYS3" s="3404"/>
      <c r="NYT3" s="3404"/>
      <c r="NYU3" s="3404"/>
      <c r="NYV3" s="3404"/>
      <c r="NYW3" s="3404"/>
      <c r="NYX3" s="3404"/>
      <c r="NYY3" s="3404"/>
      <c r="NYZ3" s="3404"/>
      <c r="NZA3" s="3404"/>
      <c r="NZB3" s="3404"/>
      <c r="NZC3" s="3404"/>
      <c r="NZD3" s="3404"/>
      <c r="NZE3" s="3404"/>
      <c r="NZF3" s="3404"/>
      <c r="NZG3" s="3404"/>
      <c r="NZH3" s="3404"/>
      <c r="NZI3" s="3404"/>
      <c r="NZJ3" s="3404"/>
      <c r="NZK3" s="3404"/>
      <c r="NZL3" s="3404"/>
      <c r="NZM3" s="3404"/>
      <c r="NZN3" s="3404"/>
      <c r="NZO3" s="3404"/>
      <c r="NZP3" s="3404"/>
      <c r="NZQ3" s="3404"/>
      <c r="NZR3" s="3404"/>
      <c r="NZS3" s="3404"/>
      <c r="NZT3" s="3404"/>
      <c r="NZU3" s="3404"/>
      <c r="NZV3" s="3404"/>
      <c r="NZW3" s="3404"/>
      <c r="NZX3" s="3404"/>
      <c r="NZY3" s="3404"/>
      <c r="NZZ3" s="3404"/>
      <c r="OAA3" s="3404"/>
      <c r="OAB3" s="3404"/>
      <c r="OAC3" s="3404"/>
      <c r="OAD3" s="3404"/>
      <c r="OAE3" s="3404"/>
      <c r="OAF3" s="3404"/>
      <c r="OAG3" s="3404"/>
      <c r="OAH3" s="3404"/>
      <c r="OAI3" s="3404"/>
      <c r="OAJ3" s="3404"/>
      <c r="OAK3" s="3404"/>
      <c r="OAL3" s="3404"/>
      <c r="OAM3" s="3404"/>
      <c r="OAN3" s="3404"/>
      <c r="OAO3" s="3404"/>
      <c r="OAP3" s="3404"/>
      <c r="OAQ3" s="3404"/>
      <c r="OAR3" s="3404"/>
      <c r="OAS3" s="3404"/>
      <c r="OAT3" s="3404"/>
      <c r="OAU3" s="3404"/>
      <c r="OAV3" s="3404"/>
      <c r="OAW3" s="3404"/>
      <c r="OAX3" s="3404"/>
      <c r="OAY3" s="3404"/>
      <c r="OAZ3" s="3404"/>
      <c r="OBA3" s="3404"/>
      <c r="OBB3" s="3404"/>
      <c r="OBC3" s="3404"/>
      <c r="OBD3" s="3404"/>
      <c r="OBE3" s="3404"/>
      <c r="OBF3" s="3404"/>
      <c r="OBG3" s="3404"/>
      <c r="OBH3" s="3404"/>
      <c r="OBI3" s="3404"/>
      <c r="OBJ3" s="3404"/>
      <c r="OBK3" s="3404"/>
      <c r="OBL3" s="3404"/>
      <c r="OBM3" s="3404"/>
      <c r="OBN3" s="3404"/>
      <c r="OBO3" s="3404"/>
      <c r="OBP3" s="3404"/>
      <c r="OBQ3" s="3404"/>
      <c r="OBR3" s="3404"/>
      <c r="OBS3" s="3404"/>
      <c r="OBT3" s="3404"/>
      <c r="OBU3" s="3404"/>
      <c r="OBV3" s="3404"/>
      <c r="OBW3" s="3404"/>
      <c r="OBX3" s="3404"/>
      <c r="OBY3" s="3404"/>
      <c r="OBZ3" s="3404"/>
      <c r="OCA3" s="3404"/>
      <c r="OCB3" s="3404"/>
      <c r="OCC3" s="3404"/>
      <c r="OCD3" s="3404"/>
      <c r="OCE3" s="3404"/>
      <c r="OCF3" s="3404"/>
      <c r="OCG3" s="3404"/>
      <c r="OCH3" s="3404"/>
      <c r="OCI3" s="3404"/>
      <c r="OCJ3" s="3404"/>
      <c r="OCK3" s="3404"/>
      <c r="OCL3" s="3404"/>
      <c r="OCM3" s="3404"/>
      <c r="OCN3" s="3404"/>
      <c r="OCO3" s="3404"/>
      <c r="OCP3" s="3404"/>
      <c r="OCQ3" s="3404"/>
      <c r="OCR3" s="3404"/>
      <c r="OCS3" s="3404"/>
      <c r="OCT3" s="3404"/>
      <c r="OCU3" s="3404"/>
      <c r="OCV3" s="3404"/>
      <c r="OCW3" s="3404"/>
      <c r="OCX3" s="3404"/>
      <c r="OCY3" s="3404"/>
      <c r="OCZ3" s="3404"/>
      <c r="ODA3" s="3404"/>
      <c r="ODB3" s="3404"/>
      <c r="ODC3" s="3404"/>
      <c r="ODD3" s="3404"/>
      <c r="ODE3" s="3404"/>
      <c r="ODF3" s="3404"/>
      <c r="ODG3" s="3404"/>
      <c r="ODH3" s="3404"/>
      <c r="ODI3" s="3404"/>
      <c r="ODJ3" s="3404"/>
      <c r="ODK3" s="3404"/>
      <c r="ODL3" s="3404"/>
      <c r="ODM3" s="3404"/>
      <c r="ODN3" s="3404"/>
      <c r="ODO3" s="3404"/>
      <c r="ODP3" s="3404"/>
      <c r="ODQ3" s="3404"/>
      <c r="ODR3" s="3404"/>
      <c r="ODS3" s="3404"/>
      <c r="ODT3" s="3404"/>
      <c r="ODU3" s="3404"/>
      <c r="ODV3" s="3404"/>
      <c r="ODW3" s="3404"/>
      <c r="ODX3" s="3404"/>
      <c r="ODY3" s="3404"/>
      <c r="ODZ3" s="3404"/>
      <c r="OEA3" s="3404"/>
      <c r="OEB3" s="3404"/>
      <c r="OEC3" s="3404"/>
      <c r="OED3" s="3404"/>
      <c r="OEE3" s="3404"/>
      <c r="OEF3" s="3404"/>
      <c r="OEG3" s="3404"/>
      <c r="OEH3" s="3404"/>
      <c r="OEI3" s="3404"/>
      <c r="OEJ3" s="3404"/>
      <c r="OEK3" s="3404"/>
      <c r="OEL3" s="3404"/>
      <c r="OEM3" s="3404"/>
      <c r="OEN3" s="3404"/>
      <c r="OEO3" s="3404"/>
      <c r="OEP3" s="3404"/>
      <c r="OEQ3" s="3404"/>
      <c r="OER3" s="3404"/>
      <c r="OES3" s="3404"/>
      <c r="OET3" s="3404"/>
      <c r="OEU3" s="3404"/>
      <c r="OEV3" s="3404"/>
      <c r="OEW3" s="3404"/>
      <c r="OEX3" s="3404"/>
      <c r="OEY3" s="3404"/>
      <c r="OEZ3" s="3404"/>
      <c r="OFA3" s="3404"/>
      <c r="OFB3" s="3404"/>
      <c r="OFC3" s="3404"/>
      <c r="OFD3" s="3404"/>
      <c r="OFE3" s="3404"/>
      <c r="OFF3" s="3404"/>
      <c r="OFG3" s="3404"/>
      <c r="OFH3" s="3404"/>
      <c r="OFI3" s="3404"/>
      <c r="OFJ3" s="3404"/>
      <c r="OFK3" s="3404"/>
      <c r="OFL3" s="3404"/>
      <c r="OFM3" s="3404"/>
      <c r="OFN3" s="3404"/>
      <c r="OFO3" s="3404"/>
      <c r="OFP3" s="3404"/>
      <c r="OFQ3" s="3404"/>
      <c r="OFR3" s="3404"/>
      <c r="OFS3" s="3404"/>
      <c r="OFT3" s="3404"/>
      <c r="OFU3" s="3404"/>
      <c r="OFV3" s="3404"/>
      <c r="OFW3" s="3404"/>
      <c r="OFX3" s="3404"/>
      <c r="OFY3" s="3404"/>
      <c r="OFZ3" s="3404"/>
      <c r="OGA3" s="3404"/>
      <c r="OGB3" s="3404"/>
      <c r="OGC3" s="3404"/>
      <c r="OGD3" s="3404"/>
      <c r="OGE3" s="3404"/>
      <c r="OGF3" s="3404"/>
      <c r="OGG3" s="3404"/>
      <c r="OGH3" s="3404"/>
      <c r="OGI3" s="3404"/>
      <c r="OGJ3" s="3404"/>
      <c r="OGK3" s="3404"/>
      <c r="OGL3" s="3404"/>
      <c r="OGM3" s="3404"/>
      <c r="OGN3" s="3404"/>
      <c r="OGO3" s="3404"/>
      <c r="OGP3" s="3404"/>
      <c r="OGQ3" s="3404"/>
      <c r="OGR3" s="3404"/>
      <c r="OGS3" s="3404"/>
      <c r="OGT3" s="3404"/>
      <c r="OGU3" s="3404"/>
      <c r="OGV3" s="3404"/>
      <c r="OGW3" s="3404"/>
      <c r="OGX3" s="3404"/>
      <c r="OGY3" s="3404"/>
      <c r="OGZ3" s="3404"/>
      <c r="OHA3" s="3404"/>
      <c r="OHB3" s="3404"/>
      <c r="OHC3" s="3404"/>
      <c r="OHD3" s="3404"/>
      <c r="OHE3" s="3404"/>
      <c r="OHF3" s="3404"/>
      <c r="OHG3" s="3404"/>
      <c r="OHH3" s="3404"/>
      <c r="OHI3" s="3404"/>
      <c r="OHJ3" s="3404"/>
      <c r="OHK3" s="3404"/>
      <c r="OHL3" s="3404"/>
      <c r="OHM3" s="3404"/>
      <c r="OHN3" s="3404"/>
      <c r="OHO3" s="3404"/>
      <c r="OHP3" s="3404"/>
      <c r="OHQ3" s="3404"/>
      <c r="OHR3" s="3404"/>
      <c r="OHS3" s="3404"/>
      <c r="OHT3" s="3404"/>
      <c r="OHU3" s="3404"/>
      <c r="OHV3" s="3404"/>
      <c r="OHW3" s="3404"/>
      <c r="OHX3" s="3404"/>
      <c r="OHY3" s="3404"/>
      <c r="OHZ3" s="3404"/>
      <c r="OIA3" s="3404"/>
      <c r="OIB3" s="3404"/>
      <c r="OIC3" s="3404"/>
      <c r="OID3" s="3404"/>
      <c r="OIE3" s="3404"/>
      <c r="OIF3" s="3404"/>
      <c r="OIG3" s="3404"/>
      <c r="OIH3" s="3404"/>
      <c r="OII3" s="3404"/>
      <c r="OIJ3" s="3404"/>
      <c r="OIK3" s="3404"/>
      <c r="OIL3" s="3404"/>
      <c r="OIM3" s="3404"/>
      <c r="OIN3" s="3404"/>
      <c r="OIO3" s="3404"/>
      <c r="OIP3" s="3404"/>
      <c r="OIQ3" s="3404"/>
      <c r="OIR3" s="3404"/>
      <c r="OIS3" s="3404"/>
      <c r="OIT3" s="3404"/>
      <c r="OIU3" s="3404"/>
      <c r="OIV3" s="3404"/>
      <c r="OIW3" s="3404"/>
      <c r="OIX3" s="3404"/>
      <c r="OIY3" s="3404"/>
      <c r="OIZ3" s="3404"/>
      <c r="OJA3" s="3404"/>
      <c r="OJB3" s="3404"/>
      <c r="OJC3" s="3404"/>
      <c r="OJD3" s="3404"/>
      <c r="OJE3" s="3404"/>
      <c r="OJF3" s="3404"/>
      <c r="OJG3" s="3404"/>
      <c r="OJH3" s="3404"/>
      <c r="OJI3" s="3404"/>
      <c r="OJJ3" s="3404"/>
      <c r="OJK3" s="3404"/>
      <c r="OJL3" s="3404"/>
      <c r="OJM3" s="3404"/>
      <c r="OJN3" s="3404"/>
      <c r="OJO3" s="3404"/>
      <c r="OJP3" s="3404"/>
      <c r="OJQ3" s="3404"/>
      <c r="OJR3" s="3404"/>
      <c r="OJS3" s="3404"/>
      <c r="OJT3" s="3404"/>
      <c r="OJU3" s="3404"/>
      <c r="OJV3" s="3404"/>
      <c r="OJW3" s="3404"/>
      <c r="OJX3" s="3404"/>
      <c r="OJY3" s="3404"/>
      <c r="OJZ3" s="3404"/>
      <c r="OKA3" s="3404"/>
      <c r="OKB3" s="3404"/>
      <c r="OKC3" s="3404"/>
      <c r="OKD3" s="3404"/>
      <c r="OKE3" s="3404"/>
      <c r="OKF3" s="3404"/>
      <c r="OKG3" s="3404"/>
      <c r="OKH3" s="3404"/>
      <c r="OKI3" s="3404"/>
      <c r="OKJ3" s="3404"/>
      <c r="OKK3" s="3404"/>
      <c r="OKL3" s="3404"/>
      <c r="OKM3" s="3404"/>
      <c r="OKN3" s="3404"/>
      <c r="OKO3" s="3404"/>
      <c r="OKP3" s="3404"/>
      <c r="OKQ3" s="3404"/>
      <c r="OKR3" s="3404"/>
      <c r="OKS3" s="3404"/>
      <c r="OKT3" s="3404"/>
      <c r="OKU3" s="3404"/>
      <c r="OKV3" s="3404"/>
      <c r="OKW3" s="3404"/>
      <c r="OKX3" s="3404"/>
      <c r="OKY3" s="3404"/>
      <c r="OKZ3" s="3404"/>
      <c r="OLA3" s="3404"/>
      <c r="OLB3" s="3404"/>
      <c r="OLC3" s="3404"/>
      <c r="OLD3" s="3404"/>
      <c r="OLE3" s="3404"/>
      <c r="OLF3" s="3404"/>
      <c r="OLG3" s="3404"/>
      <c r="OLH3" s="3404"/>
      <c r="OLI3" s="3404"/>
      <c r="OLJ3" s="3404"/>
      <c r="OLK3" s="3404"/>
      <c r="OLL3" s="3404"/>
      <c r="OLM3" s="3404"/>
      <c r="OLN3" s="3404"/>
      <c r="OLO3" s="3404"/>
      <c r="OLP3" s="3404"/>
      <c r="OLQ3" s="3404"/>
      <c r="OLR3" s="3404"/>
      <c r="OLS3" s="3404"/>
      <c r="OLT3" s="3404"/>
      <c r="OLU3" s="3404"/>
      <c r="OLV3" s="3404"/>
      <c r="OLW3" s="3404"/>
      <c r="OLX3" s="3404"/>
      <c r="OLY3" s="3404"/>
      <c r="OLZ3" s="3404"/>
      <c r="OMA3" s="3404"/>
      <c r="OMB3" s="3404"/>
      <c r="OMC3" s="3404"/>
      <c r="OMD3" s="3404"/>
      <c r="OME3" s="3404"/>
      <c r="OMF3" s="3404"/>
      <c r="OMG3" s="3404"/>
      <c r="OMH3" s="3404"/>
      <c r="OMI3" s="3404"/>
      <c r="OMJ3" s="3404"/>
      <c r="OMK3" s="3404"/>
      <c r="OML3" s="3404"/>
      <c r="OMM3" s="3404"/>
      <c r="OMN3" s="3404"/>
      <c r="OMO3" s="3404"/>
      <c r="OMP3" s="3404"/>
      <c r="OMQ3" s="3404"/>
      <c r="OMR3" s="3404"/>
      <c r="OMS3" s="3404"/>
      <c r="OMT3" s="3404"/>
      <c r="OMU3" s="3404"/>
      <c r="OMV3" s="3404"/>
      <c r="OMW3" s="3404"/>
      <c r="OMX3" s="3404"/>
      <c r="OMY3" s="3404"/>
      <c r="OMZ3" s="3404"/>
      <c r="ONA3" s="3404"/>
      <c r="ONB3" s="3404"/>
      <c r="ONC3" s="3404"/>
      <c r="OND3" s="3404"/>
      <c r="ONE3" s="3404"/>
      <c r="ONF3" s="3404"/>
      <c r="ONG3" s="3404"/>
      <c r="ONH3" s="3404"/>
      <c r="ONI3" s="3404"/>
      <c r="ONJ3" s="3404"/>
      <c r="ONK3" s="3404"/>
      <c r="ONL3" s="3404"/>
      <c r="ONM3" s="3404"/>
      <c r="ONN3" s="3404"/>
      <c r="ONO3" s="3404"/>
      <c r="ONP3" s="3404"/>
      <c r="ONQ3" s="3404"/>
      <c r="ONR3" s="3404"/>
      <c r="ONS3" s="3404"/>
      <c r="ONT3" s="3404"/>
      <c r="ONU3" s="3404"/>
      <c r="ONV3" s="3404"/>
      <c r="ONW3" s="3404"/>
      <c r="ONX3" s="3404"/>
      <c r="ONY3" s="3404"/>
      <c r="ONZ3" s="3404"/>
      <c r="OOA3" s="3404"/>
      <c r="OOB3" s="3404"/>
      <c r="OOC3" s="3404"/>
      <c r="OOD3" s="3404"/>
      <c r="OOE3" s="3404"/>
      <c r="OOF3" s="3404"/>
      <c r="OOG3" s="3404"/>
      <c r="OOH3" s="3404"/>
      <c r="OOI3" s="3404"/>
      <c r="OOJ3" s="3404"/>
      <c r="OOK3" s="3404"/>
      <c r="OOL3" s="3404"/>
      <c r="OOM3" s="3404"/>
      <c r="OON3" s="3404"/>
      <c r="OOO3" s="3404"/>
      <c r="OOP3" s="3404"/>
      <c r="OOQ3" s="3404"/>
      <c r="OOR3" s="3404"/>
      <c r="OOS3" s="3404"/>
      <c r="OOT3" s="3404"/>
      <c r="OOU3" s="3404"/>
      <c r="OOV3" s="3404"/>
      <c r="OOW3" s="3404"/>
      <c r="OOX3" s="3404"/>
      <c r="OOY3" s="3404"/>
      <c r="OOZ3" s="3404"/>
      <c r="OPA3" s="3404"/>
      <c r="OPB3" s="3404"/>
      <c r="OPC3" s="3404"/>
      <c r="OPD3" s="3404"/>
      <c r="OPE3" s="3404"/>
      <c r="OPF3" s="3404"/>
      <c r="OPG3" s="3404"/>
      <c r="OPH3" s="3404"/>
      <c r="OPI3" s="3404"/>
      <c r="OPJ3" s="3404"/>
      <c r="OPK3" s="3404"/>
      <c r="OPL3" s="3404"/>
      <c r="OPM3" s="3404"/>
      <c r="OPN3" s="3404"/>
      <c r="OPO3" s="3404"/>
      <c r="OPP3" s="3404"/>
      <c r="OPQ3" s="3404"/>
      <c r="OPR3" s="3404"/>
      <c r="OPS3" s="3404"/>
      <c r="OPT3" s="3404"/>
      <c r="OPU3" s="3404"/>
      <c r="OPV3" s="3404"/>
      <c r="OPW3" s="3404"/>
      <c r="OPX3" s="3404"/>
      <c r="OPY3" s="3404"/>
      <c r="OPZ3" s="3404"/>
      <c r="OQA3" s="3404"/>
      <c r="OQB3" s="3404"/>
      <c r="OQC3" s="3404"/>
      <c r="OQD3" s="3404"/>
      <c r="OQE3" s="3404"/>
      <c r="OQF3" s="3404"/>
      <c r="OQG3" s="3404"/>
      <c r="OQH3" s="3404"/>
      <c r="OQI3" s="3404"/>
      <c r="OQJ3" s="3404"/>
      <c r="OQK3" s="3404"/>
      <c r="OQL3" s="3404"/>
      <c r="OQM3" s="3404"/>
      <c r="OQN3" s="3404"/>
      <c r="OQO3" s="3404"/>
      <c r="OQP3" s="3404"/>
      <c r="OQQ3" s="3404"/>
      <c r="OQR3" s="3404"/>
      <c r="OQS3" s="3404"/>
      <c r="OQT3" s="3404"/>
      <c r="OQU3" s="3404"/>
      <c r="OQV3" s="3404"/>
      <c r="OQW3" s="3404"/>
      <c r="OQX3" s="3404"/>
      <c r="OQY3" s="3404"/>
      <c r="OQZ3" s="3404"/>
      <c r="ORA3" s="3404"/>
      <c r="ORB3" s="3404"/>
      <c r="ORC3" s="3404"/>
      <c r="ORD3" s="3404"/>
      <c r="ORE3" s="3404"/>
      <c r="ORF3" s="3404"/>
      <c r="ORG3" s="3404"/>
      <c r="ORH3" s="3404"/>
      <c r="ORI3" s="3404"/>
      <c r="ORJ3" s="3404"/>
      <c r="ORK3" s="3404"/>
      <c r="ORL3" s="3404"/>
      <c r="ORM3" s="3404"/>
      <c r="ORN3" s="3404"/>
      <c r="ORO3" s="3404"/>
      <c r="ORP3" s="3404"/>
      <c r="ORQ3" s="3404"/>
      <c r="ORR3" s="3404"/>
      <c r="ORS3" s="3404"/>
      <c r="ORT3" s="3404"/>
      <c r="ORU3" s="3404"/>
      <c r="ORV3" s="3404"/>
      <c r="ORW3" s="3404"/>
      <c r="ORX3" s="3404"/>
      <c r="ORY3" s="3404"/>
      <c r="ORZ3" s="3404"/>
      <c r="OSA3" s="3404"/>
      <c r="OSB3" s="3404"/>
      <c r="OSC3" s="3404"/>
      <c r="OSD3" s="3404"/>
      <c r="OSE3" s="3404"/>
      <c r="OSF3" s="3404"/>
      <c r="OSG3" s="3404"/>
      <c r="OSH3" s="3404"/>
      <c r="OSI3" s="3404"/>
      <c r="OSJ3" s="3404"/>
      <c r="OSK3" s="3404"/>
      <c r="OSL3" s="3404"/>
      <c r="OSM3" s="3404"/>
      <c r="OSN3" s="3404"/>
      <c r="OSO3" s="3404"/>
      <c r="OSP3" s="3404"/>
      <c r="OSQ3" s="3404"/>
      <c r="OSR3" s="3404"/>
      <c r="OSS3" s="3404"/>
      <c r="OST3" s="3404"/>
      <c r="OSU3" s="3404"/>
      <c r="OSV3" s="3404"/>
      <c r="OSW3" s="3404"/>
      <c r="OSX3" s="3404"/>
      <c r="OSY3" s="3404"/>
      <c r="OSZ3" s="3404"/>
      <c r="OTA3" s="3404"/>
      <c r="OTB3" s="3404"/>
      <c r="OTC3" s="3404"/>
      <c r="OTD3" s="3404"/>
      <c r="OTE3" s="3404"/>
      <c r="OTF3" s="3404"/>
      <c r="OTG3" s="3404"/>
      <c r="OTH3" s="3404"/>
      <c r="OTI3" s="3404"/>
      <c r="OTJ3" s="3404"/>
      <c r="OTK3" s="3404"/>
      <c r="OTL3" s="3404"/>
      <c r="OTM3" s="3404"/>
      <c r="OTN3" s="3404"/>
      <c r="OTO3" s="3404"/>
      <c r="OTP3" s="3404"/>
      <c r="OTQ3" s="3404"/>
      <c r="OTR3" s="3404"/>
      <c r="OTS3" s="3404"/>
      <c r="OTT3" s="3404"/>
      <c r="OTU3" s="3404"/>
      <c r="OTV3" s="3404"/>
      <c r="OTW3" s="3404"/>
      <c r="OTX3" s="3404"/>
      <c r="OTY3" s="3404"/>
      <c r="OTZ3" s="3404"/>
      <c r="OUA3" s="3404"/>
      <c r="OUB3" s="3404"/>
      <c r="OUC3" s="3404"/>
      <c r="OUD3" s="3404"/>
      <c r="OUE3" s="3404"/>
      <c r="OUF3" s="3404"/>
      <c r="OUG3" s="3404"/>
      <c r="OUH3" s="3404"/>
      <c r="OUI3" s="3404"/>
      <c r="OUJ3" s="3404"/>
      <c r="OUK3" s="3404"/>
      <c r="OUL3" s="3404"/>
      <c r="OUM3" s="3404"/>
      <c r="OUN3" s="3404"/>
      <c r="OUO3" s="3404"/>
      <c r="OUP3" s="3404"/>
      <c r="OUQ3" s="3404"/>
      <c r="OUR3" s="3404"/>
      <c r="OUS3" s="3404"/>
      <c r="OUT3" s="3404"/>
      <c r="OUU3" s="3404"/>
      <c r="OUV3" s="3404"/>
      <c r="OUW3" s="3404"/>
      <c r="OUX3" s="3404"/>
      <c r="OUY3" s="3404"/>
      <c r="OUZ3" s="3404"/>
      <c r="OVA3" s="3404"/>
      <c r="OVB3" s="3404"/>
      <c r="OVC3" s="3404"/>
      <c r="OVD3" s="3404"/>
      <c r="OVE3" s="3404"/>
      <c r="OVF3" s="3404"/>
      <c r="OVG3" s="3404"/>
      <c r="OVH3" s="3404"/>
      <c r="OVI3" s="3404"/>
      <c r="OVJ3" s="3404"/>
      <c r="OVK3" s="3404"/>
      <c r="OVL3" s="3404"/>
      <c r="OVM3" s="3404"/>
      <c r="OVN3" s="3404"/>
      <c r="OVO3" s="3404"/>
      <c r="OVP3" s="3404"/>
      <c r="OVQ3" s="3404"/>
      <c r="OVR3" s="3404"/>
      <c r="OVS3" s="3404"/>
      <c r="OVT3" s="3404"/>
      <c r="OVU3" s="3404"/>
      <c r="OVV3" s="3404"/>
      <c r="OVW3" s="3404"/>
      <c r="OVX3" s="3404"/>
      <c r="OVY3" s="3404"/>
      <c r="OVZ3" s="3404"/>
      <c r="OWA3" s="3404"/>
      <c r="OWB3" s="3404"/>
      <c r="OWC3" s="3404"/>
      <c r="OWD3" s="3404"/>
      <c r="OWE3" s="3404"/>
      <c r="OWF3" s="3404"/>
      <c r="OWG3" s="3404"/>
      <c r="OWH3" s="3404"/>
      <c r="OWI3" s="3404"/>
      <c r="OWJ3" s="3404"/>
      <c r="OWK3" s="3404"/>
      <c r="OWL3" s="3404"/>
      <c r="OWM3" s="3404"/>
      <c r="OWN3" s="3404"/>
      <c r="OWO3" s="3404"/>
      <c r="OWP3" s="3404"/>
      <c r="OWQ3" s="3404"/>
      <c r="OWR3" s="3404"/>
      <c r="OWS3" s="3404"/>
      <c r="OWT3" s="3404"/>
      <c r="OWU3" s="3404"/>
      <c r="OWV3" s="3404"/>
      <c r="OWW3" s="3404"/>
      <c r="OWX3" s="3404"/>
      <c r="OWY3" s="3404"/>
      <c r="OWZ3" s="3404"/>
      <c r="OXA3" s="3404"/>
      <c r="OXB3" s="3404"/>
      <c r="OXC3" s="3404"/>
      <c r="OXD3" s="3404"/>
      <c r="OXE3" s="3404"/>
      <c r="OXF3" s="3404"/>
      <c r="OXG3" s="3404"/>
      <c r="OXH3" s="3404"/>
      <c r="OXI3" s="3404"/>
      <c r="OXJ3" s="3404"/>
      <c r="OXK3" s="3404"/>
      <c r="OXL3" s="3404"/>
      <c r="OXM3" s="3404"/>
      <c r="OXN3" s="3404"/>
      <c r="OXO3" s="3404"/>
      <c r="OXP3" s="3404"/>
      <c r="OXQ3" s="3404"/>
      <c r="OXR3" s="3404"/>
      <c r="OXS3" s="3404"/>
      <c r="OXT3" s="3404"/>
      <c r="OXU3" s="3404"/>
      <c r="OXV3" s="3404"/>
      <c r="OXW3" s="3404"/>
      <c r="OXX3" s="3404"/>
      <c r="OXY3" s="3404"/>
      <c r="OXZ3" s="3404"/>
      <c r="OYA3" s="3404"/>
      <c r="OYB3" s="3404"/>
      <c r="OYC3" s="3404"/>
      <c r="OYD3" s="3404"/>
      <c r="OYE3" s="3404"/>
      <c r="OYF3" s="3404"/>
      <c r="OYG3" s="3404"/>
      <c r="OYH3" s="3404"/>
      <c r="OYI3" s="3404"/>
      <c r="OYJ3" s="3404"/>
      <c r="OYK3" s="3404"/>
      <c r="OYL3" s="3404"/>
      <c r="OYM3" s="3404"/>
      <c r="OYN3" s="3404"/>
      <c r="OYO3" s="3404"/>
      <c r="OYP3" s="3404"/>
      <c r="OYQ3" s="3404"/>
      <c r="OYR3" s="3404"/>
      <c r="OYS3" s="3404"/>
      <c r="OYT3" s="3404"/>
      <c r="OYU3" s="3404"/>
      <c r="OYV3" s="3404"/>
      <c r="OYW3" s="3404"/>
      <c r="OYX3" s="3404"/>
      <c r="OYY3" s="3404"/>
      <c r="OYZ3" s="3404"/>
      <c r="OZA3" s="3404"/>
      <c r="OZB3" s="3404"/>
      <c r="OZC3" s="3404"/>
      <c r="OZD3" s="3404"/>
      <c r="OZE3" s="3404"/>
      <c r="OZF3" s="3404"/>
      <c r="OZG3" s="3404"/>
      <c r="OZH3" s="3404"/>
      <c r="OZI3" s="3404"/>
      <c r="OZJ3" s="3404"/>
      <c r="OZK3" s="3404"/>
      <c r="OZL3" s="3404"/>
      <c r="OZM3" s="3404"/>
      <c r="OZN3" s="3404"/>
      <c r="OZO3" s="3404"/>
      <c r="OZP3" s="3404"/>
      <c r="OZQ3" s="3404"/>
      <c r="OZR3" s="3404"/>
      <c r="OZS3" s="3404"/>
      <c r="OZT3" s="3404"/>
      <c r="OZU3" s="3404"/>
      <c r="OZV3" s="3404"/>
      <c r="OZW3" s="3404"/>
      <c r="OZX3" s="3404"/>
      <c r="OZY3" s="3404"/>
      <c r="OZZ3" s="3404"/>
      <c r="PAA3" s="3404"/>
      <c r="PAB3" s="3404"/>
      <c r="PAC3" s="3404"/>
      <c r="PAD3" s="3404"/>
      <c r="PAE3" s="3404"/>
      <c r="PAF3" s="3404"/>
      <c r="PAG3" s="3404"/>
      <c r="PAH3" s="3404"/>
      <c r="PAI3" s="3404"/>
      <c r="PAJ3" s="3404"/>
      <c r="PAK3" s="3404"/>
      <c r="PAL3" s="3404"/>
      <c r="PAM3" s="3404"/>
      <c r="PAN3" s="3404"/>
      <c r="PAO3" s="3404"/>
      <c r="PAP3" s="3404"/>
      <c r="PAQ3" s="3404"/>
      <c r="PAR3" s="3404"/>
      <c r="PAS3" s="3404"/>
      <c r="PAT3" s="3404"/>
      <c r="PAU3" s="3404"/>
      <c r="PAV3" s="3404"/>
      <c r="PAW3" s="3404"/>
      <c r="PAX3" s="3404"/>
      <c r="PAY3" s="3404"/>
      <c r="PAZ3" s="3404"/>
      <c r="PBA3" s="3404"/>
      <c r="PBB3" s="3404"/>
      <c r="PBC3" s="3404"/>
      <c r="PBD3" s="3404"/>
      <c r="PBE3" s="3404"/>
      <c r="PBF3" s="3404"/>
      <c r="PBG3" s="3404"/>
      <c r="PBH3" s="3404"/>
      <c r="PBI3" s="3404"/>
      <c r="PBJ3" s="3404"/>
      <c r="PBK3" s="3404"/>
      <c r="PBL3" s="3404"/>
      <c r="PBM3" s="3404"/>
      <c r="PBN3" s="3404"/>
      <c r="PBO3" s="3404"/>
      <c r="PBP3" s="3404"/>
      <c r="PBQ3" s="3404"/>
      <c r="PBR3" s="3404"/>
      <c r="PBS3" s="3404"/>
      <c r="PBT3" s="3404"/>
      <c r="PBU3" s="3404"/>
      <c r="PBV3" s="3404"/>
      <c r="PBW3" s="3404"/>
      <c r="PBX3" s="3404"/>
      <c r="PBY3" s="3404"/>
      <c r="PBZ3" s="3404"/>
      <c r="PCA3" s="3404"/>
      <c r="PCB3" s="3404"/>
      <c r="PCC3" s="3404"/>
      <c r="PCD3" s="3404"/>
      <c r="PCE3" s="3404"/>
      <c r="PCF3" s="3404"/>
      <c r="PCG3" s="3404"/>
      <c r="PCH3" s="3404"/>
      <c r="PCI3" s="3404"/>
      <c r="PCJ3" s="3404"/>
      <c r="PCK3" s="3404"/>
      <c r="PCL3" s="3404"/>
      <c r="PCM3" s="3404"/>
      <c r="PCN3" s="3404"/>
      <c r="PCO3" s="3404"/>
      <c r="PCP3" s="3404"/>
      <c r="PCQ3" s="3404"/>
      <c r="PCR3" s="3404"/>
      <c r="PCS3" s="3404"/>
      <c r="PCT3" s="3404"/>
      <c r="PCU3" s="3404"/>
      <c r="PCV3" s="3404"/>
      <c r="PCW3" s="3404"/>
      <c r="PCX3" s="3404"/>
      <c r="PCY3" s="3404"/>
      <c r="PCZ3" s="3404"/>
      <c r="PDA3" s="3404"/>
      <c r="PDB3" s="3404"/>
      <c r="PDC3" s="3404"/>
      <c r="PDD3" s="3404"/>
      <c r="PDE3" s="3404"/>
      <c r="PDF3" s="3404"/>
      <c r="PDG3" s="3404"/>
      <c r="PDH3" s="3404"/>
      <c r="PDI3" s="3404"/>
      <c r="PDJ3" s="3404"/>
      <c r="PDK3" s="3404"/>
      <c r="PDL3" s="3404"/>
      <c r="PDM3" s="3404"/>
      <c r="PDN3" s="3404"/>
      <c r="PDO3" s="3404"/>
      <c r="PDP3" s="3404"/>
      <c r="PDQ3" s="3404"/>
      <c r="PDR3" s="3404"/>
      <c r="PDS3" s="3404"/>
      <c r="PDT3" s="3404"/>
      <c r="PDU3" s="3404"/>
      <c r="PDV3" s="3404"/>
      <c r="PDW3" s="3404"/>
      <c r="PDX3" s="3404"/>
      <c r="PDY3" s="3404"/>
      <c r="PDZ3" s="3404"/>
      <c r="PEA3" s="3404"/>
      <c r="PEB3" s="3404"/>
      <c r="PEC3" s="3404"/>
      <c r="PED3" s="3404"/>
      <c r="PEE3" s="3404"/>
      <c r="PEF3" s="3404"/>
      <c r="PEG3" s="3404"/>
      <c r="PEH3" s="3404"/>
      <c r="PEI3" s="3404"/>
      <c r="PEJ3" s="3404"/>
      <c r="PEK3" s="3404"/>
      <c r="PEL3" s="3404"/>
      <c r="PEM3" s="3404"/>
      <c r="PEN3" s="3404"/>
      <c r="PEO3" s="3404"/>
      <c r="PEP3" s="3404"/>
      <c r="PEQ3" s="3404"/>
      <c r="PER3" s="3404"/>
      <c r="PES3" s="3404"/>
      <c r="PET3" s="3404"/>
      <c r="PEU3" s="3404"/>
      <c r="PEV3" s="3404"/>
      <c r="PEW3" s="3404"/>
      <c r="PEX3" s="3404"/>
      <c r="PEY3" s="3404"/>
      <c r="PEZ3" s="3404"/>
      <c r="PFA3" s="3404"/>
      <c r="PFB3" s="3404"/>
      <c r="PFC3" s="3404"/>
      <c r="PFD3" s="3404"/>
      <c r="PFE3" s="3404"/>
      <c r="PFF3" s="3404"/>
      <c r="PFG3" s="3404"/>
      <c r="PFH3" s="3404"/>
      <c r="PFI3" s="3404"/>
      <c r="PFJ3" s="3404"/>
      <c r="PFK3" s="3404"/>
      <c r="PFL3" s="3404"/>
      <c r="PFM3" s="3404"/>
      <c r="PFN3" s="3404"/>
      <c r="PFO3" s="3404"/>
      <c r="PFP3" s="3404"/>
      <c r="PFQ3" s="3404"/>
      <c r="PFR3" s="3404"/>
      <c r="PFS3" s="3404"/>
      <c r="PFT3" s="3404"/>
      <c r="PFU3" s="3404"/>
      <c r="PFV3" s="3404"/>
      <c r="PFW3" s="3404"/>
      <c r="PFX3" s="3404"/>
      <c r="PFY3" s="3404"/>
      <c r="PFZ3" s="3404"/>
      <c r="PGA3" s="3404"/>
      <c r="PGB3" s="3404"/>
      <c r="PGC3" s="3404"/>
      <c r="PGD3" s="3404"/>
      <c r="PGE3" s="3404"/>
      <c r="PGF3" s="3404"/>
      <c r="PGG3" s="3404"/>
      <c r="PGH3" s="3404"/>
      <c r="PGI3" s="3404"/>
      <c r="PGJ3" s="3404"/>
      <c r="PGK3" s="3404"/>
      <c r="PGL3" s="3404"/>
      <c r="PGM3" s="3404"/>
      <c r="PGN3" s="3404"/>
      <c r="PGO3" s="3404"/>
      <c r="PGP3" s="3404"/>
      <c r="PGQ3" s="3404"/>
      <c r="PGR3" s="3404"/>
      <c r="PGS3" s="3404"/>
      <c r="PGT3" s="3404"/>
      <c r="PGU3" s="3404"/>
      <c r="PGV3" s="3404"/>
      <c r="PGW3" s="3404"/>
      <c r="PGX3" s="3404"/>
      <c r="PGY3" s="3404"/>
      <c r="PGZ3" s="3404"/>
      <c r="PHA3" s="3404"/>
      <c r="PHB3" s="3404"/>
      <c r="PHC3" s="3404"/>
      <c r="PHD3" s="3404"/>
      <c r="PHE3" s="3404"/>
      <c r="PHF3" s="3404"/>
      <c r="PHG3" s="3404"/>
      <c r="PHH3" s="3404"/>
      <c r="PHI3" s="3404"/>
      <c r="PHJ3" s="3404"/>
      <c r="PHK3" s="3404"/>
      <c r="PHL3" s="3404"/>
      <c r="PHM3" s="3404"/>
      <c r="PHN3" s="3404"/>
      <c r="PHO3" s="3404"/>
      <c r="PHP3" s="3404"/>
      <c r="PHQ3" s="3404"/>
      <c r="PHR3" s="3404"/>
      <c r="PHS3" s="3404"/>
      <c r="PHT3" s="3404"/>
      <c r="PHU3" s="3404"/>
      <c r="PHV3" s="3404"/>
      <c r="PHW3" s="3404"/>
      <c r="PHX3" s="3404"/>
      <c r="PHY3" s="3404"/>
      <c r="PHZ3" s="3404"/>
      <c r="PIA3" s="3404"/>
      <c r="PIB3" s="3404"/>
      <c r="PIC3" s="3404"/>
      <c r="PID3" s="3404"/>
      <c r="PIE3" s="3404"/>
      <c r="PIF3" s="3404"/>
      <c r="PIG3" s="3404"/>
      <c r="PIH3" s="3404"/>
      <c r="PII3" s="3404"/>
      <c r="PIJ3" s="3404"/>
      <c r="PIK3" s="3404"/>
      <c r="PIL3" s="3404"/>
      <c r="PIM3" s="3404"/>
      <c r="PIN3" s="3404"/>
      <c r="PIO3" s="3404"/>
      <c r="PIP3" s="3404"/>
      <c r="PIQ3" s="3404"/>
      <c r="PIR3" s="3404"/>
      <c r="PIS3" s="3404"/>
      <c r="PIT3" s="3404"/>
      <c r="PIU3" s="3404"/>
      <c r="PIV3" s="3404"/>
      <c r="PIW3" s="3404"/>
      <c r="PIX3" s="3404"/>
      <c r="PIY3" s="3404"/>
      <c r="PIZ3" s="3404"/>
      <c r="PJA3" s="3404"/>
      <c r="PJB3" s="3404"/>
      <c r="PJC3" s="3404"/>
      <c r="PJD3" s="3404"/>
      <c r="PJE3" s="3404"/>
      <c r="PJF3" s="3404"/>
      <c r="PJG3" s="3404"/>
      <c r="PJH3" s="3404"/>
      <c r="PJI3" s="3404"/>
      <c r="PJJ3" s="3404"/>
      <c r="PJK3" s="3404"/>
      <c r="PJL3" s="3404"/>
      <c r="PJM3" s="3404"/>
      <c r="PJN3" s="3404"/>
      <c r="PJO3" s="3404"/>
      <c r="PJP3" s="3404"/>
      <c r="PJQ3" s="3404"/>
      <c r="PJR3" s="3404"/>
      <c r="PJS3" s="3404"/>
      <c r="PJT3" s="3404"/>
      <c r="PJU3" s="3404"/>
      <c r="PJV3" s="3404"/>
      <c r="PJW3" s="3404"/>
      <c r="PJX3" s="3404"/>
      <c r="PJY3" s="3404"/>
      <c r="PJZ3" s="3404"/>
      <c r="PKA3" s="3404"/>
      <c r="PKB3" s="3404"/>
      <c r="PKC3" s="3404"/>
      <c r="PKD3" s="3404"/>
      <c r="PKE3" s="3404"/>
      <c r="PKF3" s="3404"/>
      <c r="PKG3" s="3404"/>
      <c r="PKH3" s="3404"/>
      <c r="PKI3" s="3404"/>
      <c r="PKJ3" s="3404"/>
      <c r="PKK3" s="3404"/>
      <c r="PKL3" s="3404"/>
      <c r="PKM3" s="3404"/>
      <c r="PKN3" s="3404"/>
      <c r="PKO3" s="3404"/>
      <c r="PKP3" s="3404"/>
      <c r="PKQ3" s="3404"/>
      <c r="PKR3" s="3404"/>
      <c r="PKS3" s="3404"/>
      <c r="PKT3" s="3404"/>
      <c r="PKU3" s="3404"/>
      <c r="PKV3" s="3404"/>
      <c r="PKW3" s="3404"/>
      <c r="PKX3" s="3404"/>
      <c r="PKY3" s="3404"/>
      <c r="PKZ3" s="3404"/>
      <c r="PLA3" s="3404"/>
      <c r="PLB3" s="3404"/>
      <c r="PLC3" s="3404"/>
      <c r="PLD3" s="3404"/>
      <c r="PLE3" s="3404"/>
      <c r="PLF3" s="3404"/>
      <c r="PLG3" s="3404"/>
      <c r="PLH3" s="3404"/>
      <c r="PLI3" s="3404"/>
      <c r="PLJ3" s="3404"/>
      <c r="PLK3" s="3404"/>
      <c r="PLL3" s="3404"/>
      <c r="PLM3" s="3404"/>
      <c r="PLN3" s="3404"/>
      <c r="PLO3" s="3404"/>
      <c r="PLP3" s="3404"/>
      <c r="PLQ3" s="3404"/>
      <c r="PLR3" s="3404"/>
      <c r="PLS3" s="3404"/>
      <c r="PLT3" s="3404"/>
      <c r="PLU3" s="3404"/>
      <c r="PLV3" s="3404"/>
      <c r="PLW3" s="3404"/>
      <c r="PLX3" s="3404"/>
      <c r="PLY3" s="3404"/>
      <c r="PLZ3" s="3404"/>
      <c r="PMA3" s="3404"/>
      <c r="PMB3" s="3404"/>
      <c r="PMC3" s="3404"/>
      <c r="PMD3" s="3404"/>
      <c r="PME3" s="3404"/>
      <c r="PMF3" s="3404"/>
      <c r="PMG3" s="3404"/>
      <c r="PMH3" s="3404"/>
      <c r="PMI3" s="3404"/>
      <c r="PMJ3" s="3404"/>
      <c r="PMK3" s="3404"/>
      <c r="PML3" s="3404"/>
      <c r="PMM3" s="3404"/>
      <c r="PMN3" s="3404"/>
      <c r="PMO3" s="3404"/>
      <c r="PMP3" s="3404"/>
      <c r="PMQ3" s="3404"/>
      <c r="PMR3" s="3404"/>
      <c r="PMS3" s="3404"/>
      <c r="PMT3" s="3404"/>
      <c r="PMU3" s="3404"/>
      <c r="PMV3" s="3404"/>
      <c r="PMW3" s="3404"/>
      <c r="PMX3" s="3404"/>
      <c r="PMY3" s="3404"/>
      <c r="PMZ3" s="3404"/>
      <c r="PNA3" s="3404"/>
      <c r="PNB3" s="3404"/>
      <c r="PNC3" s="3404"/>
      <c r="PND3" s="3404"/>
      <c r="PNE3" s="3404"/>
      <c r="PNF3" s="3404"/>
      <c r="PNG3" s="3404"/>
      <c r="PNH3" s="3404"/>
      <c r="PNI3" s="3404"/>
      <c r="PNJ3" s="3404"/>
      <c r="PNK3" s="3404"/>
      <c r="PNL3" s="3404"/>
      <c r="PNM3" s="3404"/>
      <c r="PNN3" s="3404"/>
      <c r="PNO3" s="3404"/>
      <c r="PNP3" s="3404"/>
      <c r="PNQ3" s="3404"/>
      <c r="PNR3" s="3404"/>
      <c r="PNS3" s="3404"/>
      <c r="PNT3" s="3404"/>
      <c r="PNU3" s="3404"/>
      <c r="PNV3" s="3404"/>
      <c r="PNW3" s="3404"/>
      <c r="PNX3" s="3404"/>
      <c r="PNY3" s="3404"/>
      <c r="PNZ3" s="3404"/>
      <c r="POA3" s="3404"/>
      <c r="POB3" s="3404"/>
      <c r="POC3" s="3404"/>
      <c r="POD3" s="3404"/>
      <c r="POE3" s="3404"/>
      <c r="POF3" s="3404"/>
      <c r="POG3" s="3404"/>
      <c r="POH3" s="3404"/>
      <c r="POI3" s="3404"/>
      <c r="POJ3" s="3404"/>
      <c r="POK3" s="3404"/>
      <c r="POL3" s="3404"/>
      <c r="POM3" s="3404"/>
      <c r="PON3" s="3404"/>
      <c r="POO3" s="3404"/>
      <c r="POP3" s="3404"/>
      <c r="POQ3" s="3404"/>
      <c r="POR3" s="3404"/>
      <c r="POS3" s="3404"/>
      <c r="POT3" s="3404"/>
      <c r="POU3" s="3404"/>
      <c r="POV3" s="3404"/>
      <c r="POW3" s="3404"/>
      <c r="POX3" s="3404"/>
      <c r="POY3" s="3404"/>
      <c r="POZ3" s="3404"/>
      <c r="PPA3" s="3404"/>
      <c r="PPB3" s="3404"/>
      <c r="PPC3" s="3404"/>
      <c r="PPD3" s="3404"/>
      <c r="PPE3" s="3404"/>
      <c r="PPF3" s="3404"/>
      <c r="PPG3" s="3404"/>
      <c r="PPH3" s="3404"/>
      <c r="PPI3" s="3404"/>
      <c r="PPJ3" s="3404"/>
      <c r="PPK3" s="3404"/>
      <c r="PPL3" s="3404"/>
      <c r="PPM3" s="3404"/>
      <c r="PPN3" s="3404"/>
      <c r="PPO3" s="3404"/>
      <c r="PPP3" s="3404"/>
      <c r="PPQ3" s="3404"/>
      <c r="PPR3" s="3404"/>
      <c r="PPS3" s="3404"/>
      <c r="PPT3" s="3404"/>
      <c r="PPU3" s="3404"/>
      <c r="PPV3" s="3404"/>
      <c r="PPW3" s="3404"/>
      <c r="PPX3" s="3404"/>
      <c r="PPY3" s="3404"/>
      <c r="PPZ3" s="3404"/>
      <c r="PQA3" s="3404"/>
      <c r="PQB3" s="3404"/>
      <c r="PQC3" s="3404"/>
      <c r="PQD3" s="3404"/>
      <c r="PQE3" s="3404"/>
      <c r="PQF3" s="3404"/>
      <c r="PQG3" s="3404"/>
      <c r="PQH3" s="3404"/>
      <c r="PQI3" s="3404"/>
      <c r="PQJ3" s="3404"/>
      <c r="PQK3" s="3404"/>
      <c r="PQL3" s="3404"/>
      <c r="PQM3" s="3404"/>
      <c r="PQN3" s="3404"/>
      <c r="PQO3" s="3404"/>
      <c r="PQP3" s="3404"/>
      <c r="PQQ3" s="3404"/>
      <c r="PQR3" s="3404"/>
      <c r="PQS3" s="3404"/>
      <c r="PQT3" s="3404"/>
      <c r="PQU3" s="3404"/>
      <c r="PQV3" s="3404"/>
      <c r="PQW3" s="3404"/>
      <c r="PQX3" s="3404"/>
      <c r="PQY3" s="3404"/>
      <c r="PQZ3" s="3404"/>
      <c r="PRA3" s="3404"/>
      <c r="PRB3" s="3404"/>
      <c r="PRC3" s="3404"/>
      <c r="PRD3" s="3404"/>
      <c r="PRE3" s="3404"/>
      <c r="PRF3" s="3404"/>
      <c r="PRG3" s="3404"/>
      <c r="PRH3" s="3404"/>
      <c r="PRI3" s="3404"/>
      <c r="PRJ3" s="3404"/>
      <c r="PRK3" s="3404"/>
      <c r="PRL3" s="3404"/>
      <c r="PRM3" s="3404"/>
      <c r="PRN3" s="3404"/>
      <c r="PRO3" s="3404"/>
      <c r="PRP3" s="3404"/>
      <c r="PRQ3" s="3404"/>
      <c r="PRR3" s="3404"/>
      <c r="PRS3" s="3404"/>
      <c r="PRT3" s="3404"/>
      <c r="PRU3" s="3404"/>
      <c r="PRV3" s="3404"/>
      <c r="PRW3" s="3404"/>
      <c r="PRX3" s="3404"/>
      <c r="PRY3" s="3404"/>
      <c r="PRZ3" s="3404"/>
      <c r="PSA3" s="3404"/>
      <c r="PSB3" s="3404"/>
      <c r="PSC3" s="3404"/>
      <c r="PSD3" s="3404"/>
      <c r="PSE3" s="3404"/>
      <c r="PSF3" s="3404"/>
      <c r="PSG3" s="3404"/>
      <c r="PSH3" s="3404"/>
      <c r="PSI3" s="3404"/>
      <c r="PSJ3" s="3404"/>
      <c r="PSK3" s="3404"/>
      <c r="PSL3" s="3404"/>
      <c r="PSM3" s="3404"/>
      <c r="PSN3" s="3404"/>
      <c r="PSO3" s="3404"/>
      <c r="PSP3" s="3404"/>
      <c r="PSQ3" s="3404"/>
      <c r="PSR3" s="3404"/>
      <c r="PSS3" s="3404"/>
      <c r="PST3" s="3404"/>
      <c r="PSU3" s="3404"/>
      <c r="PSV3" s="3404"/>
      <c r="PSW3" s="3404"/>
      <c r="PSX3" s="3404"/>
      <c r="PSY3" s="3404"/>
      <c r="PSZ3" s="3404"/>
      <c r="PTA3" s="3404"/>
      <c r="PTB3" s="3404"/>
      <c r="PTC3" s="3404"/>
      <c r="PTD3" s="3404"/>
      <c r="PTE3" s="3404"/>
      <c r="PTF3" s="3404"/>
      <c r="PTG3" s="3404"/>
      <c r="PTH3" s="3404"/>
      <c r="PTI3" s="3404"/>
      <c r="PTJ3" s="3404"/>
      <c r="PTK3" s="3404"/>
      <c r="PTL3" s="3404"/>
      <c r="PTM3" s="3404"/>
      <c r="PTN3" s="3404"/>
      <c r="PTO3" s="3404"/>
      <c r="PTP3" s="3404"/>
      <c r="PTQ3" s="3404"/>
      <c r="PTR3" s="3404"/>
      <c r="PTS3" s="3404"/>
      <c r="PTT3" s="3404"/>
      <c r="PTU3" s="3404"/>
      <c r="PTV3" s="3404"/>
      <c r="PTW3" s="3404"/>
      <c r="PTX3" s="3404"/>
      <c r="PTY3" s="3404"/>
      <c r="PTZ3" s="3404"/>
      <c r="PUA3" s="3404"/>
      <c r="PUB3" s="3404"/>
      <c r="PUC3" s="3404"/>
      <c r="PUD3" s="3404"/>
      <c r="PUE3" s="3404"/>
      <c r="PUF3" s="3404"/>
      <c r="PUG3" s="3404"/>
      <c r="PUH3" s="3404"/>
      <c r="PUI3" s="3404"/>
      <c r="PUJ3" s="3404"/>
      <c r="PUK3" s="3404"/>
      <c r="PUL3" s="3404"/>
      <c r="PUM3" s="3404"/>
      <c r="PUN3" s="3404"/>
      <c r="PUO3" s="3404"/>
      <c r="PUP3" s="3404"/>
      <c r="PUQ3" s="3404"/>
      <c r="PUR3" s="3404"/>
      <c r="PUS3" s="3404"/>
      <c r="PUT3" s="3404"/>
      <c r="PUU3" s="3404"/>
      <c r="PUV3" s="3404"/>
      <c r="PUW3" s="3404"/>
      <c r="PUX3" s="3404"/>
      <c r="PUY3" s="3404"/>
      <c r="PUZ3" s="3404"/>
      <c r="PVA3" s="3404"/>
      <c r="PVB3" s="3404"/>
      <c r="PVC3" s="3404"/>
      <c r="PVD3" s="3404"/>
      <c r="PVE3" s="3404"/>
      <c r="PVF3" s="3404"/>
      <c r="PVG3" s="3404"/>
      <c r="PVH3" s="3404"/>
      <c r="PVI3" s="3404"/>
      <c r="PVJ3" s="3404"/>
      <c r="PVK3" s="3404"/>
      <c r="PVL3" s="3404"/>
      <c r="PVM3" s="3404"/>
      <c r="PVN3" s="3404"/>
      <c r="PVO3" s="3404"/>
      <c r="PVP3" s="3404"/>
      <c r="PVQ3" s="3404"/>
      <c r="PVR3" s="3404"/>
      <c r="PVS3" s="3404"/>
      <c r="PVT3" s="3404"/>
      <c r="PVU3" s="3404"/>
      <c r="PVV3" s="3404"/>
      <c r="PVW3" s="3404"/>
      <c r="PVX3" s="3404"/>
      <c r="PVY3" s="3404"/>
      <c r="PVZ3" s="3404"/>
      <c r="PWA3" s="3404"/>
      <c r="PWB3" s="3404"/>
      <c r="PWC3" s="3404"/>
      <c r="PWD3" s="3404"/>
      <c r="PWE3" s="3404"/>
      <c r="PWF3" s="3404"/>
      <c r="PWG3" s="3404"/>
      <c r="PWH3" s="3404"/>
      <c r="PWI3" s="3404"/>
      <c r="PWJ3" s="3404"/>
      <c r="PWK3" s="3404"/>
      <c r="PWL3" s="3404"/>
      <c r="PWM3" s="3404"/>
      <c r="PWN3" s="3404"/>
      <c r="PWO3" s="3404"/>
      <c r="PWP3" s="3404"/>
      <c r="PWQ3" s="3404"/>
      <c r="PWR3" s="3404"/>
      <c r="PWS3" s="3404"/>
      <c r="PWT3" s="3404"/>
      <c r="PWU3" s="3404"/>
      <c r="PWV3" s="3404"/>
      <c r="PWW3" s="3404"/>
      <c r="PWX3" s="3404"/>
      <c r="PWY3" s="3404"/>
      <c r="PWZ3" s="3404"/>
      <c r="PXA3" s="3404"/>
      <c r="PXB3" s="3404"/>
      <c r="PXC3" s="3404"/>
      <c r="PXD3" s="3404"/>
      <c r="PXE3" s="3404"/>
      <c r="PXF3" s="3404"/>
      <c r="PXG3" s="3404"/>
      <c r="PXH3" s="3404"/>
      <c r="PXI3" s="3404"/>
      <c r="PXJ3" s="3404"/>
      <c r="PXK3" s="3404"/>
      <c r="PXL3" s="3404"/>
      <c r="PXM3" s="3404"/>
      <c r="PXN3" s="3404"/>
      <c r="PXO3" s="3404"/>
      <c r="PXP3" s="3404"/>
      <c r="PXQ3" s="3404"/>
      <c r="PXR3" s="3404"/>
      <c r="PXS3" s="3404"/>
      <c r="PXT3" s="3404"/>
      <c r="PXU3" s="3404"/>
      <c r="PXV3" s="3404"/>
      <c r="PXW3" s="3404"/>
      <c r="PXX3" s="3404"/>
      <c r="PXY3" s="3404"/>
      <c r="PXZ3" s="3404"/>
      <c r="PYA3" s="3404"/>
      <c r="PYB3" s="3404"/>
      <c r="PYC3" s="3404"/>
      <c r="PYD3" s="3404"/>
      <c r="PYE3" s="3404"/>
      <c r="PYF3" s="3404"/>
      <c r="PYG3" s="3404"/>
      <c r="PYH3" s="3404"/>
      <c r="PYI3" s="3404"/>
      <c r="PYJ3" s="3404"/>
      <c r="PYK3" s="3404"/>
      <c r="PYL3" s="3404"/>
      <c r="PYM3" s="3404"/>
      <c r="PYN3" s="3404"/>
      <c r="PYO3" s="3404"/>
      <c r="PYP3" s="3404"/>
      <c r="PYQ3" s="3404"/>
      <c r="PYR3" s="3404"/>
      <c r="PYS3" s="3404"/>
      <c r="PYT3" s="3404"/>
      <c r="PYU3" s="3404"/>
      <c r="PYV3" s="3404"/>
      <c r="PYW3" s="3404"/>
      <c r="PYX3" s="3404"/>
      <c r="PYY3" s="3404"/>
      <c r="PYZ3" s="3404"/>
      <c r="PZA3" s="3404"/>
      <c r="PZB3" s="3404"/>
      <c r="PZC3" s="3404"/>
      <c r="PZD3" s="3404"/>
      <c r="PZE3" s="3404"/>
      <c r="PZF3" s="3404"/>
      <c r="PZG3" s="3404"/>
      <c r="PZH3" s="3404"/>
      <c r="PZI3" s="3404"/>
      <c r="PZJ3" s="3404"/>
      <c r="PZK3" s="3404"/>
      <c r="PZL3" s="3404"/>
      <c r="PZM3" s="3404"/>
      <c r="PZN3" s="3404"/>
      <c r="PZO3" s="3404"/>
      <c r="PZP3" s="3404"/>
      <c r="PZQ3" s="3404"/>
      <c r="PZR3" s="3404"/>
      <c r="PZS3" s="3404"/>
      <c r="PZT3" s="3404"/>
      <c r="PZU3" s="3404"/>
      <c r="PZV3" s="3404"/>
      <c r="PZW3" s="3404"/>
      <c r="PZX3" s="3404"/>
      <c r="PZY3" s="3404"/>
      <c r="PZZ3" s="3404"/>
      <c r="QAA3" s="3404"/>
      <c r="QAB3" s="3404"/>
      <c r="QAC3" s="3404"/>
      <c r="QAD3" s="3404"/>
      <c r="QAE3" s="3404"/>
      <c r="QAF3" s="3404"/>
      <c r="QAG3" s="3404"/>
      <c r="QAH3" s="3404"/>
      <c r="QAI3" s="3404"/>
      <c r="QAJ3" s="3404"/>
      <c r="QAK3" s="3404"/>
      <c r="QAL3" s="3404"/>
      <c r="QAM3" s="3404"/>
      <c r="QAN3" s="3404"/>
      <c r="QAO3" s="3404"/>
      <c r="QAP3" s="3404"/>
      <c r="QAQ3" s="3404"/>
      <c r="QAR3" s="3404"/>
      <c r="QAS3" s="3404"/>
      <c r="QAT3" s="3404"/>
      <c r="QAU3" s="3404"/>
      <c r="QAV3" s="3404"/>
      <c r="QAW3" s="3404"/>
      <c r="QAX3" s="3404"/>
      <c r="QAY3" s="3404"/>
      <c r="QAZ3" s="3404"/>
      <c r="QBA3" s="3404"/>
      <c r="QBB3" s="3404"/>
      <c r="QBC3" s="3404"/>
      <c r="QBD3" s="3404"/>
      <c r="QBE3" s="3404"/>
      <c r="QBF3" s="3404"/>
      <c r="QBG3" s="3404"/>
      <c r="QBH3" s="3404"/>
      <c r="QBI3" s="3404"/>
      <c r="QBJ3" s="3404"/>
      <c r="QBK3" s="3404"/>
      <c r="QBL3" s="3404"/>
      <c r="QBM3" s="3404"/>
      <c r="QBN3" s="3404"/>
      <c r="QBO3" s="3404"/>
      <c r="QBP3" s="3404"/>
      <c r="QBQ3" s="3404"/>
      <c r="QBR3" s="3404"/>
      <c r="QBS3" s="3404"/>
      <c r="QBT3" s="3404"/>
      <c r="QBU3" s="3404"/>
      <c r="QBV3" s="3404"/>
      <c r="QBW3" s="3404"/>
      <c r="QBX3" s="3404"/>
      <c r="QBY3" s="3404"/>
      <c r="QBZ3" s="3404"/>
      <c r="QCA3" s="3404"/>
      <c r="QCB3" s="3404"/>
      <c r="QCC3" s="3404"/>
      <c r="QCD3" s="3404"/>
      <c r="QCE3" s="3404"/>
      <c r="QCF3" s="3404"/>
      <c r="QCG3" s="3404"/>
      <c r="QCH3" s="3404"/>
      <c r="QCI3" s="3404"/>
      <c r="QCJ3" s="3404"/>
      <c r="QCK3" s="3404"/>
      <c r="QCL3" s="3404"/>
      <c r="QCM3" s="3404"/>
      <c r="QCN3" s="3404"/>
      <c r="QCO3" s="3404"/>
      <c r="QCP3" s="3404"/>
      <c r="QCQ3" s="3404"/>
      <c r="QCR3" s="3404"/>
      <c r="QCS3" s="3404"/>
      <c r="QCT3" s="3404"/>
      <c r="QCU3" s="3404"/>
      <c r="QCV3" s="3404"/>
      <c r="QCW3" s="3404"/>
      <c r="QCX3" s="3404"/>
      <c r="QCY3" s="3404"/>
      <c r="QCZ3" s="3404"/>
      <c r="QDA3" s="3404"/>
      <c r="QDB3" s="3404"/>
      <c r="QDC3" s="3404"/>
      <c r="QDD3" s="3404"/>
      <c r="QDE3" s="3404"/>
      <c r="QDF3" s="3404"/>
      <c r="QDG3" s="3404"/>
      <c r="QDH3" s="3404"/>
      <c r="QDI3" s="3404"/>
      <c r="QDJ3" s="3404"/>
      <c r="QDK3" s="3404"/>
      <c r="QDL3" s="3404"/>
      <c r="QDM3" s="3404"/>
      <c r="QDN3" s="3404"/>
      <c r="QDO3" s="3404"/>
      <c r="QDP3" s="3404"/>
      <c r="QDQ3" s="3404"/>
      <c r="QDR3" s="3404"/>
      <c r="QDS3" s="3404"/>
      <c r="QDT3" s="3404"/>
      <c r="QDU3" s="3404"/>
      <c r="QDV3" s="3404"/>
      <c r="QDW3" s="3404"/>
      <c r="QDX3" s="3404"/>
      <c r="QDY3" s="3404"/>
      <c r="QDZ3" s="3404"/>
      <c r="QEA3" s="3404"/>
      <c r="QEB3" s="3404"/>
      <c r="QEC3" s="3404"/>
      <c r="QED3" s="3404"/>
      <c r="QEE3" s="3404"/>
      <c r="QEF3" s="3404"/>
      <c r="QEG3" s="3404"/>
      <c r="QEH3" s="3404"/>
      <c r="QEI3" s="3404"/>
      <c r="QEJ3" s="3404"/>
      <c r="QEK3" s="3404"/>
      <c r="QEL3" s="3404"/>
      <c r="QEM3" s="3404"/>
      <c r="QEN3" s="3404"/>
      <c r="QEO3" s="3404"/>
      <c r="QEP3" s="3404"/>
      <c r="QEQ3" s="3404"/>
      <c r="QER3" s="3404"/>
      <c r="QES3" s="3404"/>
      <c r="QET3" s="3404"/>
      <c r="QEU3" s="3404"/>
      <c r="QEV3" s="3404"/>
      <c r="QEW3" s="3404"/>
      <c r="QEX3" s="3404"/>
      <c r="QEY3" s="3404"/>
      <c r="QEZ3" s="3404"/>
      <c r="QFA3" s="3404"/>
      <c r="QFB3" s="3404"/>
      <c r="QFC3" s="3404"/>
      <c r="QFD3" s="3404"/>
      <c r="QFE3" s="3404"/>
      <c r="QFF3" s="3404"/>
      <c r="QFG3" s="3404"/>
      <c r="QFH3" s="3404"/>
      <c r="QFI3" s="3404"/>
      <c r="QFJ3" s="3404"/>
      <c r="QFK3" s="3404"/>
      <c r="QFL3" s="3404"/>
      <c r="QFM3" s="3404"/>
      <c r="QFN3" s="3404"/>
      <c r="QFO3" s="3404"/>
      <c r="QFP3" s="3404"/>
      <c r="QFQ3" s="3404"/>
      <c r="QFR3" s="3404"/>
      <c r="QFS3" s="3404"/>
      <c r="QFT3" s="3404"/>
      <c r="QFU3" s="3404"/>
      <c r="QFV3" s="3404"/>
      <c r="QFW3" s="3404"/>
      <c r="QFX3" s="3404"/>
      <c r="QFY3" s="3404"/>
      <c r="QFZ3" s="3404"/>
      <c r="QGA3" s="3404"/>
      <c r="QGB3" s="3404"/>
      <c r="QGC3" s="3404"/>
      <c r="QGD3" s="3404"/>
      <c r="QGE3" s="3404"/>
      <c r="QGF3" s="3404"/>
      <c r="QGG3" s="3404"/>
      <c r="QGH3" s="3404"/>
      <c r="QGI3" s="3404"/>
      <c r="QGJ3" s="3404"/>
      <c r="QGK3" s="3404"/>
      <c r="QGL3" s="3404"/>
      <c r="QGM3" s="3404"/>
      <c r="QGN3" s="3404"/>
      <c r="QGO3" s="3404"/>
      <c r="QGP3" s="3404"/>
      <c r="QGQ3" s="3404"/>
      <c r="QGR3" s="3404"/>
      <c r="QGS3" s="3404"/>
      <c r="QGT3" s="3404"/>
      <c r="QGU3" s="3404"/>
      <c r="QGV3" s="3404"/>
      <c r="QGW3" s="3404"/>
      <c r="QGX3" s="3404"/>
      <c r="QGY3" s="3404"/>
      <c r="QGZ3" s="3404"/>
      <c r="QHA3" s="3404"/>
      <c r="QHB3" s="3404"/>
      <c r="QHC3" s="3404"/>
      <c r="QHD3" s="3404"/>
      <c r="QHE3" s="3404"/>
      <c r="QHF3" s="3404"/>
      <c r="QHG3" s="3404"/>
      <c r="QHH3" s="3404"/>
      <c r="QHI3" s="3404"/>
      <c r="QHJ3" s="3404"/>
      <c r="QHK3" s="3404"/>
      <c r="QHL3" s="3404"/>
      <c r="QHM3" s="3404"/>
      <c r="QHN3" s="3404"/>
      <c r="QHO3" s="3404"/>
      <c r="QHP3" s="3404"/>
      <c r="QHQ3" s="3404"/>
      <c r="QHR3" s="3404"/>
      <c r="QHS3" s="3404"/>
      <c r="QHT3" s="3404"/>
      <c r="QHU3" s="3404"/>
      <c r="QHV3" s="3404"/>
      <c r="QHW3" s="3404"/>
      <c r="QHX3" s="3404"/>
      <c r="QHY3" s="3404"/>
      <c r="QHZ3" s="3404"/>
      <c r="QIA3" s="3404"/>
      <c r="QIB3" s="3404"/>
      <c r="QIC3" s="3404"/>
      <c r="QID3" s="3404"/>
      <c r="QIE3" s="3404"/>
      <c r="QIF3" s="3404"/>
      <c r="QIG3" s="3404"/>
      <c r="QIH3" s="3404"/>
      <c r="QII3" s="3404"/>
      <c r="QIJ3" s="3404"/>
      <c r="QIK3" s="3404"/>
      <c r="QIL3" s="3404"/>
      <c r="QIM3" s="3404"/>
      <c r="QIN3" s="3404"/>
      <c r="QIO3" s="3404"/>
      <c r="QIP3" s="3404"/>
      <c r="QIQ3" s="3404"/>
      <c r="QIR3" s="3404"/>
      <c r="QIS3" s="3404"/>
      <c r="QIT3" s="3404"/>
      <c r="QIU3" s="3404"/>
      <c r="QIV3" s="3404"/>
      <c r="QIW3" s="3404"/>
      <c r="QIX3" s="3404"/>
      <c r="QIY3" s="3404"/>
      <c r="QIZ3" s="3404"/>
      <c r="QJA3" s="3404"/>
      <c r="QJB3" s="3404"/>
      <c r="QJC3" s="3404"/>
      <c r="QJD3" s="3404"/>
      <c r="QJE3" s="3404"/>
      <c r="QJF3" s="3404"/>
      <c r="QJG3" s="3404"/>
      <c r="QJH3" s="3404"/>
      <c r="QJI3" s="3404"/>
      <c r="QJJ3" s="3404"/>
      <c r="QJK3" s="3404"/>
      <c r="QJL3" s="3404"/>
      <c r="QJM3" s="3404"/>
      <c r="QJN3" s="3404"/>
      <c r="QJO3" s="3404"/>
      <c r="QJP3" s="3404"/>
      <c r="QJQ3" s="3404"/>
      <c r="QJR3" s="3404"/>
      <c r="QJS3" s="3404"/>
      <c r="QJT3" s="3404"/>
      <c r="QJU3" s="3404"/>
      <c r="QJV3" s="3404"/>
      <c r="QJW3" s="3404"/>
      <c r="QJX3" s="3404"/>
      <c r="QJY3" s="3404"/>
      <c r="QJZ3" s="3404"/>
      <c r="QKA3" s="3404"/>
      <c r="QKB3" s="3404"/>
      <c r="QKC3" s="3404"/>
      <c r="QKD3" s="3404"/>
      <c r="QKE3" s="3404"/>
      <c r="QKF3" s="3404"/>
      <c r="QKG3" s="3404"/>
      <c r="QKH3" s="3404"/>
      <c r="QKI3" s="3404"/>
      <c r="QKJ3" s="3404"/>
      <c r="QKK3" s="3404"/>
      <c r="QKL3" s="3404"/>
      <c r="QKM3" s="3404"/>
      <c r="QKN3" s="3404"/>
      <c r="QKO3" s="3404"/>
      <c r="QKP3" s="3404"/>
      <c r="QKQ3" s="3404"/>
      <c r="QKR3" s="3404"/>
      <c r="QKS3" s="3404"/>
      <c r="QKT3" s="3404"/>
      <c r="QKU3" s="3404"/>
      <c r="QKV3" s="3404"/>
      <c r="QKW3" s="3404"/>
      <c r="QKX3" s="3404"/>
      <c r="QKY3" s="3404"/>
      <c r="QKZ3" s="3404"/>
      <c r="QLA3" s="3404"/>
      <c r="QLB3" s="3404"/>
      <c r="QLC3" s="3404"/>
      <c r="QLD3" s="3404"/>
      <c r="QLE3" s="3404"/>
      <c r="QLF3" s="3404"/>
      <c r="QLG3" s="3404"/>
      <c r="QLH3" s="3404"/>
      <c r="QLI3" s="3404"/>
      <c r="QLJ3" s="3404"/>
      <c r="QLK3" s="3404"/>
      <c r="QLL3" s="3404"/>
      <c r="QLM3" s="3404"/>
      <c r="QLN3" s="3404"/>
      <c r="QLO3" s="3404"/>
      <c r="QLP3" s="3404"/>
      <c r="QLQ3" s="3404"/>
      <c r="QLR3" s="3404"/>
      <c r="QLS3" s="3404"/>
      <c r="QLT3" s="3404"/>
      <c r="QLU3" s="3404"/>
      <c r="QLV3" s="3404"/>
      <c r="QLW3" s="3404"/>
      <c r="QLX3" s="3404"/>
      <c r="QLY3" s="3404"/>
      <c r="QLZ3" s="3404"/>
      <c r="QMA3" s="3404"/>
      <c r="QMB3" s="3404"/>
      <c r="QMC3" s="3404"/>
      <c r="QMD3" s="3404"/>
      <c r="QME3" s="3404"/>
      <c r="QMF3" s="3404"/>
      <c r="QMG3" s="3404"/>
      <c r="QMH3" s="3404"/>
      <c r="QMI3" s="3404"/>
      <c r="QMJ3" s="3404"/>
      <c r="QMK3" s="3404"/>
      <c r="QML3" s="3404"/>
      <c r="QMM3" s="3404"/>
      <c r="QMN3" s="3404"/>
      <c r="QMO3" s="3404"/>
      <c r="QMP3" s="3404"/>
      <c r="QMQ3" s="3404"/>
      <c r="QMR3" s="3404"/>
      <c r="QMS3" s="3404"/>
      <c r="QMT3" s="3404"/>
      <c r="QMU3" s="3404"/>
      <c r="QMV3" s="3404"/>
      <c r="QMW3" s="3404"/>
      <c r="QMX3" s="3404"/>
      <c r="QMY3" s="3404"/>
      <c r="QMZ3" s="3404"/>
      <c r="QNA3" s="3404"/>
      <c r="QNB3" s="3404"/>
      <c r="QNC3" s="3404"/>
      <c r="QND3" s="3404"/>
      <c r="QNE3" s="3404"/>
      <c r="QNF3" s="3404"/>
      <c r="QNG3" s="3404"/>
      <c r="QNH3" s="3404"/>
      <c r="QNI3" s="3404"/>
      <c r="QNJ3" s="3404"/>
      <c r="QNK3" s="3404"/>
      <c r="QNL3" s="3404"/>
      <c r="QNM3" s="3404"/>
      <c r="QNN3" s="3404"/>
      <c r="QNO3" s="3404"/>
      <c r="QNP3" s="3404"/>
      <c r="QNQ3" s="3404"/>
      <c r="QNR3" s="3404"/>
      <c r="QNS3" s="3404"/>
      <c r="QNT3" s="3404"/>
      <c r="QNU3" s="3404"/>
      <c r="QNV3" s="3404"/>
      <c r="QNW3" s="3404"/>
      <c r="QNX3" s="3404"/>
      <c r="QNY3" s="3404"/>
      <c r="QNZ3" s="3404"/>
      <c r="QOA3" s="3404"/>
      <c r="QOB3" s="3404"/>
      <c r="QOC3" s="3404"/>
      <c r="QOD3" s="3404"/>
      <c r="QOE3" s="3404"/>
      <c r="QOF3" s="3404"/>
      <c r="QOG3" s="3404"/>
      <c r="QOH3" s="3404"/>
      <c r="QOI3" s="3404"/>
      <c r="QOJ3" s="3404"/>
      <c r="QOK3" s="3404"/>
      <c r="QOL3" s="3404"/>
      <c r="QOM3" s="3404"/>
      <c r="QON3" s="3404"/>
      <c r="QOO3" s="3404"/>
      <c r="QOP3" s="3404"/>
      <c r="QOQ3" s="3404"/>
      <c r="QOR3" s="3404"/>
      <c r="QOS3" s="3404"/>
      <c r="QOT3" s="3404"/>
      <c r="QOU3" s="3404"/>
      <c r="QOV3" s="3404"/>
      <c r="QOW3" s="3404"/>
      <c r="QOX3" s="3404"/>
      <c r="QOY3" s="3404"/>
      <c r="QOZ3" s="3404"/>
      <c r="QPA3" s="3404"/>
      <c r="QPB3" s="3404"/>
      <c r="QPC3" s="3404"/>
      <c r="QPD3" s="3404"/>
      <c r="QPE3" s="3404"/>
      <c r="QPF3" s="3404"/>
      <c r="QPG3" s="3404"/>
      <c r="QPH3" s="3404"/>
      <c r="QPI3" s="3404"/>
      <c r="QPJ3" s="3404"/>
      <c r="QPK3" s="3404"/>
      <c r="QPL3" s="3404"/>
      <c r="QPM3" s="3404"/>
      <c r="QPN3" s="3404"/>
      <c r="QPO3" s="3404"/>
      <c r="QPP3" s="3404"/>
      <c r="QPQ3" s="3404"/>
      <c r="QPR3" s="3404"/>
      <c r="QPS3" s="3404"/>
      <c r="QPT3" s="3404"/>
      <c r="QPU3" s="3404"/>
      <c r="QPV3" s="3404"/>
      <c r="QPW3" s="3404"/>
      <c r="QPX3" s="3404"/>
      <c r="QPY3" s="3404"/>
      <c r="QPZ3" s="3404"/>
      <c r="QQA3" s="3404"/>
      <c r="QQB3" s="3404"/>
      <c r="QQC3" s="3404"/>
      <c r="QQD3" s="3404"/>
      <c r="QQE3" s="3404"/>
      <c r="QQF3" s="3404"/>
      <c r="QQG3" s="3404"/>
      <c r="QQH3" s="3404"/>
      <c r="QQI3" s="3404"/>
      <c r="QQJ3" s="3404"/>
      <c r="QQK3" s="3404"/>
      <c r="QQL3" s="3404"/>
      <c r="QQM3" s="3404"/>
      <c r="QQN3" s="3404"/>
      <c r="QQO3" s="3404"/>
      <c r="QQP3" s="3404"/>
      <c r="QQQ3" s="3404"/>
      <c r="QQR3" s="3404"/>
      <c r="QQS3" s="3404"/>
      <c r="QQT3" s="3404"/>
      <c r="QQU3" s="3404"/>
      <c r="QQV3" s="3404"/>
      <c r="QQW3" s="3404"/>
      <c r="QQX3" s="3404"/>
      <c r="QQY3" s="3404"/>
      <c r="QQZ3" s="3404"/>
      <c r="QRA3" s="3404"/>
      <c r="QRB3" s="3404"/>
      <c r="QRC3" s="3404"/>
      <c r="QRD3" s="3404"/>
      <c r="QRE3" s="3404"/>
      <c r="QRF3" s="3404"/>
      <c r="QRG3" s="3404"/>
      <c r="QRH3" s="3404"/>
      <c r="QRI3" s="3404"/>
      <c r="QRJ3" s="3404"/>
      <c r="QRK3" s="3404"/>
      <c r="QRL3" s="3404"/>
      <c r="QRM3" s="3404"/>
      <c r="QRN3" s="3404"/>
      <c r="QRO3" s="3404"/>
      <c r="QRP3" s="3404"/>
      <c r="QRQ3" s="3404"/>
      <c r="QRR3" s="3404"/>
      <c r="QRS3" s="3404"/>
      <c r="QRT3" s="3404"/>
      <c r="QRU3" s="3404"/>
      <c r="QRV3" s="3404"/>
      <c r="QRW3" s="3404"/>
      <c r="QRX3" s="3404"/>
      <c r="QRY3" s="3404"/>
      <c r="QRZ3" s="3404"/>
      <c r="QSA3" s="3404"/>
      <c r="QSB3" s="3404"/>
      <c r="QSC3" s="3404"/>
      <c r="QSD3" s="3404"/>
      <c r="QSE3" s="3404"/>
      <c r="QSF3" s="3404"/>
      <c r="QSG3" s="3404"/>
      <c r="QSH3" s="3404"/>
      <c r="QSI3" s="3404"/>
      <c r="QSJ3" s="3404"/>
      <c r="QSK3" s="3404"/>
      <c r="QSL3" s="3404"/>
      <c r="QSM3" s="3404"/>
      <c r="QSN3" s="3404"/>
      <c r="QSO3" s="3404"/>
      <c r="QSP3" s="3404"/>
      <c r="QSQ3" s="3404"/>
      <c r="QSR3" s="3404"/>
      <c r="QSS3" s="3404"/>
      <c r="QST3" s="3404"/>
      <c r="QSU3" s="3404"/>
      <c r="QSV3" s="3404"/>
      <c r="QSW3" s="3404"/>
      <c r="QSX3" s="3404"/>
      <c r="QSY3" s="3404"/>
      <c r="QSZ3" s="3404"/>
      <c r="QTA3" s="3404"/>
      <c r="QTB3" s="3404"/>
      <c r="QTC3" s="3404"/>
      <c r="QTD3" s="3404"/>
      <c r="QTE3" s="3404"/>
      <c r="QTF3" s="3404"/>
      <c r="QTG3" s="3404"/>
      <c r="QTH3" s="3404"/>
      <c r="QTI3" s="3404"/>
      <c r="QTJ3" s="3404"/>
      <c r="QTK3" s="3404"/>
      <c r="QTL3" s="3404"/>
      <c r="QTM3" s="3404"/>
      <c r="QTN3" s="3404"/>
      <c r="QTO3" s="3404"/>
      <c r="QTP3" s="3404"/>
      <c r="QTQ3" s="3404"/>
      <c r="QTR3" s="3404"/>
      <c r="QTS3" s="3404"/>
      <c r="QTT3" s="3404"/>
      <c r="QTU3" s="3404"/>
      <c r="QTV3" s="3404"/>
      <c r="QTW3" s="3404"/>
      <c r="QTX3" s="3404"/>
      <c r="QTY3" s="3404"/>
      <c r="QTZ3" s="3404"/>
      <c r="QUA3" s="3404"/>
      <c r="QUB3" s="3404"/>
      <c r="QUC3" s="3404"/>
      <c r="QUD3" s="3404"/>
      <c r="QUE3" s="3404"/>
      <c r="QUF3" s="3404"/>
      <c r="QUG3" s="3404"/>
      <c r="QUH3" s="3404"/>
      <c r="QUI3" s="3404"/>
      <c r="QUJ3" s="3404"/>
      <c r="QUK3" s="3404"/>
      <c r="QUL3" s="3404"/>
      <c r="QUM3" s="3404"/>
      <c r="QUN3" s="3404"/>
      <c r="QUO3" s="3404"/>
      <c r="QUP3" s="3404"/>
      <c r="QUQ3" s="3404"/>
      <c r="QUR3" s="3404"/>
      <c r="QUS3" s="3404"/>
      <c r="QUT3" s="3404"/>
      <c r="QUU3" s="3404"/>
      <c r="QUV3" s="3404"/>
      <c r="QUW3" s="3404"/>
      <c r="QUX3" s="3404"/>
      <c r="QUY3" s="3404"/>
      <c r="QUZ3" s="3404"/>
      <c r="QVA3" s="3404"/>
      <c r="QVB3" s="3404"/>
      <c r="QVC3" s="3404"/>
      <c r="QVD3" s="3404"/>
      <c r="QVE3" s="3404"/>
      <c r="QVF3" s="3404"/>
      <c r="QVG3" s="3404"/>
      <c r="QVH3" s="3404"/>
      <c r="QVI3" s="3404"/>
      <c r="QVJ3" s="3404"/>
      <c r="QVK3" s="3404"/>
      <c r="QVL3" s="3404"/>
      <c r="QVM3" s="3404"/>
      <c r="QVN3" s="3404"/>
      <c r="QVO3" s="3404"/>
      <c r="QVP3" s="3404"/>
      <c r="QVQ3" s="3404"/>
      <c r="QVR3" s="3404"/>
      <c r="QVS3" s="3404"/>
      <c r="QVT3" s="3404"/>
      <c r="QVU3" s="3404"/>
      <c r="QVV3" s="3404"/>
      <c r="QVW3" s="3404"/>
      <c r="QVX3" s="3404"/>
      <c r="QVY3" s="3404"/>
      <c r="QVZ3" s="3404"/>
      <c r="QWA3" s="3404"/>
      <c r="QWB3" s="3404"/>
      <c r="QWC3" s="3404"/>
      <c r="QWD3" s="3404"/>
      <c r="QWE3" s="3404"/>
      <c r="QWF3" s="3404"/>
      <c r="QWG3" s="3404"/>
      <c r="QWH3" s="3404"/>
      <c r="QWI3" s="3404"/>
      <c r="QWJ3" s="3404"/>
      <c r="QWK3" s="3404"/>
      <c r="QWL3" s="3404"/>
      <c r="QWM3" s="3404"/>
      <c r="QWN3" s="3404"/>
      <c r="QWO3" s="3404"/>
      <c r="QWP3" s="3404"/>
      <c r="QWQ3" s="3404"/>
      <c r="QWR3" s="3404"/>
      <c r="QWS3" s="3404"/>
      <c r="QWT3" s="3404"/>
      <c r="QWU3" s="3404"/>
      <c r="QWV3" s="3404"/>
      <c r="QWW3" s="3404"/>
      <c r="QWX3" s="3404"/>
      <c r="QWY3" s="3404"/>
      <c r="QWZ3" s="3404"/>
      <c r="QXA3" s="3404"/>
      <c r="QXB3" s="3404"/>
      <c r="QXC3" s="3404"/>
      <c r="QXD3" s="3404"/>
      <c r="QXE3" s="3404"/>
      <c r="QXF3" s="3404"/>
      <c r="QXG3" s="3404"/>
      <c r="QXH3" s="3404"/>
      <c r="QXI3" s="3404"/>
      <c r="QXJ3" s="3404"/>
      <c r="QXK3" s="3404"/>
      <c r="QXL3" s="3404"/>
      <c r="QXM3" s="3404"/>
      <c r="QXN3" s="3404"/>
      <c r="QXO3" s="3404"/>
      <c r="QXP3" s="3404"/>
      <c r="QXQ3" s="3404"/>
      <c r="QXR3" s="3404"/>
      <c r="QXS3" s="3404"/>
      <c r="QXT3" s="3404"/>
      <c r="QXU3" s="3404"/>
      <c r="QXV3" s="3404"/>
      <c r="QXW3" s="3404"/>
      <c r="QXX3" s="3404"/>
      <c r="QXY3" s="3404"/>
      <c r="QXZ3" s="3404"/>
      <c r="QYA3" s="3404"/>
      <c r="QYB3" s="3404"/>
      <c r="QYC3" s="3404"/>
      <c r="QYD3" s="3404"/>
      <c r="QYE3" s="3404"/>
      <c r="QYF3" s="3404"/>
      <c r="QYG3" s="3404"/>
      <c r="QYH3" s="3404"/>
      <c r="QYI3" s="3404"/>
      <c r="QYJ3" s="3404"/>
      <c r="QYK3" s="3404"/>
      <c r="QYL3" s="3404"/>
      <c r="QYM3" s="3404"/>
      <c r="QYN3" s="3404"/>
      <c r="QYO3" s="3404"/>
      <c r="QYP3" s="3404"/>
      <c r="QYQ3" s="3404"/>
      <c r="QYR3" s="3404"/>
      <c r="QYS3" s="3404"/>
      <c r="QYT3" s="3404"/>
      <c r="QYU3" s="3404"/>
      <c r="QYV3" s="3404"/>
      <c r="QYW3" s="3404"/>
      <c r="QYX3" s="3404"/>
      <c r="QYY3" s="3404"/>
      <c r="QYZ3" s="3404"/>
      <c r="QZA3" s="3404"/>
      <c r="QZB3" s="3404"/>
      <c r="QZC3" s="3404"/>
      <c r="QZD3" s="3404"/>
      <c r="QZE3" s="3404"/>
      <c r="QZF3" s="3404"/>
      <c r="QZG3" s="3404"/>
      <c r="QZH3" s="3404"/>
      <c r="QZI3" s="3404"/>
      <c r="QZJ3" s="3404"/>
      <c r="QZK3" s="3404"/>
      <c r="QZL3" s="3404"/>
      <c r="QZM3" s="3404"/>
      <c r="QZN3" s="3404"/>
      <c r="QZO3" s="3404"/>
      <c r="QZP3" s="3404"/>
      <c r="QZQ3" s="3404"/>
      <c r="QZR3" s="3404"/>
      <c r="QZS3" s="3404"/>
      <c r="QZT3" s="3404"/>
      <c r="QZU3" s="3404"/>
      <c r="QZV3" s="3404"/>
      <c r="QZW3" s="3404"/>
      <c r="QZX3" s="3404"/>
      <c r="QZY3" s="3404"/>
      <c r="QZZ3" s="3404"/>
      <c r="RAA3" s="3404"/>
      <c r="RAB3" s="3404"/>
      <c r="RAC3" s="3404"/>
      <c r="RAD3" s="3404"/>
      <c r="RAE3" s="3404"/>
      <c r="RAF3" s="3404"/>
      <c r="RAG3" s="3404"/>
      <c r="RAH3" s="3404"/>
      <c r="RAI3" s="3404"/>
      <c r="RAJ3" s="3404"/>
      <c r="RAK3" s="3404"/>
      <c r="RAL3" s="3404"/>
      <c r="RAM3" s="3404"/>
      <c r="RAN3" s="3404"/>
      <c r="RAO3" s="3404"/>
      <c r="RAP3" s="3404"/>
      <c r="RAQ3" s="3404"/>
      <c r="RAR3" s="3404"/>
      <c r="RAS3" s="3404"/>
      <c r="RAT3" s="3404"/>
      <c r="RAU3" s="3404"/>
      <c r="RAV3" s="3404"/>
      <c r="RAW3" s="3404"/>
      <c r="RAX3" s="3404"/>
      <c r="RAY3" s="3404"/>
      <c r="RAZ3" s="3404"/>
      <c r="RBA3" s="3404"/>
      <c r="RBB3" s="3404"/>
      <c r="RBC3" s="3404"/>
      <c r="RBD3" s="3404"/>
      <c r="RBE3" s="3404"/>
      <c r="RBF3" s="3404"/>
      <c r="RBG3" s="3404"/>
      <c r="RBH3" s="3404"/>
      <c r="RBI3" s="3404"/>
      <c r="RBJ3" s="3404"/>
      <c r="RBK3" s="3404"/>
      <c r="RBL3" s="3404"/>
      <c r="RBM3" s="3404"/>
      <c r="RBN3" s="3404"/>
      <c r="RBO3" s="3404"/>
      <c r="RBP3" s="3404"/>
      <c r="RBQ3" s="3404"/>
      <c r="RBR3" s="3404"/>
      <c r="RBS3" s="3404"/>
      <c r="RBT3" s="3404"/>
      <c r="RBU3" s="3404"/>
      <c r="RBV3" s="3404"/>
      <c r="RBW3" s="3404"/>
      <c r="RBX3" s="3404"/>
      <c r="RBY3" s="3404"/>
      <c r="RBZ3" s="3404"/>
      <c r="RCA3" s="3404"/>
      <c r="RCB3" s="3404"/>
      <c r="RCC3" s="3404"/>
      <c r="RCD3" s="3404"/>
      <c r="RCE3" s="3404"/>
      <c r="RCF3" s="3404"/>
      <c r="RCG3" s="3404"/>
      <c r="RCH3" s="3404"/>
      <c r="RCI3" s="3404"/>
      <c r="RCJ3" s="3404"/>
      <c r="RCK3" s="3404"/>
      <c r="RCL3" s="3404"/>
      <c r="RCM3" s="3404"/>
      <c r="RCN3" s="3404"/>
      <c r="RCO3" s="3404"/>
      <c r="RCP3" s="3404"/>
      <c r="RCQ3" s="3404"/>
      <c r="RCR3" s="3404"/>
      <c r="RCS3" s="3404"/>
      <c r="RCT3" s="3404"/>
      <c r="RCU3" s="3404"/>
      <c r="RCV3" s="3404"/>
      <c r="RCW3" s="3404"/>
      <c r="RCX3" s="3404"/>
      <c r="RCY3" s="3404"/>
      <c r="RCZ3" s="3404"/>
      <c r="RDA3" s="3404"/>
      <c r="RDB3" s="3404"/>
      <c r="RDC3" s="3404"/>
      <c r="RDD3" s="3404"/>
      <c r="RDE3" s="3404"/>
      <c r="RDF3" s="3404"/>
      <c r="RDG3" s="3404"/>
      <c r="RDH3" s="3404"/>
      <c r="RDI3" s="3404"/>
      <c r="RDJ3" s="3404"/>
      <c r="RDK3" s="3404"/>
      <c r="RDL3" s="3404"/>
      <c r="RDM3" s="3404"/>
      <c r="RDN3" s="3404"/>
      <c r="RDO3" s="3404"/>
      <c r="RDP3" s="3404"/>
      <c r="RDQ3" s="3404"/>
      <c r="RDR3" s="3404"/>
      <c r="RDS3" s="3404"/>
      <c r="RDT3" s="3404"/>
      <c r="RDU3" s="3404"/>
      <c r="RDV3" s="3404"/>
      <c r="RDW3" s="3404"/>
      <c r="RDX3" s="3404"/>
      <c r="RDY3" s="3404"/>
      <c r="RDZ3" s="3404"/>
      <c r="REA3" s="3404"/>
      <c r="REB3" s="3404"/>
      <c r="REC3" s="3404"/>
      <c r="RED3" s="3404"/>
      <c r="REE3" s="3404"/>
      <c r="REF3" s="3404"/>
      <c r="REG3" s="3404"/>
      <c r="REH3" s="3404"/>
      <c r="REI3" s="3404"/>
      <c r="REJ3" s="3404"/>
      <c r="REK3" s="3404"/>
      <c r="REL3" s="3404"/>
      <c r="REM3" s="3404"/>
      <c r="REN3" s="3404"/>
      <c r="REO3" s="3404"/>
      <c r="REP3" s="3404"/>
      <c r="REQ3" s="3404"/>
      <c r="RER3" s="3404"/>
      <c r="RES3" s="3404"/>
      <c r="RET3" s="3404"/>
      <c r="REU3" s="3404"/>
      <c r="REV3" s="3404"/>
      <c r="REW3" s="3404"/>
      <c r="REX3" s="3404"/>
      <c r="REY3" s="3404"/>
      <c r="REZ3" s="3404"/>
      <c r="RFA3" s="3404"/>
      <c r="RFB3" s="3404"/>
      <c r="RFC3" s="3404"/>
      <c r="RFD3" s="3404"/>
      <c r="RFE3" s="3404"/>
      <c r="RFF3" s="3404"/>
      <c r="RFG3" s="3404"/>
      <c r="RFH3" s="3404"/>
      <c r="RFI3" s="3404"/>
      <c r="RFJ3" s="3404"/>
      <c r="RFK3" s="3404"/>
      <c r="RFL3" s="3404"/>
      <c r="RFM3" s="3404"/>
      <c r="RFN3" s="3404"/>
      <c r="RFO3" s="3404"/>
      <c r="RFP3" s="3404"/>
      <c r="RFQ3" s="3404"/>
      <c r="RFR3" s="3404"/>
      <c r="RFS3" s="3404"/>
      <c r="RFT3" s="3404"/>
      <c r="RFU3" s="3404"/>
      <c r="RFV3" s="3404"/>
      <c r="RFW3" s="3404"/>
      <c r="RFX3" s="3404"/>
      <c r="RFY3" s="3404"/>
      <c r="RFZ3" s="3404"/>
      <c r="RGA3" s="3404"/>
      <c r="RGB3" s="3404"/>
      <c r="RGC3" s="3404"/>
      <c r="RGD3" s="3404"/>
      <c r="RGE3" s="3404"/>
      <c r="RGF3" s="3404"/>
      <c r="RGG3" s="3404"/>
      <c r="RGH3" s="3404"/>
      <c r="RGI3" s="3404"/>
      <c r="RGJ3" s="3404"/>
      <c r="RGK3" s="3404"/>
      <c r="RGL3" s="3404"/>
      <c r="RGM3" s="3404"/>
      <c r="RGN3" s="3404"/>
      <c r="RGO3" s="3404"/>
      <c r="RGP3" s="3404"/>
      <c r="RGQ3" s="3404"/>
      <c r="RGR3" s="3404"/>
      <c r="RGS3" s="3404"/>
      <c r="RGT3" s="3404"/>
      <c r="RGU3" s="3404"/>
      <c r="RGV3" s="3404"/>
      <c r="RGW3" s="3404"/>
      <c r="RGX3" s="3404"/>
      <c r="RGY3" s="3404"/>
      <c r="RGZ3" s="3404"/>
      <c r="RHA3" s="3404"/>
      <c r="RHB3" s="3404"/>
      <c r="RHC3" s="3404"/>
      <c r="RHD3" s="3404"/>
      <c r="RHE3" s="3404"/>
      <c r="RHF3" s="3404"/>
      <c r="RHG3" s="3404"/>
      <c r="RHH3" s="3404"/>
      <c r="RHI3" s="3404"/>
      <c r="RHJ3" s="3404"/>
      <c r="RHK3" s="3404"/>
      <c r="RHL3" s="3404"/>
      <c r="RHM3" s="3404"/>
      <c r="RHN3" s="3404"/>
      <c r="RHO3" s="3404"/>
      <c r="RHP3" s="3404"/>
      <c r="RHQ3" s="3404"/>
      <c r="RHR3" s="3404"/>
      <c r="RHS3" s="3404"/>
      <c r="RHT3" s="3404"/>
      <c r="RHU3" s="3404"/>
      <c r="RHV3" s="3404"/>
      <c r="RHW3" s="3404"/>
      <c r="RHX3" s="3404"/>
      <c r="RHY3" s="3404"/>
      <c r="RHZ3" s="3404"/>
      <c r="RIA3" s="3404"/>
      <c r="RIB3" s="3404"/>
      <c r="RIC3" s="3404"/>
      <c r="RID3" s="3404"/>
      <c r="RIE3" s="3404"/>
      <c r="RIF3" s="3404"/>
      <c r="RIG3" s="3404"/>
      <c r="RIH3" s="3404"/>
      <c r="RII3" s="3404"/>
      <c r="RIJ3" s="3404"/>
      <c r="RIK3" s="3404"/>
      <c r="RIL3" s="3404"/>
      <c r="RIM3" s="3404"/>
      <c r="RIN3" s="3404"/>
      <c r="RIO3" s="3404"/>
      <c r="RIP3" s="3404"/>
      <c r="RIQ3" s="3404"/>
      <c r="RIR3" s="3404"/>
      <c r="RIS3" s="3404"/>
      <c r="RIT3" s="3404"/>
      <c r="RIU3" s="3404"/>
      <c r="RIV3" s="3404"/>
      <c r="RIW3" s="3404"/>
      <c r="RIX3" s="3404"/>
      <c r="RIY3" s="3404"/>
      <c r="RIZ3" s="3404"/>
      <c r="RJA3" s="3404"/>
      <c r="RJB3" s="3404"/>
      <c r="RJC3" s="3404"/>
      <c r="RJD3" s="3404"/>
      <c r="RJE3" s="3404"/>
      <c r="RJF3" s="3404"/>
      <c r="RJG3" s="3404"/>
      <c r="RJH3" s="3404"/>
      <c r="RJI3" s="3404"/>
      <c r="RJJ3" s="3404"/>
      <c r="RJK3" s="3404"/>
      <c r="RJL3" s="3404"/>
      <c r="RJM3" s="3404"/>
      <c r="RJN3" s="3404"/>
      <c r="RJO3" s="3404"/>
      <c r="RJP3" s="3404"/>
      <c r="RJQ3" s="3404"/>
      <c r="RJR3" s="3404"/>
      <c r="RJS3" s="3404"/>
      <c r="RJT3" s="3404"/>
      <c r="RJU3" s="3404"/>
      <c r="RJV3" s="3404"/>
      <c r="RJW3" s="3404"/>
      <c r="RJX3" s="3404"/>
      <c r="RJY3" s="3404"/>
      <c r="RJZ3" s="3404"/>
      <c r="RKA3" s="3404"/>
      <c r="RKB3" s="3404"/>
      <c r="RKC3" s="3404"/>
      <c r="RKD3" s="3404"/>
      <c r="RKE3" s="3404"/>
      <c r="RKF3" s="3404"/>
      <c r="RKG3" s="3404"/>
      <c r="RKH3" s="3404"/>
      <c r="RKI3" s="3404"/>
      <c r="RKJ3" s="3404"/>
      <c r="RKK3" s="3404"/>
      <c r="RKL3" s="3404"/>
      <c r="RKM3" s="3404"/>
      <c r="RKN3" s="3404"/>
      <c r="RKO3" s="3404"/>
      <c r="RKP3" s="3404"/>
      <c r="RKQ3" s="3404"/>
      <c r="RKR3" s="3404"/>
      <c r="RKS3" s="3404"/>
      <c r="RKT3" s="3404"/>
      <c r="RKU3" s="3404"/>
      <c r="RKV3" s="3404"/>
      <c r="RKW3" s="3404"/>
      <c r="RKX3" s="3404"/>
      <c r="RKY3" s="3404"/>
      <c r="RKZ3" s="3404"/>
      <c r="RLA3" s="3404"/>
      <c r="RLB3" s="3404"/>
      <c r="RLC3" s="3404"/>
      <c r="RLD3" s="3404"/>
      <c r="RLE3" s="3404"/>
      <c r="RLF3" s="3404"/>
      <c r="RLG3" s="3404"/>
      <c r="RLH3" s="3404"/>
      <c r="RLI3" s="3404"/>
      <c r="RLJ3" s="3404"/>
      <c r="RLK3" s="3404"/>
      <c r="RLL3" s="3404"/>
      <c r="RLM3" s="3404"/>
      <c r="RLN3" s="3404"/>
      <c r="RLO3" s="3404"/>
      <c r="RLP3" s="3404"/>
      <c r="RLQ3" s="3404"/>
      <c r="RLR3" s="3404"/>
      <c r="RLS3" s="3404"/>
      <c r="RLT3" s="3404"/>
      <c r="RLU3" s="3404"/>
      <c r="RLV3" s="3404"/>
      <c r="RLW3" s="3404"/>
      <c r="RLX3" s="3404"/>
      <c r="RLY3" s="3404"/>
      <c r="RLZ3" s="3404"/>
      <c r="RMA3" s="3404"/>
      <c r="RMB3" s="3404"/>
      <c r="RMC3" s="3404"/>
      <c r="RMD3" s="3404"/>
      <c r="RME3" s="3404"/>
      <c r="RMF3" s="3404"/>
      <c r="RMG3" s="3404"/>
      <c r="RMH3" s="3404"/>
      <c r="RMI3" s="3404"/>
      <c r="RMJ3" s="3404"/>
      <c r="RMK3" s="3404"/>
      <c r="RML3" s="3404"/>
      <c r="RMM3" s="3404"/>
      <c r="RMN3" s="3404"/>
      <c r="RMO3" s="3404"/>
      <c r="RMP3" s="3404"/>
      <c r="RMQ3" s="3404"/>
      <c r="RMR3" s="3404"/>
      <c r="RMS3" s="3404"/>
      <c r="RMT3" s="3404"/>
      <c r="RMU3" s="3404"/>
      <c r="RMV3" s="3404"/>
      <c r="RMW3" s="3404"/>
      <c r="RMX3" s="3404"/>
      <c r="RMY3" s="3404"/>
      <c r="RMZ3" s="3404"/>
      <c r="RNA3" s="3404"/>
      <c r="RNB3" s="3404"/>
      <c r="RNC3" s="3404"/>
      <c r="RND3" s="3404"/>
      <c r="RNE3" s="3404"/>
      <c r="RNF3" s="3404"/>
      <c r="RNG3" s="3404"/>
      <c r="RNH3" s="3404"/>
      <c r="RNI3" s="3404"/>
      <c r="RNJ3" s="3404"/>
      <c r="RNK3" s="3404"/>
      <c r="RNL3" s="3404"/>
      <c r="RNM3" s="3404"/>
      <c r="RNN3" s="3404"/>
      <c r="RNO3" s="3404"/>
      <c r="RNP3" s="3404"/>
      <c r="RNQ3" s="3404"/>
      <c r="RNR3" s="3404"/>
      <c r="RNS3" s="3404"/>
      <c r="RNT3" s="3404"/>
      <c r="RNU3" s="3404"/>
      <c r="RNV3" s="3404"/>
      <c r="RNW3" s="3404"/>
      <c r="RNX3" s="3404"/>
      <c r="RNY3" s="3404"/>
      <c r="RNZ3" s="3404"/>
      <c r="ROA3" s="3404"/>
      <c r="ROB3" s="3404"/>
      <c r="ROC3" s="3404"/>
      <c r="ROD3" s="3404"/>
      <c r="ROE3" s="3404"/>
      <c r="ROF3" s="3404"/>
      <c r="ROG3" s="3404"/>
      <c r="ROH3" s="3404"/>
      <c r="ROI3" s="3404"/>
      <c r="ROJ3" s="3404"/>
      <c r="ROK3" s="3404"/>
      <c r="ROL3" s="3404"/>
      <c r="ROM3" s="3404"/>
      <c r="RON3" s="3404"/>
      <c r="ROO3" s="3404"/>
      <c r="ROP3" s="3404"/>
      <c r="ROQ3" s="3404"/>
      <c r="ROR3" s="3404"/>
      <c r="ROS3" s="3404"/>
      <c r="ROT3" s="3404"/>
      <c r="ROU3" s="3404"/>
      <c r="ROV3" s="3404"/>
      <c r="ROW3" s="3404"/>
      <c r="ROX3" s="3404"/>
      <c r="ROY3" s="3404"/>
      <c r="ROZ3" s="3404"/>
      <c r="RPA3" s="3404"/>
      <c r="RPB3" s="3404"/>
      <c r="RPC3" s="3404"/>
      <c r="RPD3" s="3404"/>
      <c r="RPE3" s="3404"/>
      <c r="RPF3" s="3404"/>
      <c r="RPG3" s="3404"/>
      <c r="RPH3" s="3404"/>
      <c r="RPI3" s="3404"/>
      <c r="RPJ3" s="3404"/>
      <c r="RPK3" s="3404"/>
      <c r="RPL3" s="3404"/>
      <c r="RPM3" s="3404"/>
      <c r="RPN3" s="3404"/>
      <c r="RPO3" s="3404"/>
      <c r="RPP3" s="3404"/>
      <c r="RPQ3" s="3404"/>
      <c r="RPR3" s="3404"/>
      <c r="RPS3" s="3404"/>
      <c r="RPT3" s="3404"/>
      <c r="RPU3" s="3404"/>
      <c r="RPV3" s="3404"/>
      <c r="RPW3" s="3404"/>
      <c r="RPX3" s="3404"/>
      <c r="RPY3" s="3404"/>
      <c r="RPZ3" s="3404"/>
      <c r="RQA3" s="3404"/>
      <c r="RQB3" s="3404"/>
      <c r="RQC3" s="3404"/>
      <c r="RQD3" s="3404"/>
      <c r="RQE3" s="3404"/>
      <c r="RQF3" s="3404"/>
      <c r="RQG3" s="3404"/>
      <c r="RQH3" s="3404"/>
      <c r="RQI3" s="3404"/>
      <c r="RQJ3" s="3404"/>
      <c r="RQK3" s="3404"/>
      <c r="RQL3" s="3404"/>
      <c r="RQM3" s="3404"/>
      <c r="RQN3" s="3404"/>
      <c r="RQO3" s="3404"/>
      <c r="RQP3" s="3404"/>
      <c r="RQQ3" s="3404"/>
      <c r="RQR3" s="3404"/>
      <c r="RQS3" s="3404"/>
      <c r="RQT3" s="3404"/>
      <c r="RQU3" s="3404"/>
      <c r="RQV3" s="3404"/>
      <c r="RQW3" s="3404"/>
      <c r="RQX3" s="3404"/>
      <c r="RQY3" s="3404"/>
      <c r="RQZ3" s="3404"/>
      <c r="RRA3" s="3404"/>
      <c r="RRB3" s="3404"/>
      <c r="RRC3" s="3404"/>
      <c r="RRD3" s="3404"/>
      <c r="RRE3" s="3404"/>
      <c r="RRF3" s="3404"/>
      <c r="RRG3" s="3404"/>
      <c r="RRH3" s="3404"/>
      <c r="RRI3" s="3404"/>
      <c r="RRJ3" s="3404"/>
      <c r="RRK3" s="3404"/>
      <c r="RRL3" s="3404"/>
      <c r="RRM3" s="3404"/>
      <c r="RRN3" s="3404"/>
      <c r="RRO3" s="3404"/>
      <c r="RRP3" s="3404"/>
      <c r="RRQ3" s="3404"/>
      <c r="RRR3" s="3404"/>
      <c r="RRS3" s="3404"/>
      <c r="RRT3" s="3404"/>
      <c r="RRU3" s="3404"/>
      <c r="RRV3" s="3404"/>
      <c r="RRW3" s="3404"/>
      <c r="RRX3" s="3404"/>
      <c r="RRY3" s="3404"/>
      <c r="RRZ3" s="3404"/>
      <c r="RSA3" s="3404"/>
      <c r="RSB3" s="3404"/>
      <c r="RSC3" s="3404"/>
      <c r="RSD3" s="3404"/>
      <c r="RSE3" s="3404"/>
      <c r="RSF3" s="3404"/>
      <c r="RSG3" s="3404"/>
      <c r="RSH3" s="3404"/>
      <c r="RSI3" s="3404"/>
      <c r="RSJ3" s="3404"/>
      <c r="RSK3" s="3404"/>
      <c r="RSL3" s="3404"/>
      <c r="RSM3" s="3404"/>
      <c r="RSN3" s="3404"/>
      <c r="RSO3" s="3404"/>
      <c r="RSP3" s="3404"/>
      <c r="RSQ3" s="3404"/>
      <c r="RSR3" s="3404"/>
      <c r="RSS3" s="3404"/>
      <c r="RST3" s="3404"/>
      <c r="RSU3" s="3404"/>
      <c r="RSV3" s="3404"/>
      <c r="RSW3" s="3404"/>
      <c r="RSX3" s="3404"/>
      <c r="RSY3" s="3404"/>
      <c r="RSZ3" s="3404"/>
      <c r="RTA3" s="3404"/>
      <c r="RTB3" s="3404"/>
      <c r="RTC3" s="3404"/>
      <c r="RTD3" s="3404"/>
      <c r="RTE3" s="3404"/>
      <c r="RTF3" s="3404"/>
      <c r="RTG3" s="3404"/>
      <c r="RTH3" s="3404"/>
      <c r="RTI3" s="3404"/>
      <c r="RTJ3" s="3404"/>
      <c r="RTK3" s="3404"/>
      <c r="RTL3" s="3404"/>
      <c r="RTM3" s="3404"/>
      <c r="RTN3" s="3404"/>
      <c r="RTO3" s="3404"/>
      <c r="RTP3" s="3404"/>
      <c r="RTQ3" s="3404"/>
      <c r="RTR3" s="3404"/>
      <c r="RTS3" s="3404"/>
      <c r="RTT3" s="3404"/>
      <c r="RTU3" s="3404"/>
      <c r="RTV3" s="3404"/>
      <c r="RTW3" s="3404"/>
      <c r="RTX3" s="3404"/>
      <c r="RTY3" s="3404"/>
      <c r="RTZ3" s="3404"/>
      <c r="RUA3" s="3404"/>
      <c r="RUB3" s="3404"/>
      <c r="RUC3" s="3404"/>
      <c r="RUD3" s="3404"/>
      <c r="RUE3" s="3404"/>
      <c r="RUF3" s="3404"/>
      <c r="RUG3" s="3404"/>
      <c r="RUH3" s="3404"/>
      <c r="RUI3" s="3404"/>
      <c r="RUJ3" s="3404"/>
      <c r="RUK3" s="3404"/>
      <c r="RUL3" s="3404"/>
      <c r="RUM3" s="3404"/>
      <c r="RUN3" s="3404"/>
      <c r="RUO3" s="3404"/>
      <c r="RUP3" s="3404"/>
      <c r="RUQ3" s="3404"/>
      <c r="RUR3" s="3404"/>
      <c r="RUS3" s="3404"/>
      <c r="RUT3" s="3404"/>
      <c r="RUU3" s="3404"/>
      <c r="RUV3" s="3404"/>
      <c r="RUW3" s="3404"/>
      <c r="RUX3" s="3404"/>
      <c r="RUY3" s="3404"/>
      <c r="RUZ3" s="3404"/>
      <c r="RVA3" s="3404"/>
      <c r="RVB3" s="3404"/>
      <c r="RVC3" s="3404"/>
      <c r="RVD3" s="3404"/>
      <c r="RVE3" s="3404"/>
      <c r="RVF3" s="3404"/>
      <c r="RVG3" s="3404"/>
      <c r="RVH3" s="3404"/>
      <c r="RVI3" s="3404"/>
      <c r="RVJ3" s="3404"/>
      <c r="RVK3" s="3404"/>
      <c r="RVL3" s="3404"/>
      <c r="RVM3" s="3404"/>
      <c r="RVN3" s="3404"/>
      <c r="RVO3" s="3404"/>
      <c r="RVP3" s="3404"/>
      <c r="RVQ3" s="3404"/>
      <c r="RVR3" s="3404"/>
      <c r="RVS3" s="3404"/>
      <c r="RVT3" s="3404"/>
      <c r="RVU3" s="3404"/>
      <c r="RVV3" s="3404"/>
      <c r="RVW3" s="3404"/>
      <c r="RVX3" s="3404"/>
      <c r="RVY3" s="3404"/>
      <c r="RVZ3" s="3404"/>
      <c r="RWA3" s="3404"/>
      <c r="RWB3" s="3404"/>
      <c r="RWC3" s="3404"/>
      <c r="RWD3" s="3404"/>
      <c r="RWE3" s="3404"/>
      <c r="RWF3" s="3404"/>
      <c r="RWG3" s="3404"/>
      <c r="RWH3" s="3404"/>
      <c r="RWI3" s="3404"/>
      <c r="RWJ3" s="3404"/>
      <c r="RWK3" s="3404"/>
      <c r="RWL3" s="3404"/>
      <c r="RWM3" s="3404"/>
      <c r="RWN3" s="3404"/>
      <c r="RWO3" s="3404"/>
      <c r="RWP3" s="3404"/>
      <c r="RWQ3" s="3404"/>
      <c r="RWR3" s="3404"/>
      <c r="RWS3" s="3404"/>
      <c r="RWT3" s="3404"/>
      <c r="RWU3" s="3404"/>
      <c r="RWV3" s="3404"/>
      <c r="RWW3" s="3404"/>
      <c r="RWX3" s="3404"/>
      <c r="RWY3" s="3404"/>
      <c r="RWZ3" s="3404"/>
      <c r="RXA3" s="3404"/>
      <c r="RXB3" s="3404"/>
      <c r="RXC3" s="3404"/>
      <c r="RXD3" s="3404"/>
      <c r="RXE3" s="3404"/>
      <c r="RXF3" s="3404"/>
      <c r="RXG3" s="3404"/>
      <c r="RXH3" s="3404"/>
      <c r="RXI3" s="3404"/>
      <c r="RXJ3" s="3404"/>
      <c r="RXK3" s="3404"/>
      <c r="RXL3" s="3404"/>
      <c r="RXM3" s="3404"/>
      <c r="RXN3" s="3404"/>
      <c r="RXO3" s="3404"/>
      <c r="RXP3" s="3404"/>
      <c r="RXQ3" s="3404"/>
      <c r="RXR3" s="3404"/>
      <c r="RXS3" s="3404"/>
      <c r="RXT3" s="3404"/>
      <c r="RXU3" s="3404"/>
      <c r="RXV3" s="3404"/>
      <c r="RXW3" s="3404"/>
      <c r="RXX3" s="3404"/>
      <c r="RXY3" s="3404"/>
      <c r="RXZ3" s="3404"/>
      <c r="RYA3" s="3404"/>
      <c r="RYB3" s="3404"/>
      <c r="RYC3" s="3404"/>
      <c r="RYD3" s="3404"/>
      <c r="RYE3" s="3404"/>
      <c r="RYF3" s="3404"/>
      <c r="RYG3" s="3404"/>
      <c r="RYH3" s="3404"/>
      <c r="RYI3" s="3404"/>
      <c r="RYJ3" s="3404"/>
      <c r="RYK3" s="3404"/>
      <c r="RYL3" s="3404"/>
      <c r="RYM3" s="3404"/>
      <c r="RYN3" s="3404"/>
      <c r="RYO3" s="3404"/>
      <c r="RYP3" s="3404"/>
      <c r="RYQ3" s="3404"/>
      <c r="RYR3" s="3404"/>
      <c r="RYS3" s="3404"/>
      <c r="RYT3" s="3404"/>
      <c r="RYU3" s="3404"/>
      <c r="RYV3" s="3404"/>
      <c r="RYW3" s="3404"/>
      <c r="RYX3" s="3404"/>
      <c r="RYY3" s="3404"/>
      <c r="RYZ3" s="3404"/>
      <c r="RZA3" s="3404"/>
      <c r="RZB3" s="3404"/>
      <c r="RZC3" s="3404"/>
      <c r="RZD3" s="3404"/>
      <c r="RZE3" s="3404"/>
      <c r="RZF3" s="3404"/>
      <c r="RZG3" s="3404"/>
      <c r="RZH3" s="3404"/>
      <c r="RZI3" s="3404"/>
      <c r="RZJ3" s="3404"/>
      <c r="RZK3" s="3404"/>
      <c r="RZL3" s="3404"/>
      <c r="RZM3" s="3404"/>
      <c r="RZN3" s="3404"/>
      <c r="RZO3" s="3404"/>
      <c r="RZP3" s="3404"/>
      <c r="RZQ3" s="3404"/>
      <c r="RZR3" s="3404"/>
      <c r="RZS3" s="3404"/>
      <c r="RZT3" s="3404"/>
      <c r="RZU3" s="3404"/>
      <c r="RZV3" s="3404"/>
      <c r="RZW3" s="3404"/>
      <c r="RZX3" s="3404"/>
      <c r="RZY3" s="3404"/>
      <c r="RZZ3" s="3404"/>
      <c r="SAA3" s="3404"/>
      <c r="SAB3" s="3404"/>
      <c r="SAC3" s="3404"/>
      <c r="SAD3" s="3404"/>
      <c r="SAE3" s="3404"/>
      <c r="SAF3" s="3404"/>
      <c r="SAG3" s="3404"/>
      <c r="SAH3" s="3404"/>
      <c r="SAI3" s="3404"/>
      <c r="SAJ3" s="3404"/>
      <c r="SAK3" s="3404"/>
      <c r="SAL3" s="3404"/>
      <c r="SAM3" s="3404"/>
      <c r="SAN3" s="3404"/>
      <c r="SAO3" s="3404"/>
      <c r="SAP3" s="3404"/>
      <c r="SAQ3" s="3404"/>
      <c r="SAR3" s="3404"/>
      <c r="SAS3" s="3404"/>
      <c r="SAT3" s="3404"/>
      <c r="SAU3" s="3404"/>
      <c r="SAV3" s="3404"/>
      <c r="SAW3" s="3404"/>
      <c r="SAX3" s="3404"/>
      <c r="SAY3" s="3404"/>
      <c r="SAZ3" s="3404"/>
      <c r="SBA3" s="3404"/>
      <c r="SBB3" s="3404"/>
      <c r="SBC3" s="3404"/>
      <c r="SBD3" s="3404"/>
      <c r="SBE3" s="3404"/>
      <c r="SBF3" s="3404"/>
      <c r="SBG3" s="3404"/>
      <c r="SBH3" s="3404"/>
      <c r="SBI3" s="3404"/>
      <c r="SBJ3" s="3404"/>
      <c r="SBK3" s="3404"/>
      <c r="SBL3" s="3404"/>
      <c r="SBM3" s="3404"/>
      <c r="SBN3" s="3404"/>
      <c r="SBO3" s="3404"/>
      <c r="SBP3" s="3404"/>
      <c r="SBQ3" s="3404"/>
      <c r="SBR3" s="3404"/>
      <c r="SBS3" s="3404"/>
      <c r="SBT3" s="3404"/>
      <c r="SBU3" s="3404"/>
      <c r="SBV3" s="3404"/>
      <c r="SBW3" s="3404"/>
      <c r="SBX3" s="3404"/>
      <c r="SBY3" s="3404"/>
      <c r="SBZ3" s="3404"/>
      <c r="SCA3" s="3404"/>
      <c r="SCB3" s="3404"/>
      <c r="SCC3" s="3404"/>
      <c r="SCD3" s="3404"/>
      <c r="SCE3" s="3404"/>
      <c r="SCF3" s="3404"/>
      <c r="SCG3" s="3404"/>
      <c r="SCH3" s="3404"/>
      <c r="SCI3" s="3404"/>
      <c r="SCJ3" s="3404"/>
      <c r="SCK3" s="3404"/>
      <c r="SCL3" s="3404"/>
      <c r="SCM3" s="3404"/>
      <c r="SCN3" s="3404"/>
      <c r="SCO3" s="3404"/>
      <c r="SCP3" s="3404"/>
      <c r="SCQ3" s="3404"/>
      <c r="SCR3" s="3404"/>
      <c r="SCS3" s="3404"/>
      <c r="SCT3" s="3404"/>
      <c r="SCU3" s="3404"/>
      <c r="SCV3" s="3404"/>
      <c r="SCW3" s="3404"/>
      <c r="SCX3" s="3404"/>
      <c r="SCY3" s="3404"/>
      <c r="SCZ3" s="3404"/>
      <c r="SDA3" s="3404"/>
      <c r="SDB3" s="3404"/>
      <c r="SDC3" s="3404"/>
      <c r="SDD3" s="3404"/>
      <c r="SDE3" s="3404"/>
      <c r="SDF3" s="3404"/>
      <c r="SDG3" s="3404"/>
      <c r="SDH3" s="3404"/>
      <c r="SDI3" s="3404"/>
      <c r="SDJ3" s="3404"/>
      <c r="SDK3" s="3404"/>
      <c r="SDL3" s="3404"/>
      <c r="SDM3" s="3404"/>
      <c r="SDN3" s="3404"/>
      <c r="SDO3" s="3404"/>
      <c r="SDP3" s="3404"/>
      <c r="SDQ3" s="3404"/>
      <c r="SDR3" s="3404"/>
      <c r="SDS3" s="3404"/>
      <c r="SDT3" s="3404"/>
      <c r="SDU3" s="3404"/>
      <c r="SDV3" s="3404"/>
      <c r="SDW3" s="3404"/>
      <c r="SDX3" s="3404"/>
      <c r="SDY3" s="3404"/>
      <c r="SDZ3" s="3404"/>
      <c r="SEA3" s="3404"/>
      <c r="SEB3" s="3404"/>
      <c r="SEC3" s="3404"/>
      <c r="SED3" s="3404"/>
      <c r="SEE3" s="3404"/>
      <c r="SEF3" s="3404"/>
      <c r="SEG3" s="3404"/>
      <c r="SEH3" s="3404"/>
      <c r="SEI3" s="3404"/>
      <c r="SEJ3" s="3404"/>
      <c r="SEK3" s="3404"/>
      <c r="SEL3" s="3404"/>
      <c r="SEM3" s="3404"/>
      <c r="SEN3" s="3404"/>
      <c r="SEO3" s="3404"/>
      <c r="SEP3" s="3404"/>
      <c r="SEQ3" s="3404"/>
      <c r="SER3" s="3404"/>
      <c r="SES3" s="3404"/>
      <c r="SET3" s="3404"/>
      <c r="SEU3" s="3404"/>
      <c r="SEV3" s="3404"/>
      <c r="SEW3" s="3404"/>
      <c r="SEX3" s="3404"/>
      <c r="SEY3" s="3404"/>
      <c r="SEZ3" s="3404"/>
      <c r="SFA3" s="3404"/>
      <c r="SFB3" s="3404"/>
      <c r="SFC3" s="3404"/>
      <c r="SFD3" s="3404"/>
      <c r="SFE3" s="3404"/>
      <c r="SFF3" s="3404"/>
      <c r="SFG3" s="3404"/>
      <c r="SFH3" s="3404"/>
      <c r="SFI3" s="3404"/>
      <c r="SFJ3" s="3404"/>
      <c r="SFK3" s="3404"/>
      <c r="SFL3" s="3404"/>
      <c r="SFM3" s="3404"/>
      <c r="SFN3" s="3404"/>
      <c r="SFO3" s="3404"/>
      <c r="SFP3" s="3404"/>
      <c r="SFQ3" s="3404"/>
      <c r="SFR3" s="3404"/>
      <c r="SFS3" s="3404"/>
      <c r="SFT3" s="3404"/>
      <c r="SFU3" s="3404"/>
      <c r="SFV3" s="3404"/>
      <c r="SFW3" s="3404"/>
      <c r="SFX3" s="3404"/>
      <c r="SFY3" s="3404"/>
      <c r="SFZ3" s="3404"/>
      <c r="SGA3" s="3404"/>
      <c r="SGB3" s="3404"/>
      <c r="SGC3" s="3404"/>
      <c r="SGD3" s="3404"/>
      <c r="SGE3" s="3404"/>
      <c r="SGF3" s="3404"/>
      <c r="SGG3" s="3404"/>
      <c r="SGH3" s="3404"/>
      <c r="SGI3" s="3404"/>
      <c r="SGJ3" s="3404"/>
      <c r="SGK3" s="3404"/>
      <c r="SGL3" s="3404"/>
      <c r="SGM3" s="3404"/>
      <c r="SGN3" s="3404"/>
      <c r="SGO3" s="3404"/>
      <c r="SGP3" s="3404"/>
      <c r="SGQ3" s="3404"/>
      <c r="SGR3" s="3404"/>
      <c r="SGS3" s="3404"/>
      <c r="SGT3" s="3404"/>
      <c r="SGU3" s="3404"/>
      <c r="SGV3" s="3404"/>
      <c r="SGW3" s="3404"/>
      <c r="SGX3" s="3404"/>
      <c r="SGY3" s="3404"/>
      <c r="SGZ3" s="3404"/>
      <c r="SHA3" s="3404"/>
      <c r="SHB3" s="3404"/>
      <c r="SHC3" s="3404"/>
      <c r="SHD3" s="3404"/>
      <c r="SHE3" s="3404"/>
      <c r="SHF3" s="3404"/>
      <c r="SHG3" s="3404"/>
      <c r="SHH3" s="3404"/>
      <c r="SHI3" s="3404"/>
      <c r="SHJ3" s="3404"/>
      <c r="SHK3" s="3404"/>
      <c r="SHL3" s="3404"/>
      <c r="SHM3" s="3404"/>
      <c r="SHN3" s="3404"/>
      <c r="SHO3" s="3404"/>
      <c r="SHP3" s="3404"/>
      <c r="SHQ3" s="3404"/>
      <c r="SHR3" s="3404"/>
      <c r="SHS3" s="3404"/>
      <c r="SHT3" s="3404"/>
      <c r="SHU3" s="3404"/>
      <c r="SHV3" s="3404"/>
      <c r="SHW3" s="3404"/>
      <c r="SHX3" s="3404"/>
      <c r="SHY3" s="3404"/>
      <c r="SHZ3" s="3404"/>
      <c r="SIA3" s="3404"/>
      <c r="SIB3" s="3404"/>
      <c r="SIC3" s="3404"/>
      <c r="SID3" s="3404"/>
      <c r="SIE3" s="3404"/>
      <c r="SIF3" s="3404"/>
      <c r="SIG3" s="3404"/>
      <c r="SIH3" s="3404"/>
      <c r="SII3" s="3404"/>
      <c r="SIJ3" s="3404"/>
      <c r="SIK3" s="3404"/>
      <c r="SIL3" s="3404"/>
      <c r="SIM3" s="3404"/>
      <c r="SIN3" s="3404"/>
      <c r="SIO3" s="3404"/>
      <c r="SIP3" s="3404"/>
      <c r="SIQ3" s="3404"/>
      <c r="SIR3" s="3404"/>
      <c r="SIS3" s="3404"/>
      <c r="SIT3" s="3404"/>
      <c r="SIU3" s="3404"/>
      <c r="SIV3" s="3404"/>
      <c r="SIW3" s="3404"/>
      <c r="SIX3" s="3404"/>
      <c r="SIY3" s="3404"/>
      <c r="SIZ3" s="3404"/>
      <c r="SJA3" s="3404"/>
      <c r="SJB3" s="3404"/>
      <c r="SJC3" s="3404"/>
      <c r="SJD3" s="3404"/>
      <c r="SJE3" s="3404"/>
      <c r="SJF3" s="3404"/>
      <c r="SJG3" s="3404"/>
      <c r="SJH3" s="3404"/>
      <c r="SJI3" s="3404"/>
      <c r="SJJ3" s="3404"/>
      <c r="SJK3" s="3404"/>
      <c r="SJL3" s="3404"/>
      <c r="SJM3" s="3404"/>
      <c r="SJN3" s="3404"/>
      <c r="SJO3" s="3404"/>
      <c r="SJP3" s="3404"/>
      <c r="SJQ3" s="3404"/>
      <c r="SJR3" s="3404"/>
      <c r="SJS3" s="3404"/>
      <c r="SJT3" s="3404"/>
      <c r="SJU3" s="3404"/>
      <c r="SJV3" s="3404"/>
      <c r="SJW3" s="3404"/>
      <c r="SJX3" s="3404"/>
      <c r="SJY3" s="3404"/>
      <c r="SJZ3" s="3404"/>
      <c r="SKA3" s="3404"/>
      <c r="SKB3" s="3404"/>
      <c r="SKC3" s="3404"/>
      <c r="SKD3" s="3404"/>
      <c r="SKE3" s="3404"/>
      <c r="SKF3" s="3404"/>
      <c r="SKG3" s="3404"/>
      <c r="SKH3" s="3404"/>
      <c r="SKI3" s="3404"/>
      <c r="SKJ3" s="3404"/>
      <c r="SKK3" s="3404"/>
      <c r="SKL3" s="3404"/>
      <c r="SKM3" s="3404"/>
      <c r="SKN3" s="3404"/>
      <c r="SKO3" s="3404"/>
      <c r="SKP3" s="3404"/>
      <c r="SKQ3" s="3404"/>
      <c r="SKR3" s="3404"/>
      <c r="SKS3" s="3404"/>
      <c r="SKT3" s="3404"/>
      <c r="SKU3" s="3404"/>
      <c r="SKV3" s="3404"/>
      <c r="SKW3" s="3404"/>
      <c r="SKX3" s="3404"/>
      <c r="SKY3" s="3404"/>
      <c r="SKZ3" s="3404"/>
      <c r="SLA3" s="3404"/>
      <c r="SLB3" s="3404"/>
      <c r="SLC3" s="3404"/>
      <c r="SLD3" s="3404"/>
      <c r="SLE3" s="3404"/>
      <c r="SLF3" s="3404"/>
      <c r="SLG3" s="3404"/>
      <c r="SLH3" s="3404"/>
      <c r="SLI3" s="3404"/>
      <c r="SLJ3" s="3404"/>
      <c r="SLK3" s="3404"/>
      <c r="SLL3" s="3404"/>
      <c r="SLM3" s="3404"/>
      <c r="SLN3" s="3404"/>
      <c r="SLO3" s="3404"/>
      <c r="SLP3" s="3404"/>
      <c r="SLQ3" s="3404"/>
      <c r="SLR3" s="3404"/>
      <c r="SLS3" s="3404"/>
      <c r="SLT3" s="3404"/>
      <c r="SLU3" s="3404"/>
      <c r="SLV3" s="3404"/>
      <c r="SLW3" s="3404"/>
      <c r="SLX3" s="3404"/>
      <c r="SLY3" s="3404"/>
      <c r="SLZ3" s="3404"/>
      <c r="SMA3" s="3404"/>
      <c r="SMB3" s="3404"/>
      <c r="SMC3" s="3404"/>
      <c r="SMD3" s="3404"/>
      <c r="SME3" s="3404"/>
      <c r="SMF3" s="3404"/>
      <c r="SMG3" s="3404"/>
      <c r="SMH3" s="3404"/>
      <c r="SMI3" s="3404"/>
      <c r="SMJ3" s="3404"/>
      <c r="SMK3" s="3404"/>
      <c r="SML3" s="3404"/>
      <c r="SMM3" s="3404"/>
      <c r="SMN3" s="3404"/>
      <c r="SMO3" s="3404"/>
      <c r="SMP3" s="3404"/>
      <c r="SMQ3" s="3404"/>
      <c r="SMR3" s="3404"/>
      <c r="SMS3" s="3404"/>
      <c r="SMT3" s="3404"/>
      <c r="SMU3" s="3404"/>
      <c r="SMV3" s="3404"/>
      <c r="SMW3" s="3404"/>
      <c r="SMX3" s="3404"/>
      <c r="SMY3" s="3404"/>
      <c r="SMZ3" s="3404"/>
      <c r="SNA3" s="3404"/>
      <c r="SNB3" s="3404"/>
      <c r="SNC3" s="3404"/>
      <c r="SND3" s="3404"/>
      <c r="SNE3" s="3404"/>
      <c r="SNF3" s="3404"/>
      <c r="SNG3" s="3404"/>
      <c r="SNH3" s="3404"/>
      <c r="SNI3" s="3404"/>
      <c r="SNJ3" s="3404"/>
      <c r="SNK3" s="3404"/>
      <c r="SNL3" s="3404"/>
      <c r="SNM3" s="3404"/>
      <c r="SNN3" s="3404"/>
      <c r="SNO3" s="3404"/>
      <c r="SNP3" s="3404"/>
      <c r="SNQ3" s="3404"/>
      <c r="SNR3" s="3404"/>
      <c r="SNS3" s="3404"/>
      <c r="SNT3" s="3404"/>
      <c r="SNU3" s="3404"/>
      <c r="SNV3" s="3404"/>
      <c r="SNW3" s="3404"/>
      <c r="SNX3" s="3404"/>
      <c r="SNY3" s="3404"/>
      <c r="SNZ3" s="3404"/>
      <c r="SOA3" s="3404"/>
      <c r="SOB3" s="3404"/>
      <c r="SOC3" s="3404"/>
      <c r="SOD3" s="3404"/>
      <c r="SOE3" s="3404"/>
      <c r="SOF3" s="3404"/>
      <c r="SOG3" s="3404"/>
      <c r="SOH3" s="3404"/>
      <c r="SOI3" s="3404"/>
      <c r="SOJ3" s="3404"/>
      <c r="SOK3" s="3404"/>
      <c r="SOL3" s="3404"/>
      <c r="SOM3" s="3404"/>
      <c r="SON3" s="3404"/>
      <c r="SOO3" s="3404"/>
      <c r="SOP3" s="3404"/>
      <c r="SOQ3" s="3404"/>
      <c r="SOR3" s="3404"/>
      <c r="SOS3" s="3404"/>
      <c r="SOT3" s="3404"/>
      <c r="SOU3" s="3404"/>
      <c r="SOV3" s="3404"/>
      <c r="SOW3" s="3404"/>
      <c r="SOX3" s="3404"/>
      <c r="SOY3" s="3404"/>
      <c r="SOZ3" s="3404"/>
      <c r="SPA3" s="3404"/>
      <c r="SPB3" s="3404"/>
      <c r="SPC3" s="3404"/>
      <c r="SPD3" s="3404"/>
      <c r="SPE3" s="3404"/>
      <c r="SPF3" s="3404"/>
      <c r="SPG3" s="3404"/>
      <c r="SPH3" s="3404"/>
      <c r="SPI3" s="3404"/>
      <c r="SPJ3" s="3404"/>
      <c r="SPK3" s="3404"/>
      <c r="SPL3" s="3404"/>
      <c r="SPM3" s="3404"/>
      <c r="SPN3" s="3404"/>
      <c r="SPO3" s="3404"/>
      <c r="SPP3" s="3404"/>
      <c r="SPQ3" s="3404"/>
      <c r="SPR3" s="3404"/>
      <c r="SPS3" s="3404"/>
      <c r="SPT3" s="3404"/>
      <c r="SPU3" s="3404"/>
      <c r="SPV3" s="3404"/>
      <c r="SPW3" s="3404"/>
      <c r="SPX3" s="3404"/>
      <c r="SPY3" s="3404"/>
      <c r="SPZ3" s="3404"/>
      <c r="SQA3" s="3404"/>
      <c r="SQB3" s="3404"/>
      <c r="SQC3" s="3404"/>
      <c r="SQD3" s="3404"/>
      <c r="SQE3" s="3404"/>
      <c r="SQF3" s="3404"/>
      <c r="SQG3" s="3404"/>
      <c r="SQH3" s="3404"/>
      <c r="SQI3" s="3404"/>
      <c r="SQJ3" s="3404"/>
      <c r="SQK3" s="3404"/>
      <c r="SQL3" s="3404"/>
      <c r="SQM3" s="3404"/>
      <c r="SQN3" s="3404"/>
      <c r="SQO3" s="3404"/>
      <c r="SQP3" s="3404"/>
      <c r="SQQ3" s="3404"/>
      <c r="SQR3" s="3404"/>
      <c r="SQS3" s="3404"/>
      <c r="SQT3" s="3404"/>
      <c r="SQU3" s="3404"/>
      <c r="SQV3" s="3404"/>
      <c r="SQW3" s="3404"/>
      <c r="SQX3" s="3404"/>
      <c r="SQY3" s="3404"/>
      <c r="SQZ3" s="3404"/>
      <c r="SRA3" s="3404"/>
      <c r="SRB3" s="3404"/>
      <c r="SRC3" s="3404"/>
      <c r="SRD3" s="3404"/>
      <c r="SRE3" s="3404"/>
      <c r="SRF3" s="3404"/>
      <c r="SRG3" s="3404"/>
      <c r="SRH3" s="3404"/>
      <c r="SRI3" s="3404"/>
      <c r="SRJ3" s="3404"/>
      <c r="SRK3" s="3404"/>
      <c r="SRL3" s="3404"/>
      <c r="SRM3" s="3404"/>
      <c r="SRN3" s="3404"/>
      <c r="SRO3" s="3404"/>
      <c r="SRP3" s="3404"/>
      <c r="SRQ3" s="3404"/>
      <c r="SRR3" s="3404"/>
      <c r="SRS3" s="3404"/>
      <c r="SRT3" s="3404"/>
      <c r="SRU3" s="3404"/>
      <c r="SRV3" s="3404"/>
      <c r="SRW3" s="3404"/>
      <c r="SRX3" s="3404"/>
      <c r="SRY3" s="3404"/>
      <c r="SRZ3" s="3404"/>
      <c r="SSA3" s="3404"/>
      <c r="SSB3" s="3404"/>
      <c r="SSC3" s="3404"/>
      <c r="SSD3" s="3404"/>
      <c r="SSE3" s="3404"/>
      <c r="SSF3" s="3404"/>
      <c r="SSG3" s="3404"/>
      <c r="SSH3" s="3404"/>
      <c r="SSI3" s="3404"/>
      <c r="SSJ3" s="3404"/>
      <c r="SSK3" s="3404"/>
      <c r="SSL3" s="3404"/>
      <c r="SSM3" s="3404"/>
      <c r="SSN3" s="3404"/>
      <c r="SSO3" s="3404"/>
      <c r="SSP3" s="3404"/>
      <c r="SSQ3" s="3404"/>
      <c r="SSR3" s="3404"/>
      <c r="SSS3" s="3404"/>
      <c r="SST3" s="3404"/>
      <c r="SSU3" s="3404"/>
      <c r="SSV3" s="3404"/>
      <c r="SSW3" s="3404"/>
      <c r="SSX3" s="3404"/>
      <c r="SSY3" s="3404"/>
      <c r="SSZ3" s="3404"/>
      <c r="STA3" s="3404"/>
      <c r="STB3" s="3404"/>
      <c r="STC3" s="3404"/>
      <c r="STD3" s="3404"/>
      <c r="STE3" s="3404"/>
      <c r="STF3" s="3404"/>
      <c r="STG3" s="3404"/>
      <c r="STH3" s="3404"/>
      <c r="STI3" s="3404"/>
      <c r="STJ3" s="3404"/>
      <c r="STK3" s="3404"/>
      <c r="STL3" s="3404"/>
      <c r="STM3" s="3404"/>
      <c r="STN3" s="3404"/>
      <c r="STO3" s="3404"/>
      <c r="STP3" s="3404"/>
      <c r="STQ3" s="3404"/>
      <c r="STR3" s="3404"/>
      <c r="STS3" s="3404"/>
      <c r="STT3" s="3404"/>
      <c r="STU3" s="3404"/>
      <c r="STV3" s="3404"/>
      <c r="STW3" s="3404"/>
      <c r="STX3" s="3404"/>
      <c r="STY3" s="3404"/>
      <c r="STZ3" s="3404"/>
      <c r="SUA3" s="3404"/>
      <c r="SUB3" s="3404"/>
      <c r="SUC3" s="3404"/>
      <c r="SUD3" s="3404"/>
      <c r="SUE3" s="3404"/>
      <c r="SUF3" s="3404"/>
      <c r="SUG3" s="3404"/>
      <c r="SUH3" s="3404"/>
      <c r="SUI3" s="3404"/>
      <c r="SUJ3" s="3404"/>
      <c r="SUK3" s="3404"/>
      <c r="SUL3" s="3404"/>
      <c r="SUM3" s="3404"/>
      <c r="SUN3" s="3404"/>
      <c r="SUO3" s="3404"/>
      <c r="SUP3" s="3404"/>
      <c r="SUQ3" s="3404"/>
      <c r="SUR3" s="3404"/>
      <c r="SUS3" s="3404"/>
      <c r="SUT3" s="3404"/>
      <c r="SUU3" s="3404"/>
      <c r="SUV3" s="3404"/>
      <c r="SUW3" s="3404"/>
      <c r="SUX3" s="3404"/>
      <c r="SUY3" s="3404"/>
      <c r="SUZ3" s="3404"/>
      <c r="SVA3" s="3404"/>
      <c r="SVB3" s="3404"/>
      <c r="SVC3" s="3404"/>
      <c r="SVD3" s="3404"/>
      <c r="SVE3" s="3404"/>
      <c r="SVF3" s="3404"/>
      <c r="SVG3" s="3404"/>
      <c r="SVH3" s="3404"/>
      <c r="SVI3" s="3404"/>
      <c r="SVJ3" s="3404"/>
      <c r="SVK3" s="3404"/>
      <c r="SVL3" s="3404"/>
      <c r="SVM3" s="3404"/>
      <c r="SVN3" s="3404"/>
      <c r="SVO3" s="3404"/>
      <c r="SVP3" s="3404"/>
      <c r="SVQ3" s="3404"/>
      <c r="SVR3" s="3404"/>
      <c r="SVS3" s="3404"/>
      <c r="SVT3" s="3404"/>
      <c r="SVU3" s="3404"/>
      <c r="SVV3" s="3404"/>
      <c r="SVW3" s="3404"/>
      <c r="SVX3" s="3404"/>
      <c r="SVY3" s="3404"/>
      <c r="SVZ3" s="3404"/>
      <c r="SWA3" s="3404"/>
      <c r="SWB3" s="3404"/>
      <c r="SWC3" s="3404"/>
      <c r="SWD3" s="3404"/>
      <c r="SWE3" s="3404"/>
      <c r="SWF3" s="3404"/>
      <c r="SWG3" s="3404"/>
      <c r="SWH3" s="3404"/>
      <c r="SWI3" s="3404"/>
      <c r="SWJ3" s="3404"/>
      <c r="SWK3" s="3404"/>
      <c r="SWL3" s="3404"/>
      <c r="SWM3" s="3404"/>
      <c r="SWN3" s="3404"/>
      <c r="SWO3" s="3404"/>
      <c r="SWP3" s="3404"/>
      <c r="SWQ3" s="3404"/>
      <c r="SWR3" s="3404"/>
      <c r="SWS3" s="3404"/>
      <c r="SWT3" s="3404"/>
      <c r="SWU3" s="3404"/>
      <c r="SWV3" s="3404"/>
      <c r="SWW3" s="3404"/>
      <c r="SWX3" s="3404"/>
      <c r="SWY3" s="3404"/>
      <c r="SWZ3" s="3404"/>
      <c r="SXA3" s="3404"/>
      <c r="SXB3" s="3404"/>
      <c r="SXC3" s="3404"/>
      <c r="SXD3" s="3404"/>
      <c r="SXE3" s="3404"/>
      <c r="SXF3" s="3404"/>
      <c r="SXG3" s="3404"/>
      <c r="SXH3" s="3404"/>
      <c r="SXI3" s="3404"/>
      <c r="SXJ3" s="3404"/>
      <c r="SXK3" s="3404"/>
      <c r="SXL3" s="3404"/>
      <c r="SXM3" s="3404"/>
      <c r="SXN3" s="3404"/>
      <c r="SXO3" s="3404"/>
      <c r="SXP3" s="3404"/>
      <c r="SXQ3" s="3404"/>
      <c r="SXR3" s="3404"/>
      <c r="SXS3" s="3404"/>
      <c r="SXT3" s="3404"/>
      <c r="SXU3" s="3404"/>
      <c r="SXV3" s="3404"/>
      <c r="SXW3" s="3404"/>
      <c r="SXX3" s="3404"/>
      <c r="SXY3" s="3404"/>
      <c r="SXZ3" s="3404"/>
      <c r="SYA3" s="3404"/>
      <c r="SYB3" s="3404"/>
      <c r="SYC3" s="3404"/>
      <c r="SYD3" s="3404"/>
      <c r="SYE3" s="3404"/>
      <c r="SYF3" s="3404"/>
      <c r="SYG3" s="3404"/>
      <c r="SYH3" s="3404"/>
      <c r="SYI3" s="3404"/>
      <c r="SYJ3" s="3404"/>
      <c r="SYK3" s="3404"/>
      <c r="SYL3" s="3404"/>
      <c r="SYM3" s="3404"/>
      <c r="SYN3" s="3404"/>
      <c r="SYO3" s="3404"/>
      <c r="SYP3" s="3404"/>
      <c r="SYQ3" s="3404"/>
      <c r="SYR3" s="3404"/>
      <c r="SYS3" s="3404"/>
      <c r="SYT3" s="3404"/>
      <c r="SYU3" s="3404"/>
      <c r="SYV3" s="3404"/>
      <c r="SYW3" s="3404"/>
      <c r="SYX3" s="3404"/>
      <c r="SYY3" s="3404"/>
      <c r="SYZ3" s="3404"/>
      <c r="SZA3" s="3404"/>
      <c r="SZB3" s="3404"/>
      <c r="SZC3" s="3404"/>
      <c r="SZD3" s="3404"/>
      <c r="SZE3" s="3404"/>
      <c r="SZF3" s="3404"/>
      <c r="SZG3" s="3404"/>
      <c r="SZH3" s="3404"/>
      <c r="SZI3" s="3404"/>
      <c r="SZJ3" s="3404"/>
      <c r="SZK3" s="3404"/>
      <c r="SZL3" s="3404"/>
      <c r="SZM3" s="3404"/>
      <c r="SZN3" s="3404"/>
      <c r="SZO3" s="3404"/>
      <c r="SZP3" s="3404"/>
      <c r="SZQ3" s="3404"/>
      <c r="SZR3" s="3404"/>
      <c r="SZS3" s="3404"/>
      <c r="SZT3" s="3404"/>
      <c r="SZU3" s="3404"/>
      <c r="SZV3" s="3404"/>
      <c r="SZW3" s="3404"/>
      <c r="SZX3" s="3404"/>
      <c r="SZY3" s="3404"/>
      <c r="SZZ3" s="3404"/>
      <c r="TAA3" s="3404"/>
      <c r="TAB3" s="3404"/>
      <c r="TAC3" s="3404"/>
      <c r="TAD3" s="3404"/>
      <c r="TAE3" s="3404"/>
      <c r="TAF3" s="3404"/>
      <c r="TAG3" s="3404"/>
      <c r="TAH3" s="3404"/>
      <c r="TAI3" s="3404"/>
      <c r="TAJ3" s="3404"/>
      <c r="TAK3" s="3404"/>
      <c r="TAL3" s="3404"/>
      <c r="TAM3" s="3404"/>
      <c r="TAN3" s="3404"/>
      <c r="TAO3" s="3404"/>
      <c r="TAP3" s="3404"/>
      <c r="TAQ3" s="3404"/>
      <c r="TAR3" s="3404"/>
      <c r="TAS3" s="3404"/>
      <c r="TAT3" s="3404"/>
      <c r="TAU3" s="3404"/>
      <c r="TAV3" s="3404"/>
      <c r="TAW3" s="3404"/>
      <c r="TAX3" s="3404"/>
      <c r="TAY3" s="3404"/>
      <c r="TAZ3" s="3404"/>
      <c r="TBA3" s="3404"/>
      <c r="TBB3" s="3404"/>
      <c r="TBC3" s="3404"/>
      <c r="TBD3" s="3404"/>
      <c r="TBE3" s="3404"/>
      <c r="TBF3" s="3404"/>
      <c r="TBG3" s="3404"/>
      <c r="TBH3" s="3404"/>
      <c r="TBI3" s="3404"/>
      <c r="TBJ3" s="3404"/>
      <c r="TBK3" s="3404"/>
      <c r="TBL3" s="3404"/>
      <c r="TBM3" s="3404"/>
      <c r="TBN3" s="3404"/>
      <c r="TBO3" s="3404"/>
      <c r="TBP3" s="3404"/>
      <c r="TBQ3" s="3404"/>
      <c r="TBR3" s="3404"/>
      <c r="TBS3" s="3404"/>
      <c r="TBT3" s="3404"/>
      <c r="TBU3" s="3404"/>
      <c r="TBV3" s="3404"/>
      <c r="TBW3" s="3404"/>
      <c r="TBX3" s="3404"/>
      <c r="TBY3" s="3404"/>
      <c r="TBZ3" s="3404"/>
      <c r="TCA3" s="3404"/>
      <c r="TCB3" s="3404"/>
      <c r="TCC3" s="3404"/>
      <c r="TCD3" s="3404"/>
      <c r="TCE3" s="3404"/>
      <c r="TCF3" s="3404"/>
      <c r="TCG3" s="3404"/>
      <c r="TCH3" s="3404"/>
      <c r="TCI3" s="3404"/>
      <c r="TCJ3" s="3404"/>
      <c r="TCK3" s="3404"/>
      <c r="TCL3" s="3404"/>
      <c r="TCM3" s="3404"/>
      <c r="TCN3" s="3404"/>
      <c r="TCO3" s="3404"/>
      <c r="TCP3" s="3404"/>
      <c r="TCQ3" s="3404"/>
      <c r="TCR3" s="3404"/>
      <c r="TCS3" s="3404"/>
      <c r="TCT3" s="3404"/>
      <c r="TCU3" s="3404"/>
      <c r="TCV3" s="3404"/>
      <c r="TCW3" s="3404"/>
      <c r="TCX3" s="3404"/>
      <c r="TCY3" s="3404"/>
      <c r="TCZ3" s="3404"/>
      <c r="TDA3" s="3404"/>
      <c r="TDB3" s="3404"/>
      <c r="TDC3" s="3404"/>
      <c r="TDD3" s="3404"/>
      <c r="TDE3" s="3404"/>
      <c r="TDF3" s="3404"/>
      <c r="TDG3" s="3404"/>
      <c r="TDH3" s="3404"/>
      <c r="TDI3" s="3404"/>
      <c r="TDJ3" s="3404"/>
      <c r="TDK3" s="3404"/>
      <c r="TDL3" s="3404"/>
      <c r="TDM3" s="3404"/>
      <c r="TDN3" s="3404"/>
      <c r="TDO3" s="3404"/>
      <c r="TDP3" s="3404"/>
      <c r="TDQ3" s="3404"/>
      <c r="TDR3" s="3404"/>
      <c r="TDS3" s="3404"/>
      <c r="TDT3" s="3404"/>
      <c r="TDU3" s="3404"/>
      <c r="TDV3" s="3404"/>
      <c r="TDW3" s="3404"/>
      <c r="TDX3" s="3404"/>
      <c r="TDY3" s="3404"/>
      <c r="TDZ3" s="3404"/>
      <c r="TEA3" s="3404"/>
      <c r="TEB3" s="3404"/>
      <c r="TEC3" s="3404"/>
      <c r="TED3" s="3404"/>
      <c r="TEE3" s="3404"/>
      <c r="TEF3" s="3404"/>
      <c r="TEG3" s="3404"/>
      <c r="TEH3" s="3404"/>
      <c r="TEI3" s="3404"/>
      <c r="TEJ3" s="3404"/>
      <c r="TEK3" s="3404"/>
      <c r="TEL3" s="3404"/>
      <c r="TEM3" s="3404"/>
      <c r="TEN3" s="3404"/>
      <c r="TEO3" s="3404"/>
      <c r="TEP3" s="3404"/>
      <c r="TEQ3" s="3404"/>
      <c r="TER3" s="3404"/>
      <c r="TES3" s="3404"/>
      <c r="TET3" s="3404"/>
      <c r="TEU3" s="3404"/>
      <c r="TEV3" s="3404"/>
      <c r="TEW3" s="3404"/>
      <c r="TEX3" s="3404"/>
      <c r="TEY3" s="3404"/>
      <c r="TEZ3" s="3404"/>
      <c r="TFA3" s="3404"/>
      <c r="TFB3" s="3404"/>
      <c r="TFC3" s="3404"/>
      <c r="TFD3" s="3404"/>
      <c r="TFE3" s="3404"/>
      <c r="TFF3" s="3404"/>
      <c r="TFG3" s="3404"/>
      <c r="TFH3" s="3404"/>
      <c r="TFI3" s="3404"/>
      <c r="TFJ3" s="3404"/>
      <c r="TFK3" s="3404"/>
      <c r="TFL3" s="3404"/>
      <c r="TFM3" s="3404"/>
      <c r="TFN3" s="3404"/>
      <c r="TFO3" s="3404"/>
      <c r="TFP3" s="3404"/>
      <c r="TFQ3" s="3404"/>
      <c r="TFR3" s="3404"/>
      <c r="TFS3" s="3404"/>
      <c r="TFT3" s="3404"/>
      <c r="TFU3" s="3404"/>
      <c r="TFV3" s="3404"/>
      <c r="TFW3" s="3404"/>
      <c r="TFX3" s="3404"/>
      <c r="TFY3" s="3404"/>
      <c r="TFZ3" s="3404"/>
      <c r="TGA3" s="3404"/>
      <c r="TGB3" s="3404"/>
      <c r="TGC3" s="3404"/>
      <c r="TGD3" s="3404"/>
      <c r="TGE3" s="3404"/>
      <c r="TGF3" s="3404"/>
      <c r="TGG3" s="3404"/>
      <c r="TGH3" s="3404"/>
      <c r="TGI3" s="3404"/>
      <c r="TGJ3" s="3404"/>
      <c r="TGK3" s="3404"/>
      <c r="TGL3" s="3404"/>
      <c r="TGM3" s="3404"/>
      <c r="TGN3" s="3404"/>
      <c r="TGO3" s="3404"/>
      <c r="TGP3" s="3404"/>
      <c r="TGQ3" s="3404"/>
      <c r="TGR3" s="3404"/>
      <c r="TGS3" s="3404"/>
      <c r="TGT3" s="3404"/>
      <c r="TGU3" s="3404"/>
      <c r="TGV3" s="3404"/>
      <c r="TGW3" s="3404"/>
      <c r="TGX3" s="3404"/>
      <c r="TGY3" s="3404"/>
      <c r="TGZ3" s="3404"/>
      <c r="THA3" s="3404"/>
      <c r="THB3" s="3404"/>
      <c r="THC3" s="3404"/>
      <c r="THD3" s="3404"/>
      <c r="THE3" s="3404"/>
      <c r="THF3" s="3404"/>
      <c r="THG3" s="3404"/>
      <c r="THH3" s="3404"/>
      <c r="THI3" s="3404"/>
      <c r="THJ3" s="3404"/>
      <c r="THK3" s="3404"/>
      <c r="THL3" s="3404"/>
      <c r="THM3" s="3404"/>
      <c r="THN3" s="3404"/>
      <c r="THO3" s="3404"/>
      <c r="THP3" s="3404"/>
      <c r="THQ3" s="3404"/>
      <c r="THR3" s="3404"/>
      <c r="THS3" s="3404"/>
      <c r="THT3" s="3404"/>
      <c r="THU3" s="3404"/>
      <c r="THV3" s="3404"/>
      <c r="THW3" s="3404"/>
      <c r="THX3" s="3404"/>
      <c r="THY3" s="3404"/>
      <c r="THZ3" s="3404"/>
      <c r="TIA3" s="3404"/>
      <c r="TIB3" s="3404"/>
      <c r="TIC3" s="3404"/>
      <c r="TID3" s="3404"/>
      <c r="TIE3" s="3404"/>
      <c r="TIF3" s="3404"/>
      <c r="TIG3" s="3404"/>
      <c r="TIH3" s="3404"/>
      <c r="TII3" s="3404"/>
      <c r="TIJ3" s="3404"/>
      <c r="TIK3" s="3404"/>
      <c r="TIL3" s="3404"/>
      <c r="TIM3" s="3404"/>
      <c r="TIN3" s="3404"/>
      <c r="TIO3" s="3404"/>
      <c r="TIP3" s="3404"/>
      <c r="TIQ3" s="3404"/>
      <c r="TIR3" s="3404"/>
      <c r="TIS3" s="3404"/>
      <c r="TIT3" s="3404"/>
      <c r="TIU3" s="3404"/>
      <c r="TIV3" s="3404"/>
      <c r="TIW3" s="3404"/>
      <c r="TIX3" s="3404"/>
      <c r="TIY3" s="3404"/>
      <c r="TIZ3" s="3404"/>
      <c r="TJA3" s="3404"/>
      <c r="TJB3" s="3404"/>
      <c r="TJC3" s="3404"/>
      <c r="TJD3" s="3404"/>
      <c r="TJE3" s="3404"/>
      <c r="TJF3" s="3404"/>
      <c r="TJG3" s="3404"/>
      <c r="TJH3" s="3404"/>
      <c r="TJI3" s="3404"/>
      <c r="TJJ3" s="3404"/>
      <c r="TJK3" s="3404"/>
      <c r="TJL3" s="3404"/>
      <c r="TJM3" s="3404"/>
      <c r="TJN3" s="3404"/>
      <c r="TJO3" s="3404"/>
      <c r="TJP3" s="3404"/>
      <c r="TJQ3" s="3404"/>
      <c r="TJR3" s="3404"/>
      <c r="TJS3" s="3404"/>
      <c r="TJT3" s="3404"/>
      <c r="TJU3" s="3404"/>
      <c r="TJV3" s="3404"/>
      <c r="TJW3" s="3404"/>
      <c r="TJX3" s="3404"/>
      <c r="TJY3" s="3404"/>
      <c r="TJZ3" s="3404"/>
      <c r="TKA3" s="3404"/>
      <c r="TKB3" s="3404"/>
      <c r="TKC3" s="3404"/>
      <c r="TKD3" s="3404"/>
      <c r="TKE3" s="3404"/>
      <c r="TKF3" s="3404"/>
      <c r="TKG3" s="3404"/>
      <c r="TKH3" s="3404"/>
      <c r="TKI3" s="3404"/>
      <c r="TKJ3" s="3404"/>
      <c r="TKK3" s="3404"/>
      <c r="TKL3" s="3404"/>
      <c r="TKM3" s="3404"/>
      <c r="TKN3" s="3404"/>
      <c r="TKO3" s="3404"/>
      <c r="TKP3" s="3404"/>
      <c r="TKQ3" s="3404"/>
      <c r="TKR3" s="3404"/>
      <c r="TKS3" s="3404"/>
      <c r="TKT3" s="3404"/>
      <c r="TKU3" s="3404"/>
      <c r="TKV3" s="3404"/>
      <c r="TKW3" s="3404"/>
      <c r="TKX3" s="3404"/>
      <c r="TKY3" s="3404"/>
      <c r="TKZ3" s="3404"/>
      <c r="TLA3" s="3404"/>
      <c r="TLB3" s="3404"/>
      <c r="TLC3" s="3404"/>
      <c r="TLD3" s="3404"/>
      <c r="TLE3" s="3404"/>
      <c r="TLF3" s="3404"/>
      <c r="TLG3" s="3404"/>
      <c r="TLH3" s="3404"/>
      <c r="TLI3" s="3404"/>
      <c r="TLJ3" s="3404"/>
      <c r="TLK3" s="3404"/>
      <c r="TLL3" s="3404"/>
      <c r="TLM3" s="3404"/>
      <c r="TLN3" s="3404"/>
      <c r="TLO3" s="3404"/>
      <c r="TLP3" s="3404"/>
      <c r="TLQ3" s="3404"/>
      <c r="TLR3" s="3404"/>
      <c r="TLS3" s="3404"/>
      <c r="TLT3" s="3404"/>
      <c r="TLU3" s="3404"/>
      <c r="TLV3" s="3404"/>
      <c r="TLW3" s="3404"/>
      <c r="TLX3" s="3404"/>
      <c r="TLY3" s="3404"/>
      <c r="TLZ3" s="3404"/>
      <c r="TMA3" s="3404"/>
      <c r="TMB3" s="3404"/>
      <c r="TMC3" s="3404"/>
      <c r="TMD3" s="3404"/>
      <c r="TME3" s="3404"/>
      <c r="TMF3" s="3404"/>
      <c r="TMG3" s="3404"/>
      <c r="TMH3" s="3404"/>
      <c r="TMI3" s="3404"/>
      <c r="TMJ3" s="3404"/>
      <c r="TMK3" s="3404"/>
      <c r="TML3" s="3404"/>
      <c r="TMM3" s="3404"/>
      <c r="TMN3" s="3404"/>
      <c r="TMO3" s="3404"/>
      <c r="TMP3" s="3404"/>
      <c r="TMQ3" s="3404"/>
      <c r="TMR3" s="3404"/>
      <c r="TMS3" s="3404"/>
      <c r="TMT3" s="3404"/>
      <c r="TMU3" s="3404"/>
      <c r="TMV3" s="3404"/>
      <c r="TMW3" s="3404"/>
      <c r="TMX3" s="3404"/>
      <c r="TMY3" s="3404"/>
      <c r="TMZ3" s="3404"/>
      <c r="TNA3" s="3404"/>
      <c r="TNB3" s="3404"/>
      <c r="TNC3" s="3404"/>
      <c r="TND3" s="3404"/>
      <c r="TNE3" s="3404"/>
      <c r="TNF3" s="3404"/>
      <c r="TNG3" s="3404"/>
      <c r="TNH3" s="3404"/>
      <c r="TNI3" s="3404"/>
      <c r="TNJ3" s="3404"/>
      <c r="TNK3" s="3404"/>
      <c r="TNL3" s="3404"/>
      <c r="TNM3" s="3404"/>
      <c r="TNN3" s="3404"/>
      <c r="TNO3" s="3404"/>
      <c r="TNP3" s="3404"/>
      <c r="TNQ3" s="3404"/>
      <c r="TNR3" s="3404"/>
      <c r="TNS3" s="3404"/>
      <c r="TNT3" s="3404"/>
      <c r="TNU3" s="3404"/>
      <c r="TNV3" s="3404"/>
      <c r="TNW3" s="3404"/>
      <c r="TNX3" s="3404"/>
      <c r="TNY3" s="3404"/>
      <c r="TNZ3" s="3404"/>
      <c r="TOA3" s="3404"/>
      <c r="TOB3" s="3404"/>
      <c r="TOC3" s="3404"/>
      <c r="TOD3" s="3404"/>
      <c r="TOE3" s="3404"/>
      <c r="TOF3" s="3404"/>
      <c r="TOG3" s="3404"/>
      <c r="TOH3" s="3404"/>
      <c r="TOI3" s="3404"/>
      <c r="TOJ3" s="3404"/>
      <c r="TOK3" s="3404"/>
      <c r="TOL3" s="3404"/>
      <c r="TOM3" s="3404"/>
      <c r="TON3" s="3404"/>
      <c r="TOO3" s="3404"/>
      <c r="TOP3" s="3404"/>
      <c r="TOQ3" s="3404"/>
      <c r="TOR3" s="3404"/>
      <c r="TOS3" s="3404"/>
      <c r="TOT3" s="3404"/>
      <c r="TOU3" s="3404"/>
      <c r="TOV3" s="3404"/>
      <c r="TOW3" s="3404"/>
      <c r="TOX3" s="3404"/>
      <c r="TOY3" s="3404"/>
      <c r="TOZ3" s="3404"/>
      <c r="TPA3" s="3404"/>
      <c r="TPB3" s="3404"/>
      <c r="TPC3" s="3404"/>
      <c r="TPD3" s="3404"/>
      <c r="TPE3" s="3404"/>
      <c r="TPF3" s="3404"/>
      <c r="TPG3" s="3404"/>
      <c r="TPH3" s="3404"/>
      <c r="TPI3" s="3404"/>
      <c r="TPJ3" s="3404"/>
      <c r="TPK3" s="3404"/>
      <c r="TPL3" s="3404"/>
      <c r="TPM3" s="3404"/>
      <c r="TPN3" s="3404"/>
      <c r="TPO3" s="3404"/>
      <c r="TPP3" s="3404"/>
      <c r="TPQ3" s="3404"/>
      <c r="TPR3" s="3404"/>
      <c r="TPS3" s="3404"/>
      <c r="TPT3" s="3404"/>
      <c r="TPU3" s="3404"/>
      <c r="TPV3" s="3404"/>
      <c r="TPW3" s="3404"/>
      <c r="TPX3" s="3404"/>
      <c r="TPY3" s="3404"/>
      <c r="TPZ3" s="3404"/>
      <c r="TQA3" s="3404"/>
      <c r="TQB3" s="3404"/>
      <c r="TQC3" s="3404"/>
      <c r="TQD3" s="3404"/>
      <c r="TQE3" s="3404"/>
      <c r="TQF3" s="3404"/>
      <c r="TQG3" s="3404"/>
      <c r="TQH3" s="3404"/>
      <c r="TQI3" s="3404"/>
      <c r="TQJ3" s="3404"/>
      <c r="TQK3" s="3404"/>
      <c r="TQL3" s="3404"/>
      <c r="TQM3" s="3404"/>
      <c r="TQN3" s="3404"/>
      <c r="TQO3" s="3404"/>
      <c r="TQP3" s="3404"/>
      <c r="TQQ3" s="3404"/>
      <c r="TQR3" s="3404"/>
      <c r="TQS3" s="3404"/>
      <c r="TQT3" s="3404"/>
      <c r="TQU3" s="3404"/>
      <c r="TQV3" s="3404"/>
      <c r="TQW3" s="3404"/>
      <c r="TQX3" s="3404"/>
      <c r="TQY3" s="3404"/>
      <c r="TQZ3" s="3404"/>
      <c r="TRA3" s="3404"/>
      <c r="TRB3" s="3404"/>
      <c r="TRC3" s="3404"/>
      <c r="TRD3" s="3404"/>
      <c r="TRE3" s="3404"/>
      <c r="TRF3" s="3404"/>
      <c r="TRG3" s="3404"/>
      <c r="TRH3" s="3404"/>
      <c r="TRI3" s="3404"/>
      <c r="TRJ3" s="3404"/>
      <c r="TRK3" s="3404"/>
      <c r="TRL3" s="3404"/>
      <c r="TRM3" s="3404"/>
      <c r="TRN3" s="3404"/>
      <c r="TRO3" s="3404"/>
      <c r="TRP3" s="3404"/>
      <c r="TRQ3" s="3404"/>
      <c r="TRR3" s="3404"/>
      <c r="TRS3" s="3404"/>
      <c r="TRT3" s="3404"/>
      <c r="TRU3" s="3404"/>
      <c r="TRV3" s="3404"/>
      <c r="TRW3" s="3404"/>
      <c r="TRX3" s="3404"/>
      <c r="TRY3" s="3404"/>
      <c r="TRZ3" s="3404"/>
      <c r="TSA3" s="3404"/>
      <c r="TSB3" s="3404"/>
      <c r="TSC3" s="3404"/>
      <c r="TSD3" s="3404"/>
      <c r="TSE3" s="3404"/>
      <c r="TSF3" s="3404"/>
      <c r="TSG3" s="3404"/>
      <c r="TSH3" s="3404"/>
      <c r="TSI3" s="3404"/>
      <c r="TSJ3" s="3404"/>
      <c r="TSK3" s="3404"/>
      <c r="TSL3" s="3404"/>
      <c r="TSM3" s="3404"/>
      <c r="TSN3" s="3404"/>
      <c r="TSO3" s="3404"/>
      <c r="TSP3" s="3404"/>
      <c r="TSQ3" s="3404"/>
      <c r="TSR3" s="3404"/>
      <c r="TSS3" s="3404"/>
      <c r="TST3" s="3404"/>
      <c r="TSU3" s="3404"/>
      <c r="TSV3" s="3404"/>
      <c r="TSW3" s="3404"/>
      <c r="TSX3" s="3404"/>
      <c r="TSY3" s="3404"/>
      <c r="TSZ3" s="3404"/>
      <c r="TTA3" s="3404"/>
      <c r="TTB3" s="3404"/>
      <c r="TTC3" s="3404"/>
      <c r="TTD3" s="3404"/>
      <c r="TTE3" s="3404"/>
      <c r="TTF3" s="3404"/>
      <c r="TTG3" s="3404"/>
      <c r="TTH3" s="3404"/>
      <c r="TTI3" s="3404"/>
      <c r="TTJ3" s="3404"/>
      <c r="TTK3" s="3404"/>
      <c r="TTL3" s="3404"/>
      <c r="TTM3" s="3404"/>
      <c r="TTN3" s="3404"/>
      <c r="TTO3" s="3404"/>
      <c r="TTP3" s="3404"/>
      <c r="TTQ3" s="3404"/>
      <c r="TTR3" s="3404"/>
      <c r="TTS3" s="3404"/>
      <c r="TTT3" s="3404"/>
      <c r="TTU3" s="3404"/>
      <c r="TTV3" s="3404"/>
      <c r="TTW3" s="3404"/>
      <c r="TTX3" s="3404"/>
      <c r="TTY3" s="3404"/>
      <c r="TTZ3" s="3404"/>
      <c r="TUA3" s="3404"/>
      <c r="TUB3" s="3404"/>
      <c r="TUC3" s="3404"/>
      <c r="TUD3" s="3404"/>
      <c r="TUE3" s="3404"/>
      <c r="TUF3" s="3404"/>
      <c r="TUG3" s="3404"/>
      <c r="TUH3" s="3404"/>
      <c r="TUI3" s="3404"/>
      <c r="TUJ3" s="3404"/>
      <c r="TUK3" s="3404"/>
      <c r="TUL3" s="3404"/>
      <c r="TUM3" s="3404"/>
      <c r="TUN3" s="3404"/>
      <c r="TUO3" s="3404"/>
      <c r="TUP3" s="3404"/>
      <c r="TUQ3" s="3404"/>
      <c r="TUR3" s="3404"/>
      <c r="TUS3" s="3404"/>
      <c r="TUT3" s="3404"/>
      <c r="TUU3" s="3404"/>
      <c r="TUV3" s="3404"/>
      <c r="TUW3" s="3404"/>
      <c r="TUX3" s="3404"/>
      <c r="TUY3" s="3404"/>
      <c r="TUZ3" s="3404"/>
      <c r="TVA3" s="3404"/>
      <c r="TVB3" s="3404"/>
      <c r="TVC3" s="3404"/>
      <c r="TVD3" s="3404"/>
      <c r="TVE3" s="3404"/>
      <c r="TVF3" s="3404"/>
      <c r="TVG3" s="3404"/>
      <c r="TVH3" s="3404"/>
      <c r="TVI3" s="3404"/>
      <c r="TVJ3" s="3404"/>
      <c r="TVK3" s="3404"/>
      <c r="TVL3" s="3404"/>
      <c r="TVM3" s="3404"/>
      <c r="TVN3" s="3404"/>
      <c r="TVO3" s="3404"/>
      <c r="TVP3" s="3404"/>
      <c r="TVQ3" s="3404"/>
      <c r="TVR3" s="3404"/>
      <c r="TVS3" s="3404"/>
      <c r="TVT3" s="3404"/>
      <c r="TVU3" s="3404"/>
      <c r="TVV3" s="3404"/>
      <c r="TVW3" s="3404"/>
      <c r="TVX3" s="3404"/>
      <c r="TVY3" s="3404"/>
      <c r="TVZ3" s="3404"/>
      <c r="TWA3" s="3404"/>
      <c r="TWB3" s="3404"/>
      <c r="TWC3" s="3404"/>
      <c r="TWD3" s="3404"/>
      <c r="TWE3" s="3404"/>
      <c r="TWF3" s="3404"/>
      <c r="TWG3" s="3404"/>
      <c r="TWH3" s="3404"/>
      <c r="TWI3" s="3404"/>
      <c r="TWJ3" s="3404"/>
      <c r="TWK3" s="3404"/>
      <c r="TWL3" s="3404"/>
      <c r="TWM3" s="3404"/>
      <c r="TWN3" s="3404"/>
      <c r="TWO3" s="3404"/>
      <c r="TWP3" s="3404"/>
      <c r="TWQ3" s="3404"/>
      <c r="TWR3" s="3404"/>
      <c r="TWS3" s="3404"/>
      <c r="TWT3" s="3404"/>
      <c r="TWU3" s="3404"/>
      <c r="TWV3" s="3404"/>
      <c r="TWW3" s="3404"/>
      <c r="TWX3" s="3404"/>
      <c r="TWY3" s="3404"/>
      <c r="TWZ3" s="3404"/>
      <c r="TXA3" s="3404"/>
      <c r="TXB3" s="3404"/>
      <c r="TXC3" s="3404"/>
      <c r="TXD3" s="3404"/>
      <c r="TXE3" s="3404"/>
      <c r="TXF3" s="3404"/>
      <c r="TXG3" s="3404"/>
      <c r="TXH3" s="3404"/>
      <c r="TXI3" s="3404"/>
      <c r="TXJ3" s="3404"/>
      <c r="TXK3" s="3404"/>
      <c r="TXL3" s="3404"/>
      <c r="TXM3" s="3404"/>
      <c r="TXN3" s="3404"/>
      <c r="TXO3" s="3404"/>
      <c r="TXP3" s="3404"/>
      <c r="TXQ3" s="3404"/>
      <c r="TXR3" s="3404"/>
      <c r="TXS3" s="3404"/>
      <c r="TXT3" s="3404"/>
      <c r="TXU3" s="3404"/>
      <c r="TXV3" s="3404"/>
      <c r="TXW3" s="3404"/>
      <c r="TXX3" s="3404"/>
      <c r="TXY3" s="3404"/>
      <c r="TXZ3" s="3404"/>
      <c r="TYA3" s="3404"/>
      <c r="TYB3" s="3404"/>
      <c r="TYC3" s="3404"/>
      <c r="TYD3" s="3404"/>
      <c r="TYE3" s="3404"/>
      <c r="TYF3" s="3404"/>
      <c r="TYG3" s="3404"/>
      <c r="TYH3" s="3404"/>
      <c r="TYI3" s="3404"/>
      <c r="TYJ3" s="3404"/>
      <c r="TYK3" s="3404"/>
      <c r="TYL3" s="3404"/>
      <c r="TYM3" s="3404"/>
      <c r="TYN3" s="3404"/>
      <c r="TYO3" s="3404"/>
      <c r="TYP3" s="3404"/>
      <c r="TYQ3" s="3404"/>
      <c r="TYR3" s="3404"/>
      <c r="TYS3" s="3404"/>
      <c r="TYT3" s="3404"/>
      <c r="TYU3" s="3404"/>
      <c r="TYV3" s="3404"/>
      <c r="TYW3" s="3404"/>
      <c r="TYX3" s="3404"/>
      <c r="TYY3" s="3404"/>
      <c r="TYZ3" s="3404"/>
      <c r="TZA3" s="3404"/>
      <c r="TZB3" s="3404"/>
      <c r="TZC3" s="3404"/>
      <c r="TZD3" s="3404"/>
      <c r="TZE3" s="3404"/>
      <c r="TZF3" s="3404"/>
      <c r="TZG3" s="3404"/>
      <c r="TZH3" s="3404"/>
      <c r="TZI3" s="3404"/>
      <c r="TZJ3" s="3404"/>
      <c r="TZK3" s="3404"/>
      <c r="TZL3" s="3404"/>
      <c r="TZM3" s="3404"/>
      <c r="TZN3" s="3404"/>
      <c r="TZO3" s="3404"/>
      <c r="TZP3" s="3404"/>
      <c r="TZQ3" s="3404"/>
      <c r="TZR3" s="3404"/>
      <c r="TZS3" s="3404"/>
      <c r="TZT3" s="3404"/>
      <c r="TZU3" s="3404"/>
      <c r="TZV3" s="3404"/>
      <c r="TZW3" s="3404"/>
      <c r="TZX3" s="3404"/>
      <c r="TZY3" s="3404"/>
      <c r="TZZ3" s="3404"/>
      <c r="UAA3" s="3404"/>
      <c r="UAB3" s="3404"/>
      <c r="UAC3" s="3404"/>
      <c r="UAD3" s="3404"/>
      <c r="UAE3" s="3404"/>
      <c r="UAF3" s="3404"/>
      <c r="UAG3" s="3404"/>
      <c r="UAH3" s="3404"/>
      <c r="UAI3" s="3404"/>
      <c r="UAJ3" s="3404"/>
      <c r="UAK3" s="3404"/>
      <c r="UAL3" s="3404"/>
      <c r="UAM3" s="3404"/>
      <c r="UAN3" s="3404"/>
      <c r="UAO3" s="3404"/>
      <c r="UAP3" s="3404"/>
      <c r="UAQ3" s="3404"/>
      <c r="UAR3" s="3404"/>
      <c r="UAS3" s="3404"/>
      <c r="UAT3" s="3404"/>
      <c r="UAU3" s="3404"/>
      <c r="UAV3" s="3404"/>
      <c r="UAW3" s="3404"/>
      <c r="UAX3" s="3404"/>
      <c r="UAY3" s="3404"/>
      <c r="UAZ3" s="3404"/>
      <c r="UBA3" s="3404"/>
      <c r="UBB3" s="3404"/>
      <c r="UBC3" s="3404"/>
      <c r="UBD3" s="3404"/>
      <c r="UBE3" s="3404"/>
      <c r="UBF3" s="3404"/>
      <c r="UBG3" s="3404"/>
      <c r="UBH3" s="3404"/>
      <c r="UBI3" s="3404"/>
      <c r="UBJ3" s="3404"/>
      <c r="UBK3" s="3404"/>
      <c r="UBL3" s="3404"/>
      <c r="UBM3" s="3404"/>
      <c r="UBN3" s="3404"/>
      <c r="UBO3" s="3404"/>
      <c r="UBP3" s="3404"/>
      <c r="UBQ3" s="3404"/>
      <c r="UBR3" s="3404"/>
      <c r="UBS3" s="3404"/>
      <c r="UBT3" s="3404"/>
      <c r="UBU3" s="3404"/>
      <c r="UBV3" s="3404"/>
      <c r="UBW3" s="3404"/>
      <c r="UBX3" s="3404"/>
      <c r="UBY3" s="3404"/>
      <c r="UBZ3" s="3404"/>
      <c r="UCA3" s="3404"/>
      <c r="UCB3" s="3404"/>
      <c r="UCC3" s="3404"/>
      <c r="UCD3" s="3404"/>
      <c r="UCE3" s="3404"/>
      <c r="UCF3" s="3404"/>
      <c r="UCG3" s="3404"/>
      <c r="UCH3" s="3404"/>
      <c r="UCI3" s="3404"/>
      <c r="UCJ3" s="3404"/>
      <c r="UCK3" s="3404"/>
      <c r="UCL3" s="3404"/>
      <c r="UCM3" s="3404"/>
      <c r="UCN3" s="3404"/>
      <c r="UCO3" s="3404"/>
      <c r="UCP3" s="3404"/>
      <c r="UCQ3" s="3404"/>
      <c r="UCR3" s="3404"/>
      <c r="UCS3" s="3404"/>
      <c r="UCT3" s="3404"/>
      <c r="UCU3" s="3404"/>
      <c r="UCV3" s="3404"/>
      <c r="UCW3" s="3404"/>
      <c r="UCX3" s="3404"/>
      <c r="UCY3" s="3404"/>
      <c r="UCZ3" s="3404"/>
      <c r="UDA3" s="3404"/>
      <c r="UDB3" s="3404"/>
      <c r="UDC3" s="3404"/>
      <c r="UDD3" s="3404"/>
      <c r="UDE3" s="3404"/>
      <c r="UDF3" s="3404"/>
      <c r="UDG3" s="3404"/>
      <c r="UDH3" s="3404"/>
      <c r="UDI3" s="3404"/>
      <c r="UDJ3" s="3404"/>
      <c r="UDK3" s="3404"/>
      <c r="UDL3" s="3404"/>
      <c r="UDM3" s="3404"/>
      <c r="UDN3" s="3404"/>
      <c r="UDO3" s="3404"/>
      <c r="UDP3" s="3404"/>
      <c r="UDQ3" s="3404"/>
      <c r="UDR3" s="3404"/>
      <c r="UDS3" s="3404"/>
      <c r="UDT3" s="3404"/>
      <c r="UDU3" s="3404"/>
      <c r="UDV3" s="3404"/>
      <c r="UDW3" s="3404"/>
      <c r="UDX3" s="3404"/>
      <c r="UDY3" s="3404"/>
      <c r="UDZ3" s="3404"/>
      <c r="UEA3" s="3404"/>
      <c r="UEB3" s="3404"/>
      <c r="UEC3" s="3404"/>
      <c r="UED3" s="3404"/>
      <c r="UEE3" s="3404"/>
      <c r="UEF3" s="3404"/>
      <c r="UEG3" s="3404"/>
      <c r="UEH3" s="3404"/>
      <c r="UEI3" s="3404"/>
      <c r="UEJ3" s="3404"/>
      <c r="UEK3" s="3404"/>
      <c r="UEL3" s="3404"/>
      <c r="UEM3" s="3404"/>
      <c r="UEN3" s="3404"/>
      <c r="UEO3" s="3404"/>
      <c r="UEP3" s="3404"/>
      <c r="UEQ3" s="3404"/>
      <c r="UER3" s="3404"/>
      <c r="UES3" s="3404"/>
      <c r="UET3" s="3404"/>
      <c r="UEU3" s="3404"/>
      <c r="UEV3" s="3404"/>
      <c r="UEW3" s="3404"/>
      <c r="UEX3" s="3404"/>
      <c r="UEY3" s="3404"/>
      <c r="UEZ3" s="3404"/>
      <c r="UFA3" s="3404"/>
      <c r="UFB3" s="3404"/>
      <c r="UFC3" s="3404"/>
      <c r="UFD3" s="3404"/>
      <c r="UFE3" s="3404"/>
      <c r="UFF3" s="3404"/>
      <c r="UFG3" s="3404"/>
      <c r="UFH3" s="3404"/>
      <c r="UFI3" s="3404"/>
      <c r="UFJ3" s="3404"/>
      <c r="UFK3" s="3404"/>
      <c r="UFL3" s="3404"/>
      <c r="UFM3" s="3404"/>
      <c r="UFN3" s="3404"/>
      <c r="UFO3" s="3404"/>
      <c r="UFP3" s="3404"/>
      <c r="UFQ3" s="3404"/>
      <c r="UFR3" s="3404"/>
      <c r="UFS3" s="3404"/>
      <c r="UFT3" s="3404"/>
      <c r="UFU3" s="3404"/>
      <c r="UFV3" s="3404"/>
      <c r="UFW3" s="3404"/>
      <c r="UFX3" s="3404"/>
      <c r="UFY3" s="3404"/>
      <c r="UFZ3" s="3404"/>
      <c r="UGA3" s="3404"/>
      <c r="UGB3" s="3404"/>
      <c r="UGC3" s="3404"/>
      <c r="UGD3" s="3404"/>
      <c r="UGE3" s="3404"/>
      <c r="UGF3" s="3404"/>
      <c r="UGG3" s="3404"/>
      <c r="UGH3" s="3404"/>
      <c r="UGI3" s="3404"/>
      <c r="UGJ3" s="3404"/>
      <c r="UGK3" s="3404"/>
      <c r="UGL3" s="3404"/>
      <c r="UGM3" s="3404"/>
      <c r="UGN3" s="3404"/>
      <c r="UGO3" s="3404"/>
      <c r="UGP3" s="3404"/>
      <c r="UGQ3" s="3404"/>
      <c r="UGR3" s="3404"/>
      <c r="UGS3" s="3404"/>
      <c r="UGT3" s="3404"/>
      <c r="UGU3" s="3404"/>
      <c r="UGV3" s="3404"/>
      <c r="UGW3" s="3404"/>
      <c r="UGX3" s="3404"/>
      <c r="UGY3" s="3404"/>
      <c r="UGZ3" s="3404"/>
      <c r="UHA3" s="3404"/>
      <c r="UHB3" s="3404"/>
      <c r="UHC3" s="3404"/>
      <c r="UHD3" s="3404"/>
      <c r="UHE3" s="3404"/>
      <c r="UHF3" s="3404"/>
      <c r="UHG3" s="3404"/>
      <c r="UHH3" s="3404"/>
      <c r="UHI3" s="3404"/>
      <c r="UHJ3" s="3404"/>
      <c r="UHK3" s="3404"/>
      <c r="UHL3" s="3404"/>
      <c r="UHM3" s="3404"/>
      <c r="UHN3" s="3404"/>
      <c r="UHO3" s="3404"/>
      <c r="UHP3" s="3404"/>
      <c r="UHQ3" s="3404"/>
      <c r="UHR3" s="3404"/>
      <c r="UHS3" s="3404"/>
      <c r="UHT3" s="3404"/>
      <c r="UHU3" s="3404"/>
      <c r="UHV3" s="3404"/>
      <c r="UHW3" s="3404"/>
      <c r="UHX3" s="3404"/>
      <c r="UHY3" s="3404"/>
      <c r="UHZ3" s="3404"/>
      <c r="UIA3" s="3404"/>
      <c r="UIB3" s="3404"/>
      <c r="UIC3" s="3404"/>
      <c r="UID3" s="3404"/>
      <c r="UIE3" s="3404"/>
      <c r="UIF3" s="3404"/>
      <c r="UIG3" s="3404"/>
      <c r="UIH3" s="3404"/>
      <c r="UII3" s="3404"/>
      <c r="UIJ3" s="3404"/>
      <c r="UIK3" s="3404"/>
      <c r="UIL3" s="3404"/>
      <c r="UIM3" s="3404"/>
      <c r="UIN3" s="3404"/>
      <c r="UIO3" s="3404"/>
      <c r="UIP3" s="3404"/>
      <c r="UIQ3" s="3404"/>
      <c r="UIR3" s="3404"/>
      <c r="UIS3" s="3404"/>
      <c r="UIT3" s="3404"/>
      <c r="UIU3" s="3404"/>
      <c r="UIV3" s="3404"/>
      <c r="UIW3" s="3404"/>
      <c r="UIX3" s="3404"/>
      <c r="UIY3" s="3404"/>
      <c r="UIZ3" s="3404"/>
      <c r="UJA3" s="3404"/>
      <c r="UJB3" s="3404"/>
      <c r="UJC3" s="3404"/>
      <c r="UJD3" s="3404"/>
      <c r="UJE3" s="3404"/>
      <c r="UJF3" s="3404"/>
      <c r="UJG3" s="3404"/>
      <c r="UJH3" s="3404"/>
      <c r="UJI3" s="3404"/>
      <c r="UJJ3" s="3404"/>
      <c r="UJK3" s="3404"/>
      <c r="UJL3" s="3404"/>
      <c r="UJM3" s="3404"/>
      <c r="UJN3" s="3404"/>
      <c r="UJO3" s="3404"/>
      <c r="UJP3" s="3404"/>
      <c r="UJQ3" s="3404"/>
      <c r="UJR3" s="3404"/>
      <c r="UJS3" s="3404"/>
      <c r="UJT3" s="3404"/>
      <c r="UJU3" s="3404"/>
      <c r="UJV3" s="3404"/>
      <c r="UJW3" s="3404"/>
      <c r="UJX3" s="3404"/>
      <c r="UJY3" s="3404"/>
      <c r="UJZ3" s="3404"/>
      <c r="UKA3" s="3404"/>
      <c r="UKB3" s="3404"/>
      <c r="UKC3" s="3404"/>
      <c r="UKD3" s="3404"/>
      <c r="UKE3" s="3404"/>
      <c r="UKF3" s="3404"/>
      <c r="UKG3" s="3404"/>
      <c r="UKH3" s="3404"/>
      <c r="UKI3" s="3404"/>
      <c r="UKJ3" s="3404"/>
      <c r="UKK3" s="3404"/>
      <c r="UKL3" s="3404"/>
      <c r="UKM3" s="3404"/>
      <c r="UKN3" s="3404"/>
      <c r="UKO3" s="3404"/>
      <c r="UKP3" s="3404"/>
      <c r="UKQ3" s="3404"/>
      <c r="UKR3" s="3404"/>
      <c r="UKS3" s="3404"/>
      <c r="UKT3" s="3404"/>
      <c r="UKU3" s="3404"/>
      <c r="UKV3" s="3404"/>
      <c r="UKW3" s="3404"/>
      <c r="UKX3" s="3404"/>
      <c r="UKY3" s="3404"/>
      <c r="UKZ3" s="3404"/>
      <c r="ULA3" s="3404"/>
      <c r="ULB3" s="3404"/>
      <c r="ULC3" s="3404"/>
      <c r="ULD3" s="3404"/>
      <c r="ULE3" s="3404"/>
      <c r="ULF3" s="3404"/>
      <c r="ULG3" s="3404"/>
      <c r="ULH3" s="3404"/>
      <c r="ULI3" s="3404"/>
      <c r="ULJ3" s="3404"/>
      <c r="ULK3" s="3404"/>
      <c r="ULL3" s="3404"/>
      <c r="ULM3" s="3404"/>
      <c r="ULN3" s="3404"/>
      <c r="ULO3" s="3404"/>
      <c r="ULP3" s="3404"/>
      <c r="ULQ3" s="3404"/>
      <c r="ULR3" s="3404"/>
      <c r="ULS3" s="3404"/>
      <c r="ULT3" s="3404"/>
      <c r="ULU3" s="3404"/>
      <c r="ULV3" s="3404"/>
      <c r="ULW3" s="3404"/>
      <c r="ULX3" s="3404"/>
      <c r="ULY3" s="3404"/>
      <c r="ULZ3" s="3404"/>
      <c r="UMA3" s="3404"/>
      <c r="UMB3" s="3404"/>
      <c r="UMC3" s="3404"/>
      <c r="UMD3" s="3404"/>
      <c r="UME3" s="3404"/>
      <c r="UMF3" s="3404"/>
      <c r="UMG3" s="3404"/>
      <c r="UMH3" s="3404"/>
      <c r="UMI3" s="3404"/>
      <c r="UMJ3" s="3404"/>
      <c r="UMK3" s="3404"/>
      <c r="UML3" s="3404"/>
      <c r="UMM3" s="3404"/>
      <c r="UMN3" s="3404"/>
      <c r="UMO3" s="3404"/>
      <c r="UMP3" s="3404"/>
      <c r="UMQ3" s="3404"/>
      <c r="UMR3" s="3404"/>
      <c r="UMS3" s="3404"/>
      <c r="UMT3" s="3404"/>
      <c r="UMU3" s="3404"/>
      <c r="UMV3" s="3404"/>
      <c r="UMW3" s="3404"/>
      <c r="UMX3" s="3404"/>
      <c r="UMY3" s="3404"/>
      <c r="UMZ3" s="3404"/>
      <c r="UNA3" s="3404"/>
      <c r="UNB3" s="3404"/>
      <c r="UNC3" s="3404"/>
      <c r="UND3" s="3404"/>
      <c r="UNE3" s="3404"/>
      <c r="UNF3" s="3404"/>
      <c r="UNG3" s="3404"/>
      <c r="UNH3" s="3404"/>
      <c r="UNI3" s="3404"/>
      <c r="UNJ3" s="3404"/>
      <c r="UNK3" s="3404"/>
      <c r="UNL3" s="3404"/>
      <c r="UNM3" s="3404"/>
      <c r="UNN3" s="3404"/>
      <c r="UNO3" s="3404"/>
      <c r="UNP3" s="3404"/>
      <c r="UNQ3" s="3404"/>
      <c r="UNR3" s="3404"/>
      <c r="UNS3" s="3404"/>
      <c r="UNT3" s="3404"/>
      <c r="UNU3" s="3404"/>
      <c r="UNV3" s="3404"/>
      <c r="UNW3" s="3404"/>
      <c r="UNX3" s="3404"/>
      <c r="UNY3" s="3404"/>
      <c r="UNZ3" s="3404"/>
      <c r="UOA3" s="3404"/>
      <c r="UOB3" s="3404"/>
      <c r="UOC3" s="3404"/>
      <c r="UOD3" s="3404"/>
      <c r="UOE3" s="3404"/>
      <c r="UOF3" s="3404"/>
      <c r="UOG3" s="3404"/>
      <c r="UOH3" s="3404"/>
      <c r="UOI3" s="3404"/>
      <c r="UOJ3" s="3404"/>
      <c r="UOK3" s="3404"/>
      <c r="UOL3" s="3404"/>
      <c r="UOM3" s="3404"/>
      <c r="UON3" s="3404"/>
      <c r="UOO3" s="3404"/>
      <c r="UOP3" s="3404"/>
      <c r="UOQ3" s="3404"/>
      <c r="UOR3" s="3404"/>
      <c r="UOS3" s="3404"/>
      <c r="UOT3" s="3404"/>
      <c r="UOU3" s="3404"/>
      <c r="UOV3" s="3404"/>
      <c r="UOW3" s="3404"/>
      <c r="UOX3" s="3404"/>
      <c r="UOY3" s="3404"/>
      <c r="UOZ3" s="3404"/>
      <c r="UPA3" s="3404"/>
      <c r="UPB3" s="3404"/>
      <c r="UPC3" s="3404"/>
      <c r="UPD3" s="3404"/>
      <c r="UPE3" s="3404"/>
      <c r="UPF3" s="3404"/>
      <c r="UPG3" s="3404"/>
      <c r="UPH3" s="3404"/>
      <c r="UPI3" s="3404"/>
      <c r="UPJ3" s="3404"/>
      <c r="UPK3" s="3404"/>
      <c r="UPL3" s="3404"/>
      <c r="UPM3" s="3404"/>
      <c r="UPN3" s="3404"/>
      <c r="UPO3" s="3404"/>
      <c r="UPP3" s="3404"/>
      <c r="UPQ3" s="3404"/>
      <c r="UPR3" s="3404"/>
      <c r="UPS3" s="3404"/>
      <c r="UPT3" s="3404"/>
      <c r="UPU3" s="3404"/>
      <c r="UPV3" s="3404"/>
      <c r="UPW3" s="3404"/>
      <c r="UPX3" s="3404"/>
      <c r="UPY3" s="3404"/>
      <c r="UPZ3" s="3404"/>
      <c r="UQA3" s="3404"/>
      <c r="UQB3" s="3404"/>
      <c r="UQC3" s="3404"/>
      <c r="UQD3" s="3404"/>
      <c r="UQE3" s="3404"/>
      <c r="UQF3" s="3404"/>
      <c r="UQG3" s="3404"/>
      <c r="UQH3" s="3404"/>
      <c r="UQI3" s="3404"/>
      <c r="UQJ3" s="3404"/>
      <c r="UQK3" s="3404"/>
      <c r="UQL3" s="3404"/>
      <c r="UQM3" s="3404"/>
      <c r="UQN3" s="3404"/>
      <c r="UQO3" s="3404"/>
      <c r="UQP3" s="3404"/>
      <c r="UQQ3" s="3404"/>
      <c r="UQR3" s="3404"/>
      <c r="UQS3" s="3404"/>
      <c r="UQT3" s="3404"/>
      <c r="UQU3" s="3404"/>
      <c r="UQV3" s="3404"/>
      <c r="UQW3" s="3404"/>
      <c r="UQX3" s="3404"/>
      <c r="UQY3" s="3404"/>
      <c r="UQZ3" s="3404"/>
      <c r="URA3" s="3404"/>
      <c r="URB3" s="3404"/>
      <c r="URC3" s="3404"/>
      <c r="URD3" s="3404"/>
      <c r="URE3" s="3404"/>
      <c r="URF3" s="3404"/>
      <c r="URG3" s="3404"/>
      <c r="URH3" s="3404"/>
      <c r="URI3" s="3404"/>
      <c r="URJ3" s="3404"/>
      <c r="URK3" s="3404"/>
      <c r="URL3" s="3404"/>
      <c r="URM3" s="3404"/>
      <c r="URN3" s="3404"/>
      <c r="URO3" s="3404"/>
      <c r="URP3" s="3404"/>
      <c r="URQ3" s="3404"/>
      <c r="URR3" s="3404"/>
      <c r="URS3" s="3404"/>
      <c r="URT3" s="3404"/>
      <c r="URU3" s="3404"/>
      <c r="URV3" s="3404"/>
      <c r="URW3" s="3404"/>
      <c r="URX3" s="3404"/>
      <c r="URY3" s="3404"/>
      <c r="URZ3" s="3404"/>
      <c r="USA3" s="3404"/>
      <c r="USB3" s="3404"/>
      <c r="USC3" s="3404"/>
      <c r="USD3" s="3404"/>
      <c r="USE3" s="3404"/>
      <c r="USF3" s="3404"/>
      <c r="USG3" s="3404"/>
      <c r="USH3" s="3404"/>
      <c r="USI3" s="3404"/>
      <c r="USJ3" s="3404"/>
      <c r="USK3" s="3404"/>
      <c r="USL3" s="3404"/>
      <c r="USM3" s="3404"/>
      <c r="USN3" s="3404"/>
      <c r="USO3" s="3404"/>
      <c r="USP3" s="3404"/>
      <c r="USQ3" s="3404"/>
      <c r="USR3" s="3404"/>
      <c r="USS3" s="3404"/>
      <c r="UST3" s="3404"/>
      <c r="USU3" s="3404"/>
      <c r="USV3" s="3404"/>
      <c r="USW3" s="3404"/>
      <c r="USX3" s="3404"/>
      <c r="USY3" s="3404"/>
      <c r="USZ3" s="3404"/>
      <c r="UTA3" s="3404"/>
      <c r="UTB3" s="3404"/>
      <c r="UTC3" s="3404"/>
      <c r="UTD3" s="3404"/>
      <c r="UTE3" s="3404"/>
      <c r="UTF3" s="3404"/>
      <c r="UTG3" s="3404"/>
      <c r="UTH3" s="3404"/>
      <c r="UTI3" s="3404"/>
      <c r="UTJ3" s="3404"/>
      <c r="UTK3" s="3404"/>
      <c r="UTL3" s="3404"/>
      <c r="UTM3" s="3404"/>
      <c r="UTN3" s="3404"/>
      <c r="UTO3" s="3404"/>
      <c r="UTP3" s="3404"/>
      <c r="UTQ3" s="3404"/>
      <c r="UTR3" s="3404"/>
      <c r="UTS3" s="3404"/>
      <c r="UTT3" s="3404"/>
      <c r="UTU3" s="3404"/>
      <c r="UTV3" s="3404"/>
      <c r="UTW3" s="3404"/>
      <c r="UTX3" s="3404"/>
      <c r="UTY3" s="3404"/>
      <c r="UTZ3" s="3404"/>
      <c r="UUA3" s="3404"/>
      <c r="UUB3" s="3404"/>
      <c r="UUC3" s="3404"/>
      <c r="UUD3" s="3404"/>
      <c r="UUE3" s="3404"/>
      <c r="UUF3" s="3404"/>
      <c r="UUG3" s="3404"/>
      <c r="UUH3" s="3404"/>
      <c r="UUI3" s="3404"/>
      <c r="UUJ3" s="3404"/>
      <c r="UUK3" s="3404"/>
      <c r="UUL3" s="3404"/>
      <c r="UUM3" s="3404"/>
      <c r="UUN3" s="3404"/>
      <c r="UUO3" s="3404"/>
      <c r="UUP3" s="3404"/>
      <c r="UUQ3" s="3404"/>
      <c r="UUR3" s="3404"/>
      <c r="UUS3" s="3404"/>
      <c r="UUT3" s="3404"/>
      <c r="UUU3" s="3404"/>
      <c r="UUV3" s="3404"/>
      <c r="UUW3" s="3404"/>
      <c r="UUX3" s="3404"/>
      <c r="UUY3" s="3404"/>
      <c r="UUZ3" s="3404"/>
      <c r="UVA3" s="3404"/>
      <c r="UVB3" s="3404"/>
      <c r="UVC3" s="3404"/>
      <c r="UVD3" s="3404"/>
      <c r="UVE3" s="3404"/>
      <c r="UVF3" s="3404"/>
      <c r="UVG3" s="3404"/>
      <c r="UVH3" s="3404"/>
      <c r="UVI3" s="3404"/>
      <c r="UVJ3" s="3404"/>
      <c r="UVK3" s="3404"/>
      <c r="UVL3" s="3404"/>
      <c r="UVM3" s="3404"/>
      <c r="UVN3" s="3404"/>
      <c r="UVO3" s="3404"/>
      <c r="UVP3" s="3404"/>
      <c r="UVQ3" s="3404"/>
      <c r="UVR3" s="3404"/>
      <c r="UVS3" s="3404"/>
      <c r="UVT3" s="3404"/>
      <c r="UVU3" s="3404"/>
      <c r="UVV3" s="3404"/>
      <c r="UVW3" s="3404"/>
      <c r="UVX3" s="3404"/>
      <c r="UVY3" s="3404"/>
      <c r="UVZ3" s="3404"/>
      <c r="UWA3" s="3404"/>
      <c r="UWB3" s="3404"/>
      <c r="UWC3" s="3404"/>
      <c r="UWD3" s="3404"/>
      <c r="UWE3" s="3404"/>
      <c r="UWF3" s="3404"/>
      <c r="UWG3" s="3404"/>
      <c r="UWH3" s="3404"/>
      <c r="UWI3" s="3404"/>
      <c r="UWJ3" s="3404"/>
      <c r="UWK3" s="3404"/>
      <c r="UWL3" s="3404"/>
      <c r="UWM3" s="3404"/>
      <c r="UWN3" s="3404"/>
      <c r="UWO3" s="3404"/>
      <c r="UWP3" s="3404"/>
      <c r="UWQ3" s="3404"/>
      <c r="UWR3" s="3404"/>
      <c r="UWS3" s="3404"/>
      <c r="UWT3" s="3404"/>
      <c r="UWU3" s="3404"/>
      <c r="UWV3" s="3404"/>
      <c r="UWW3" s="3404"/>
      <c r="UWX3" s="3404"/>
      <c r="UWY3" s="3404"/>
      <c r="UWZ3" s="3404"/>
      <c r="UXA3" s="3404"/>
      <c r="UXB3" s="3404"/>
      <c r="UXC3" s="3404"/>
      <c r="UXD3" s="3404"/>
      <c r="UXE3" s="3404"/>
      <c r="UXF3" s="3404"/>
      <c r="UXG3" s="3404"/>
      <c r="UXH3" s="3404"/>
      <c r="UXI3" s="3404"/>
      <c r="UXJ3" s="3404"/>
      <c r="UXK3" s="3404"/>
      <c r="UXL3" s="3404"/>
      <c r="UXM3" s="3404"/>
      <c r="UXN3" s="3404"/>
      <c r="UXO3" s="3404"/>
      <c r="UXP3" s="3404"/>
      <c r="UXQ3" s="3404"/>
      <c r="UXR3" s="3404"/>
      <c r="UXS3" s="3404"/>
      <c r="UXT3" s="3404"/>
      <c r="UXU3" s="3404"/>
      <c r="UXV3" s="3404"/>
      <c r="UXW3" s="3404"/>
      <c r="UXX3" s="3404"/>
      <c r="UXY3" s="3404"/>
      <c r="UXZ3" s="3404"/>
      <c r="UYA3" s="3404"/>
      <c r="UYB3" s="3404"/>
      <c r="UYC3" s="3404"/>
      <c r="UYD3" s="3404"/>
      <c r="UYE3" s="3404"/>
      <c r="UYF3" s="3404"/>
      <c r="UYG3" s="3404"/>
      <c r="UYH3" s="3404"/>
      <c r="UYI3" s="3404"/>
      <c r="UYJ3" s="3404"/>
      <c r="UYK3" s="3404"/>
      <c r="UYL3" s="3404"/>
      <c r="UYM3" s="3404"/>
      <c r="UYN3" s="3404"/>
      <c r="UYO3" s="3404"/>
      <c r="UYP3" s="3404"/>
      <c r="UYQ3" s="3404"/>
      <c r="UYR3" s="3404"/>
      <c r="UYS3" s="3404"/>
      <c r="UYT3" s="3404"/>
      <c r="UYU3" s="3404"/>
      <c r="UYV3" s="3404"/>
      <c r="UYW3" s="3404"/>
      <c r="UYX3" s="3404"/>
      <c r="UYY3" s="3404"/>
      <c r="UYZ3" s="3404"/>
      <c r="UZA3" s="3404"/>
      <c r="UZB3" s="3404"/>
      <c r="UZC3" s="3404"/>
      <c r="UZD3" s="3404"/>
      <c r="UZE3" s="3404"/>
      <c r="UZF3" s="3404"/>
      <c r="UZG3" s="3404"/>
      <c r="UZH3" s="3404"/>
      <c r="UZI3" s="3404"/>
      <c r="UZJ3" s="3404"/>
      <c r="UZK3" s="3404"/>
      <c r="UZL3" s="3404"/>
      <c r="UZM3" s="3404"/>
      <c r="UZN3" s="3404"/>
      <c r="UZO3" s="3404"/>
      <c r="UZP3" s="3404"/>
      <c r="UZQ3" s="3404"/>
      <c r="UZR3" s="3404"/>
      <c r="UZS3" s="3404"/>
      <c r="UZT3" s="3404"/>
      <c r="UZU3" s="3404"/>
      <c r="UZV3" s="3404"/>
      <c r="UZW3" s="3404"/>
      <c r="UZX3" s="3404"/>
      <c r="UZY3" s="3404"/>
      <c r="UZZ3" s="3404"/>
      <c r="VAA3" s="3404"/>
      <c r="VAB3" s="3404"/>
      <c r="VAC3" s="3404"/>
      <c r="VAD3" s="3404"/>
      <c r="VAE3" s="3404"/>
      <c r="VAF3" s="3404"/>
      <c r="VAG3" s="3404"/>
      <c r="VAH3" s="3404"/>
      <c r="VAI3" s="3404"/>
      <c r="VAJ3" s="3404"/>
      <c r="VAK3" s="3404"/>
      <c r="VAL3" s="3404"/>
      <c r="VAM3" s="3404"/>
      <c r="VAN3" s="3404"/>
      <c r="VAO3" s="3404"/>
      <c r="VAP3" s="3404"/>
      <c r="VAQ3" s="3404"/>
      <c r="VAR3" s="3404"/>
      <c r="VAS3" s="3404"/>
      <c r="VAT3" s="3404"/>
      <c r="VAU3" s="3404"/>
      <c r="VAV3" s="3404"/>
      <c r="VAW3" s="3404"/>
      <c r="VAX3" s="3404"/>
      <c r="VAY3" s="3404"/>
      <c r="VAZ3" s="3404"/>
      <c r="VBA3" s="3404"/>
      <c r="VBB3" s="3404"/>
      <c r="VBC3" s="3404"/>
      <c r="VBD3" s="3404"/>
      <c r="VBE3" s="3404"/>
      <c r="VBF3" s="3404"/>
      <c r="VBG3" s="3404"/>
      <c r="VBH3" s="3404"/>
      <c r="VBI3" s="3404"/>
      <c r="VBJ3" s="3404"/>
      <c r="VBK3" s="3404"/>
      <c r="VBL3" s="3404"/>
      <c r="VBM3" s="3404"/>
      <c r="VBN3" s="3404"/>
      <c r="VBO3" s="3404"/>
      <c r="VBP3" s="3404"/>
      <c r="VBQ3" s="3404"/>
      <c r="VBR3" s="3404"/>
      <c r="VBS3" s="3404"/>
      <c r="VBT3" s="3404"/>
      <c r="VBU3" s="3404"/>
      <c r="VBV3" s="3404"/>
      <c r="VBW3" s="3404"/>
      <c r="VBX3" s="3404"/>
      <c r="VBY3" s="3404"/>
      <c r="VBZ3" s="3404"/>
      <c r="VCA3" s="3404"/>
      <c r="VCB3" s="3404"/>
      <c r="VCC3" s="3404"/>
      <c r="VCD3" s="3404"/>
      <c r="VCE3" s="3404"/>
      <c r="VCF3" s="3404"/>
      <c r="VCG3" s="3404"/>
      <c r="VCH3" s="3404"/>
      <c r="VCI3" s="3404"/>
      <c r="VCJ3" s="3404"/>
      <c r="VCK3" s="3404"/>
      <c r="VCL3" s="3404"/>
      <c r="VCM3" s="3404"/>
      <c r="VCN3" s="3404"/>
      <c r="VCO3" s="3404"/>
      <c r="VCP3" s="3404"/>
      <c r="VCQ3" s="3404"/>
      <c r="VCR3" s="3404"/>
      <c r="VCS3" s="3404"/>
      <c r="VCT3" s="3404"/>
      <c r="VCU3" s="3404"/>
      <c r="VCV3" s="3404"/>
      <c r="VCW3" s="3404"/>
      <c r="VCX3" s="3404"/>
      <c r="VCY3" s="3404"/>
      <c r="VCZ3" s="3404"/>
      <c r="VDA3" s="3404"/>
      <c r="VDB3" s="3404"/>
      <c r="VDC3" s="3404"/>
      <c r="VDD3" s="3404"/>
      <c r="VDE3" s="3404"/>
      <c r="VDF3" s="3404"/>
      <c r="VDG3" s="3404"/>
      <c r="VDH3" s="3404"/>
      <c r="VDI3" s="3404"/>
      <c r="VDJ3" s="3404"/>
      <c r="VDK3" s="3404"/>
      <c r="VDL3" s="3404"/>
      <c r="VDM3" s="3404"/>
      <c r="VDN3" s="3404"/>
      <c r="VDO3" s="3404"/>
      <c r="VDP3" s="3404"/>
      <c r="VDQ3" s="3404"/>
      <c r="VDR3" s="3404"/>
      <c r="VDS3" s="3404"/>
      <c r="VDT3" s="3404"/>
      <c r="VDU3" s="3404"/>
      <c r="VDV3" s="3404"/>
      <c r="VDW3" s="3404"/>
      <c r="VDX3" s="3404"/>
      <c r="VDY3" s="3404"/>
      <c r="VDZ3" s="3404"/>
      <c r="VEA3" s="3404"/>
      <c r="VEB3" s="3404"/>
      <c r="VEC3" s="3404"/>
      <c r="VED3" s="3404"/>
      <c r="VEE3" s="3404"/>
      <c r="VEF3" s="3404"/>
      <c r="VEG3" s="3404"/>
      <c r="VEH3" s="3404"/>
      <c r="VEI3" s="3404"/>
      <c r="VEJ3" s="3404"/>
      <c r="VEK3" s="3404"/>
      <c r="VEL3" s="3404"/>
      <c r="VEM3" s="3404"/>
      <c r="VEN3" s="3404"/>
      <c r="VEO3" s="3404"/>
      <c r="VEP3" s="3404"/>
      <c r="VEQ3" s="3404"/>
      <c r="VER3" s="3404"/>
      <c r="VES3" s="3404"/>
      <c r="VET3" s="3404"/>
      <c r="VEU3" s="3404"/>
      <c r="VEV3" s="3404"/>
      <c r="VEW3" s="3404"/>
      <c r="VEX3" s="3404"/>
      <c r="VEY3" s="3404"/>
      <c r="VEZ3" s="3404"/>
      <c r="VFA3" s="3404"/>
      <c r="VFB3" s="3404"/>
      <c r="VFC3" s="3404"/>
      <c r="VFD3" s="3404"/>
      <c r="VFE3" s="3404"/>
      <c r="VFF3" s="3404"/>
      <c r="VFG3" s="3404"/>
      <c r="VFH3" s="3404"/>
      <c r="VFI3" s="3404"/>
      <c r="VFJ3" s="3404"/>
      <c r="VFK3" s="3404"/>
      <c r="VFL3" s="3404"/>
      <c r="VFM3" s="3404"/>
      <c r="VFN3" s="3404"/>
      <c r="VFO3" s="3404"/>
      <c r="VFP3" s="3404"/>
      <c r="VFQ3" s="3404"/>
      <c r="VFR3" s="3404"/>
      <c r="VFS3" s="3404"/>
      <c r="VFT3" s="3404"/>
      <c r="VFU3" s="3404"/>
      <c r="VFV3" s="3404"/>
      <c r="VFW3" s="3404"/>
      <c r="VFX3" s="3404"/>
      <c r="VFY3" s="3404"/>
      <c r="VFZ3" s="3404"/>
      <c r="VGA3" s="3404"/>
      <c r="VGB3" s="3404"/>
      <c r="VGC3" s="3404"/>
      <c r="VGD3" s="3404"/>
      <c r="VGE3" s="3404"/>
      <c r="VGF3" s="3404"/>
      <c r="VGG3" s="3404"/>
      <c r="VGH3" s="3404"/>
      <c r="VGI3" s="3404"/>
      <c r="VGJ3" s="3404"/>
      <c r="VGK3" s="3404"/>
      <c r="VGL3" s="3404"/>
      <c r="VGM3" s="3404"/>
      <c r="VGN3" s="3404"/>
      <c r="VGO3" s="3404"/>
      <c r="VGP3" s="3404"/>
      <c r="VGQ3" s="3404"/>
      <c r="VGR3" s="3404"/>
      <c r="VGS3" s="3404"/>
      <c r="VGT3" s="3404"/>
      <c r="VGU3" s="3404"/>
      <c r="VGV3" s="3404"/>
      <c r="VGW3" s="3404"/>
      <c r="VGX3" s="3404"/>
      <c r="VGY3" s="3404"/>
      <c r="VGZ3" s="3404"/>
      <c r="VHA3" s="3404"/>
      <c r="VHB3" s="3404"/>
      <c r="VHC3" s="3404"/>
      <c r="VHD3" s="3404"/>
      <c r="VHE3" s="3404"/>
      <c r="VHF3" s="3404"/>
      <c r="VHG3" s="3404"/>
      <c r="VHH3" s="3404"/>
      <c r="VHI3" s="3404"/>
      <c r="VHJ3" s="3404"/>
      <c r="VHK3" s="3404"/>
      <c r="VHL3" s="3404"/>
      <c r="VHM3" s="3404"/>
      <c r="VHN3" s="3404"/>
      <c r="VHO3" s="3404"/>
      <c r="VHP3" s="3404"/>
      <c r="VHQ3" s="3404"/>
      <c r="VHR3" s="3404"/>
      <c r="VHS3" s="3404"/>
      <c r="VHT3" s="3404"/>
      <c r="VHU3" s="3404"/>
      <c r="VHV3" s="3404"/>
      <c r="VHW3" s="3404"/>
      <c r="VHX3" s="3404"/>
      <c r="VHY3" s="3404"/>
      <c r="VHZ3" s="3404"/>
      <c r="VIA3" s="3404"/>
      <c r="VIB3" s="3404"/>
      <c r="VIC3" s="3404"/>
      <c r="VID3" s="3404"/>
      <c r="VIE3" s="3404"/>
      <c r="VIF3" s="3404"/>
      <c r="VIG3" s="3404"/>
      <c r="VIH3" s="3404"/>
      <c r="VII3" s="3404"/>
      <c r="VIJ3" s="3404"/>
      <c r="VIK3" s="3404"/>
      <c r="VIL3" s="3404"/>
      <c r="VIM3" s="3404"/>
      <c r="VIN3" s="3404"/>
      <c r="VIO3" s="3404"/>
      <c r="VIP3" s="3404"/>
      <c r="VIQ3" s="3404"/>
      <c r="VIR3" s="3404"/>
      <c r="VIS3" s="3404"/>
      <c r="VIT3" s="3404"/>
      <c r="VIU3" s="3404"/>
      <c r="VIV3" s="3404"/>
      <c r="VIW3" s="3404"/>
      <c r="VIX3" s="3404"/>
      <c r="VIY3" s="3404"/>
      <c r="VIZ3" s="3404"/>
      <c r="VJA3" s="3404"/>
      <c r="VJB3" s="3404"/>
      <c r="VJC3" s="3404"/>
      <c r="VJD3" s="3404"/>
      <c r="VJE3" s="3404"/>
      <c r="VJF3" s="3404"/>
      <c r="VJG3" s="3404"/>
      <c r="VJH3" s="3404"/>
      <c r="VJI3" s="3404"/>
      <c r="VJJ3" s="3404"/>
      <c r="VJK3" s="3404"/>
      <c r="VJL3" s="3404"/>
      <c r="VJM3" s="3404"/>
      <c r="VJN3" s="3404"/>
      <c r="VJO3" s="3404"/>
      <c r="VJP3" s="3404"/>
      <c r="VJQ3" s="3404"/>
      <c r="VJR3" s="3404"/>
      <c r="VJS3" s="3404"/>
      <c r="VJT3" s="3404"/>
      <c r="VJU3" s="3404"/>
      <c r="VJV3" s="3404"/>
      <c r="VJW3" s="3404"/>
      <c r="VJX3" s="3404"/>
      <c r="VJY3" s="3404"/>
      <c r="VJZ3" s="3404"/>
      <c r="VKA3" s="3404"/>
      <c r="VKB3" s="3404"/>
      <c r="VKC3" s="3404"/>
      <c r="VKD3" s="3404"/>
      <c r="VKE3" s="3404"/>
      <c r="VKF3" s="3404"/>
      <c r="VKG3" s="3404"/>
      <c r="VKH3" s="3404"/>
      <c r="VKI3" s="3404"/>
      <c r="VKJ3" s="3404"/>
      <c r="VKK3" s="3404"/>
      <c r="VKL3" s="3404"/>
      <c r="VKM3" s="3404"/>
      <c r="VKN3" s="3404"/>
      <c r="VKO3" s="3404"/>
      <c r="VKP3" s="3404"/>
      <c r="VKQ3" s="3404"/>
      <c r="VKR3" s="3404"/>
      <c r="VKS3" s="3404"/>
      <c r="VKT3" s="3404"/>
      <c r="VKU3" s="3404"/>
      <c r="VKV3" s="3404"/>
      <c r="VKW3" s="3404"/>
      <c r="VKX3" s="3404"/>
      <c r="VKY3" s="3404"/>
      <c r="VKZ3" s="3404"/>
      <c r="VLA3" s="3404"/>
      <c r="VLB3" s="3404"/>
      <c r="VLC3" s="3404"/>
      <c r="VLD3" s="3404"/>
      <c r="VLE3" s="3404"/>
      <c r="VLF3" s="3404"/>
      <c r="VLG3" s="3404"/>
      <c r="VLH3" s="3404"/>
      <c r="VLI3" s="3404"/>
      <c r="VLJ3" s="3404"/>
      <c r="VLK3" s="3404"/>
      <c r="VLL3" s="3404"/>
      <c r="VLM3" s="3404"/>
      <c r="VLN3" s="3404"/>
      <c r="VLO3" s="3404"/>
      <c r="VLP3" s="3404"/>
      <c r="VLQ3" s="3404"/>
      <c r="VLR3" s="3404"/>
      <c r="VLS3" s="3404"/>
      <c r="VLT3" s="3404"/>
      <c r="VLU3" s="3404"/>
      <c r="VLV3" s="3404"/>
      <c r="VLW3" s="3404"/>
      <c r="VLX3" s="3404"/>
      <c r="VLY3" s="3404"/>
      <c r="VLZ3" s="3404"/>
      <c r="VMA3" s="3404"/>
      <c r="VMB3" s="3404"/>
      <c r="VMC3" s="3404"/>
      <c r="VMD3" s="3404"/>
      <c r="VME3" s="3404"/>
      <c r="VMF3" s="3404"/>
      <c r="VMG3" s="3404"/>
      <c r="VMH3" s="3404"/>
      <c r="VMI3" s="3404"/>
      <c r="VMJ3" s="3404"/>
      <c r="VMK3" s="3404"/>
      <c r="VML3" s="3404"/>
      <c r="VMM3" s="3404"/>
      <c r="VMN3" s="3404"/>
      <c r="VMO3" s="3404"/>
      <c r="VMP3" s="3404"/>
      <c r="VMQ3" s="3404"/>
      <c r="VMR3" s="3404"/>
      <c r="VMS3" s="3404"/>
      <c r="VMT3" s="3404"/>
      <c r="VMU3" s="3404"/>
      <c r="VMV3" s="3404"/>
      <c r="VMW3" s="3404"/>
      <c r="VMX3" s="3404"/>
      <c r="VMY3" s="3404"/>
      <c r="VMZ3" s="3404"/>
      <c r="VNA3" s="3404"/>
      <c r="VNB3" s="3404"/>
      <c r="VNC3" s="3404"/>
      <c r="VND3" s="3404"/>
      <c r="VNE3" s="3404"/>
      <c r="VNF3" s="3404"/>
      <c r="VNG3" s="3404"/>
      <c r="VNH3" s="3404"/>
      <c r="VNI3" s="3404"/>
      <c r="VNJ3" s="3404"/>
      <c r="VNK3" s="3404"/>
      <c r="VNL3" s="3404"/>
      <c r="VNM3" s="3404"/>
      <c r="VNN3" s="3404"/>
      <c r="VNO3" s="3404"/>
      <c r="VNP3" s="3404"/>
      <c r="VNQ3" s="3404"/>
      <c r="VNR3" s="3404"/>
      <c r="VNS3" s="3404"/>
      <c r="VNT3" s="3404"/>
      <c r="VNU3" s="3404"/>
      <c r="VNV3" s="3404"/>
      <c r="VNW3" s="3404"/>
      <c r="VNX3" s="3404"/>
      <c r="VNY3" s="3404"/>
      <c r="VNZ3" s="3404"/>
      <c r="VOA3" s="3404"/>
      <c r="VOB3" s="3404"/>
      <c r="VOC3" s="3404"/>
      <c r="VOD3" s="3404"/>
      <c r="VOE3" s="3404"/>
      <c r="VOF3" s="3404"/>
      <c r="VOG3" s="3404"/>
      <c r="VOH3" s="3404"/>
      <c r="VOI3" s="3404"/>
      <c r="VOJ3" s="3404"/>
      <c r="VOK3" s="3404"/>
      <c r="VOL3" s="3404"/>
      <c r="VOM3" s="3404"/>
      <c r="VON3" s="3404"/>
      <c r="VOO3" s="3404"/>
      <c r="VOP3" s="3404"/>
      <c r="VOQ3" s="3404"/>
      <c r="VOR3" s="3404"/>
      <c r="VOS3" s="3404"/>
      <c r="VOT3" s="3404"/>
      <c r="VOU3" s="3404"/>
      <c r="VOV3" s="3404"/>
      <c r="VOW3" s="3404"/>
      <c r="VOX3" s="3404"/>
      <c r="VOY3" s="3404"/>
      <c r="VOZ3" s="3404"/>
      <c r="VPA3" s="3404"/>
      <c r="VPB3" s="3404"/>
      <c r="VPC3" s="3404"/>
      <c r="VPD3" s="3404"/>
      <c r="VPE3" s="3404"/>
      <c r="VPF3" s="3404"/>
      <c r="VPG3" s="3404"/>
      <c r="VPH3" s="3404"/>
      <c r="VPI3" s="3404"/>
      <c r="VPJ3" s="3404"/>
      <c r="VPK3" s="3404"/>
      <c r="VPL3" s="3404"/>
      <c r="VPM3" s="3404"/>
      <c r="VPN3" s="3404"/>
      <c r="VPO3" s="3404"/>
      <c r="VPP3" s="3404"/>
      <c r="VPQ3" s="3404"/>
      <c r="VPR3" s="3404"/>
      <c r="VPS3" s="3404"/>
      <c r="VPT3" s="3404"/>
      <c r="VPU3" s="3404"/>
      <c r="VPV3" s="3404"/>
      <c r="VPW3" s="3404"/>
      <c r="VPX3" s="3404"/>
      <c r="VPY3" s="3404"/>
      <c r="VPZ3" s="3404"/>
      <c r="VQA3" s="3404"/>
      <c r="VQB3" s="3404"/>
      <c r="VQC3" s="3404"/>
      <c r="VQD3" s="3404"/>
      <c r="VQE3" s="3404"/>
      <c r="VQF3" s="3404"/>
      <c r="VQG3" s="3404"/>
      <c r="VQH3" s="3404"/>
      <c r="VQI3" s="3404"/>
      <c r="VQJ3" s="3404"/>
      <c r="VQK3" s="3404"/>
      <c r="VQL3" s="3404"/>
      <c r="VQM3" s="3404"/>
      <c r="VQN3" s="3404"/>
      <c r="VQO3" s="3404"/>
      <c r="VQP3" s="3404"/>
      <c r="VQQ3" s="3404"/>
      <c r="VQR3" s="3404"/>
      <c r="VQS3" s="3404"/>
      <c r="VQT3" s="3404"/>
      <c r="VQU3" s="3404"/>
      <c r="VQV3" s="3404"/>
      <c r="VQW3" s="3404"/>
      <c r="VQX3" s="3404"/>
      <c r="VQY3" s="3404"/>
      <c r="VQZ3" s="3404"/>
      <c r="VRA3" s="3404"/>
      <c r="VRB3" s="3404"/>
      <c r="VRC3" s="3404"/>
      <c r="VRD3" s="3404"/>
      <c r="VRE3" s="3404"/>
      <c r="VRF3" s="3404"/>
      <c r="VRG3" s="3404"/>
      <c r="VRH3" s="3404"/>
      <c r="VRI3" s="3404"/>
      <c r="VRJ3" s="3404"/>
      <c r="VRK3" s="3404"/>
      <c r="VRL3" s="3404"/>
      <c r="VRM3" s="3404"/>
      <c r="VRN3" s="3404"/>
      <c r="VRO3" s="3404"/>
      <c r="VRP3" s="3404"/>
      <c r="VRQ3" s="3404"/>
      <c r="VRR3" s="3404"/>
      <c r="VRS3" s="3404"/>
      <c r="VRT3" s="3404"/>
      <c r="VRU3" s="3404"/>
      <c r="VRV3" s="3404"/>
      <c r="VRW3" s="3404"/>
      <c r="VRX3" s="3404"/>
      <c r="VRY3" s="3404"/>
      <c r="VRZ3" s="3404"/>
      <c r="VSA3" s="3404"/>
      <c r="VSB3" s="3404"/>
      <c r="VSC3" s="3404"/>
      <c r="VSD3" s="3404"/>
      <c r="VSE3" s="3404"/>
      <c r="VSF3" s="3404"/>
      <c r="VSG3" s="3404"/>
      <c r="VSH3" s="3404"/>
      <c r="VSI3" s="3404"/>
      <c r="VSJ3" s="3404"/>
      <c r="VSK3" s="3404"/>
      <c r="VSL3" s="3404"/>
      <c r="VSM3" s="3404"/>
      <c r="VSN3" s="3404"/>
      <c r="VSO3" s="3404"/>
      <c r="VSP3" s="3404"/>
      <c r="VSQ3" s="3404"/>
      <c r="VSR3" s="3404"/>
      <c r="VSS3" s="3404"/>
      <c r="VST3" s="3404"/>
      <c r="VSU3" s="3404"/>
      <c r="VSV3" s="3404"/>
      <c r="VSW3" s="3404"/>
      <c r="VSX3" s="3404"/>
      <c r="VSY3" s="3404"/>
      <c r="VSZ3" s="3404"/>
      <c r="VTA3" s="3404"/>
      <c r="VTB3" s="3404"/>
      <c r="VTC3" s="3404"/>
      <c r="VTD3" s="3404"/>
      <c r="VTE3" s="3404"/>
      <c r="VTF3" s="3404"/>
      <c r="VTG3" s="3404"/>
      <c r="VTH3" s="3404"/>
      <c r="VTI3" s="3404"/>
      <c r="VTJ3" s="3404"/>
      <c r="VTK3" s="3404"/>
      <c r="VTL3" s="3404"/>
      <c r="VTM3" s="3404"/>
      <c r="VTN3" s="3404"/>
      <c r="VTO3" s="3404"/>
      <c r="VTP3" s="3404"/>
      <c r="VTQ3" s="3404"/>
      <c r="VTR3" s="3404"/>
      <c r="VTS3" s="3404"/>
      <c r="VTT3" s="3404"/>
      <c r="VTU3" s="3404"/>
      <c r="VTV3" s="3404"/>
      <c r="VTW3" s="3404"/>
      <c r="VTX3" s="3404"/>
      <c r="VTY3" s="3404"/>
      <c r="VTZ3" s="3404"/>
      <c r="VUA3" s="3404"/>
      <c r="VUB3" s="3404"/>
      <c r="VUC3" s="3404"/>
      <c r="VUD3" s="3404"/>
      <c r="VUE3" s="3404"/>
      <c r="VUF3" s="3404"/>
      <c r="VUG3" s="3404"/>
      <c r="VUH3" s="3404"/>
      <c r="VUI3" s="3404"/>
      <c r="VUJ3" s="3404"/>
      <c r="VUK3" s="3404"/>
      <c r="VUL3" s="3404"/>
      <c r="VUM3" s="3404"/>
      <c r="VUN3" s="3404"/>
      <c r="VUO3" s="3404"/>
      <c r="VUP3" s="3404"/>
      <c r="VUQ3" s="3404"/>
      <c r="VUR3" s="3404"/>
      <c r="VUS3" s="3404"/>
      <c r="VUT3" s="3404"/>
      <c r="VUU3" s="3404"/>
      <c r="VUV3" s="3404"/>
      <c r="VUW3" s="3404"/>
      <c r="VUX3" s="3404"/>
      <c r="VUY3" s="3404"/>
      <c r="VUZ3" s="3404"/>
      <c r="VVA3" s="3404"/>
      <c r="VVB3" s="3404"/>
      <c r="VVC3" s="3404"/>
      <c r="VVD3" s="3404"/>
      <c r="VVE3" s="3404"/>
      <c r="VVF3" s="3404"/>
      <c r="VVG3" s="3404"/>
      <c r="VVH3" s="3404"/>
      <c r="VVI3" s="3404"/>
      <c r="VVJ3" s="3404"/>
      <c r="VVK3" s="3404"/>
      <c r="VVL3" s="3404"/>
      <c r="VVM3" s="3404"/>
      <c r="VVN3" s="3404"/>
      <c r="VVO3" s="3404"/>
      <c r="VVP3" s="3404"/>
      <c r="VVQ3" s="3404"/>
      <c r="VVR3" s="3404"/>
      <c r="VVS3" s="3404"/>
      <c r="VVT3" s="3404"/>
      <c r="VVU3" s="3404"/>
      <c r="VVV3" s="3404"/>
      <c r="VVW3" s="3404"/>
      <c r="VVX3" s="3404"/>
      <c r="VVY3" s="3404"/>
      <c r="VVZ3" s="3404"/>
      <c r="VWA3" s="3404"/>
      <c r="VWB3" s="3404"/>
      <c r="VWC3" s="3404"/>
      <c r="VWD3" s="3404"/>
      <c r="VWE3" s="3404"/>
      <c r="VWF3" s="3404"/>
      <c r="VWG3" s="3404"/>
      <c r="VWH3" s="3404"/>
      <c r="VWI3" s="3404"/>
      <c r="VWJ3" s="3404"/>
      <c r="VWK3" s="3404"/>
      <c r="VWL3" s="3404"/>
      <c r="VWM3" s="3404"/>
      <c r="VWN3" s="3404"/>
      <c r="VWO3" s="3404"/>
      <c r="VWP3" s="3404"/>
      <c r="VWQ3" s="3404"/>
      <c r="VWR3" s="3404"/>
      <c r="VWS3" s="3404"/>
      <c r="VWT3" s="3404"/>
      <c r="VWU3" s="3404"/>
      <c r="VWV3" s="3404"/>
      <c r="VWW3" s="3404"/>
      <c r="VWX3" s="3404"/>
      <c r="VWY3" s="3404"/>
      <c r="VWZ3" s="3404"/>
      <c r="VXA3" s="3404"/>
      <c r="VXB3" s="3404"/>
      <c r="VXC3" s="3404"/>
      <c r="VXD3" s="3404"/>
      <c r="VXE3" s="3404"/>
      <c r="VXF3" s="3404"/>
      <c r="VXG3" s="3404"/>
      <c r="VXH3" s="3404"/>
      <c r="VXI3" s="3404"/>
      <c r="VXJ3" s="3404"/>
      <c r="VXK3" s="3404"/>
      <c r="VXL3" s="3404"/>
      <c r="VXM3" s="3404"/>
      <c r="VXN3" s="3404"/>
      <c r="VXO3" s="3404"/>
      <c r="VXP3" s="3404"/>
      <c r="VXQ3" s="3404"/>
      <c r="VXR3" s="3404"/>
      <c r="VXS3" s="3404"/>
      <c r="VXT3" s="3404"/>
      <c r="VXU3" s="3404"/>
      <c r="VXV3" s="3404"/>
      <c r="VXW3" s="3404"/>
      <c r="VXX3" s="3404"/>
      <c r="VXY3" s="3404"/>
      <c r="VXZ3" s="3404"/>
      <c r="VYA3" s="3404"/>
      <c r="VYB3" s="3404"/>
      <c r="VYC3" s="3404"/>
      <c r="VYD3" s="3404"/>
      <c r="VYE3" s="3404"/>
      <c r="VYF3" s="3404"/>
      <c r="VYG3" s="3404"/>
      <c r="VYH3" s="3404"/>
      <c r="VYI3" s="3404"/>
      <c r="VYJ3" s="3404"/>
      <c r="VYK3" s="3404"/>
      <c r="VYL3" s="3404"/>
      <c r="VYM3" s="3404"/>
      <c r="VYN3" s="3404"/>
      <c r="VYO3" s="3404"/>
      <c r="VYP3" s="3404"/>
      <c r="VYQ3" s="3404"/>
      <c r="VYR3" s="3404"/>
      <c r="VYS3" s="3404"/>
      <c r="VYT3" s="3404"/>
      <c r="VYU3" s="3404"/>
      <c r="VYV3" s="3404"/>
      <c r="VYW3" s="3404"/>
      <c r="VYX3" s="3404"/>
      <c r="VYY3" s="3404"/>
      <c r="VYZ3" s="3404"/>
      <c r="VZA3" s="3404"/>
      <c r="VZB3" s="3404"/>
      <c r="VZC3" s="3404"/>
      <c r="VZD3" s="3404"/>
      <c r="VZE3" s="3404"/>
      <c r="VZF3" s="3404"/>
      <c r="VZG3" s="3404"/>
      <c r="VZH3" s="3404"/>
      <c r="VZI3" s="3404"/>
      <c r="VZJ3" s="3404"/>
      <c r="VZK3" s="3404"/>
      <c r="VZL3" s="3404"/>
      <c r="VZM3" s="3404"/>
      <c r="VZN3" s="3404"/>
      <c r="VZO3" s="3404"/>
      <c r="VZP3" s="3404"/>
      <c r="VZQ3" s="3404"/>
      <c r="VZR3" s="3404"/>
      <c r="VZS3" s="3404"/>
      <c r="VZT3" s="3404"/>
      <c r="VZU3" s="3404"/>
      <c r="VZV3" s="3404"/>
      <c r="VZW3" s="3404"/>
      <c r="VZX3" s="3404"/>
      <c r="VZY3" s="3404"/>
      <c r="VZZ3" s="3404"/>
      <c r="WAA3" s="3404"/>
      <c r="WAB3" s="3404"/>
      <c r="WAC3" s="3404"/>
      <c r="WAD3" s="3404"/>
      <c r="WAE3" s="3404"/>
      <c r="WAF3" s="3404"/>
      <c r="WAG3" s="3404"/>
      <c r="WAH3" s="3404"/>
      <c r="WAI3" s="3404"/>
      <c r="WAJ3" s="3404"/>
      <c r="WAK3" s="3404"/>
      <c r="WAL3" s="3404"/>
      <c r="WAM3" s="3404"/>
      <c r="WAN3" s="3404"/>
      <c r="WAO3" s="3404"/>
      <c r="WAP3" s="3404"/>
      <c r="WAQ3" s="3404"/>
      <c r="WAR3" s="3404"/>
      <c r="WAS3" s="3404"/>
      <c r="WAT3" s="3404"/>
      <c r="WAU3" s="3404"/>
      <c r="WAV3" s="3404"/>
      <c r="WAW3" s="3404"/>
      <c r="WAX3" s="3404"/>
      <c r="WAY3" s="3404"/>
      <c r="WAZ3" s="3404"/>
      <c r="WBA3" s="3404"/>
      <c r="WBB3" s="3404"/>
      <c r="WBC3" s="3404"/>
      <c r="WBD3" s="3404"/>
      <c r="WBE3" s="3404"/>
      <c r="WBF3" s="3404"/>
      <c r="WBG3" s="3404"/>
      <c r="WBH3" s="3404"/>
      <c r="WBI3" s="3404"/>
      <c r="WBJ3" s="3404"/>
      <c r="WBK3" s="3404"/>
      <c r="WBL3" s="3404"/>
      <c r="WBM3" s="3404"/>
      <c r="WBN3" s="3404"/>
      <c r="WBO3" s="3404"/>
      <c r="WBP3" s="3404"/>
      <c r="WBQ3" s="3404"/>
      <c r="WBR3" s="3404"/>
      <c r="WBS3" s="3404"/>
      <c r="WBT3" s="3404"/>
      <c r="WBU3" s="3404"/>
      <c r="WBV3" s="3404"/>
      <c r="WBW3" s="3404"/>
      <c r="WBX3" s="3404"/>
      <c r="WBY3" s="3404"/>
      <c r="WBZ3" s="3404"/>
      <c r="WCA3" s="3404"/>
      <c r="WCB3" s="3404"/>
      <c r="WCC3" s="3404"/>
      <c r="WCD3" s="3404"/>
      <c r="WCE3" s="3404"/>
      <c r="WCF3" s="3404"/>
      <c r="WCG3" s="3404"/>
      <c r="WCH3" s="3404"/>
      <c r="WCI3" s="3404"/>
      <c r="WCJ3" s="3404"/>
      <c r="WCK3" s="3404"/>
      <c r="WCL3" s="3404"/>
      <c r="WCM3" s="3404"/>
      <c r="WCN3" s="3404"/>
      <c r="WCO3" s="3404"/>
      <c r="WCP3" s="3404"/>
      <c r="WCQ3" s="3404"/>
      <c r="WCR3" s="3404"/>
      <c r="WCS3" s="3404"/>
      <c r="WCT3" s="3404"/>
      <c r="WCU3" s="3404"/>
      <c r="WCV3" s="3404"/>
      <c r="WCW3" s="3404"/>
      <c r="WCX3" s="3404"/>
      <c r="WCY3" s="3404"/>
      <c r="WCZ3" s="3404"/>
      <c r="WDA3" s="3404"/>
      <c r="WDB3" s="3404"/>
      <c r="WDC3" s="3404"/>
      <c r="WDD3" s="3404"/>
      <c r="WDE3" s="3404"/>
      <c r="WDF3" s="3404"/>
      <c r="WDG3" s="3404"/>
      <c r="WDH3" s="3404"/>
      <c r="WDI3" s="3404"/>
      <c r="WDJ3" s="3404"/>
      <c r="WDK3" s="3404"/>
      <c r="WDL3" s="3404"/>
      <c r="WDM3" s="3404"/>
      <c r="WDN3" s="3404"/>
      <c r="WDO3" s="3404"/>
      <c r="WDP3" s="3404"/>
      <c r="WDQ3" s="3404"/>
      <c r="WDR3" s="3404"/>
      <c r="WDS3" s="3404"/>
      <c r="WDT3" s="3404"/>
      <c r="WDU3" s="3404"/>
      <c r="WDV3" s="3404"/>
      <c r="WDW3" s="3404"/>
      <c r="WDX3" s="3404"/>
      <c r="WDY3" s="3404"/>
      <c r="WDZ3" s="3404"/>
      <c r="WEA3" s="3404"/>
      <c r="WEB3" s="3404"/>
      <c r="WEC3" s="3404"/>
      <c r="WED3" s="3404"/>
      <c r="WEE3" s="3404"/>
      <c r="WEF3" s="3404"/>
      <c r="WEG3" s="3404"/>
      <c r="WEH3" s="3404"/>
      <c r="WEI3" s="3404"/>
      <c r="WEJ3" s="3404"/>
      <c r="WEK3" s="3404"/>
      <c r="WEL3" s="3404"/>
      <c r="WEM3" s="3404"/>
      <c r="WEN3" s="3404"/>
      <c r="WEO3" s="3404"/>
      <c r="WEP3" s="3404"/>
      <c r="WEQ3" s="3404"/>
      <c r="WER3" s="3404"/>
      <c r="WES3" s="3404"/>
      <c r="WET3" s="3404"/>
      <c r="WEU3" s="3404"/>
      <c r="WEV3" s="3404"/>
      <c r="WEW3" s="3404"/>
      <c r="WEX3" s="3404"/>
      <c r="WEY3" s="3404"/>
      <c r="WEZ3" s="3404"/>
      <c r="WFA3" s="3404"/>
      <c r="WFB3" s="3404"/>
      <c r="WFC3" s="3404"/>
      <c r="WFD3" s="3404"/>
      <c r="WFE3" s="3404"/>
      <c r="WFF3" s="3404"/>
      <c r="WFG3" s="3404"/>
      <c r="WFH3" s="3404"/>
      <c r="WFI3" s="3404"/>
      <c r="WFJ3" s="3404"/>
      <c r="WFK3" s="3404"/>
      <c r="WFL3" s="3404"/>
      <c r="WFM3" s="3404"/>
      <c r="WFN3" s="3404"/>
      <c r="WFO3" s="3404"/>
      <c r="WFP3" s="3404"/>
      <c r="WFQ3" s="3404"/>
      <c r="WFR3" s="3404"/>
      <c r="WFS3" s="3404"/>
      <c r="WFT3" s="3404"/>
      <c r="WFU3" s="3404"/>
      <c r="WFV3" s="3404"/>
      <c r="WFW3" s="3404"/>
      <c r="WFX3" s="3404"/>
      <c r="WFY3" s="3404"/>
      <c r="WFZ3" s="3404"/>
      <c r="WGA3" s="3404"/>
      <c r="WGB3" s="3404"/>
      <c r="WGC3" s="3404"/>
      <c r="WGD3" s="3404"/>
      <c r="WGE3" s="3404"/>
      <c r="WGF3" s="3404"/>
      <c r="WGG3" s="3404"/>
      <c r="WGH3" s="3404"/>
      <c r="WGI3" s="3404"/>
      <c r="WGJ3" s="3404"/>
      <c r="WGK3" s="3404"/>
      <c r="WGL3" s="3404"/>
      <c r="WGM3" s="3404"/>
      <c r="WGN3" s="3404"/>
      <c r="WGO3" s="3404"/>
      <c r="WGP3" s="3404"/>
      <c r="WGQ3" s="3404"/>
      <c r="WGR3" s="3404"/>
      <c r="WGS3" s="3404"/>
      <c r="WGT3" s="3404"/>
      <c r="WGU3" s="3404"/>
      <c r="WGV3" s="3404"/>
      <c r="WGW3" s="3404"/>
      <c r="WGX3" s="3404"/>
      <c r="WGY3" s="3404"/>
      <c r="WGZ3" s="3404"/>
      <c r="WHA3" s="3404"/>
      <c r="WHB3" s="3404"/>
      <c r="WHC3" s="3404"/>
      <c r="WHD3" s="3404"/>
      <c r="WHE3" s="3404"/>
      <c r="WHF3" s="3404"/>
      <c r="WHG3" s="3404"/>
      <c r="WHH3" s="3404"/>
      <c r="WHI3" s="3404"/>
      <c r="WHJ3" s="3404"/>
      <c r="WHK3" s="3404"/>
      <c r="WHL3" s="3404"/>
      <c r="WHM3" s="3404"/>
      <c r="WHN3" s="3404"/>
      <c r="WHO3" s="3404"/>
      <c r="WHP3" s="3404"/>
      <c r="WHQ3" s="3404"/>
      <c r="WHR3" s="3404"/>
      <c r="WHS3" s="3404"/>
      <c r="WHT3" s="3404"/>
      <c r="WHU3" s="3404"/>
      <c r="WHV3" s="3404"/>
      <c r="WHW3" s="3404"/>
      <c r="WHX3" s="3404"/>
      <c r="WHY3" s="3404"/>
      <c r="WHZ3" s="3404"/>
      <c r="WIA3" s="3404"/>
      <c r="WIB3" s="3404"/>
      <c r="WIC3" s="3404"/>
      <c r="WID3" s="3404"/>
      <c r="WIE3" s="3404"/>
      <c r="WIF3" s="3404"/>
      <c r="WIG3" s="3404"/>
      <c r="WIH3" s="3404"/>
      <c r="WII3" s="3404"/>
      <c r="WIJ3" s="3404"/>
      <c r="WIK3" s="3404"/>
      <c r="WIL3" s="3404"/>
      <c r="WIM3" s="3404"/>
      <c r="WIN3" s="3404"/>
      <c r="WIO3" s="3404"/>
      <c r="WIP3" s="3404"/>
      <c r="WIQ3" s="3404"/>
      <c r="WIR3" s="3404"/>
      <c r="WIS3" s="3404"/>
      <c r="WIT3" s="3404"/>
      <c r="WIU3" s="3404"/>
      <c r="WIV3" s="3404"/>
      <c r="WIW3" s="3404"/>
      <c r="WIX3" s="3404"/>
      <c r="WIY3" s="3404"/>
      <c r="WIZ3" s="3404"/>
      <c r="WJA3" s="3404"/>
      <c r="WJB3" s="3404"/>
      <c r="WJC3" s="3404"/>
      <c r="WJD3" s="3404"/>
      <c r="WJE3" s="3404"/>
      <c r="WJF3" s="3404"/>
      <c r="WJG3" s="3404"/>
      <c r="WJH3" s="3404"/>
      <c r="WJI3" s="3404"/>
      <c r="WJJ3" s="3404"/>
      <c r="WJK3" s="3404"/>
      <c r="WJL3" s="3404"/>
      <c r="WJM3" s="3404"/>
      <c r="WJN3" s="3404"/>
      <c r="WJO3" s="3404"/>
      <c r="WJP3" s="3404"/>
      <c r="WJQ3" s="3404"/>
      <c r="WJR3" s="3404"/>
      <c r="WJS3" s="3404"/>
      <c r="WJT3" s="3404"/>
      <c r="WJU3" s="3404"/>
      <c r="WJV3" s="3404"/>
      <c r="WJW3" s="3404"/>
      <c r="WJX3" s="3404"/>
      <c r="WJY3" s="3404"/>
      <c r="WJZ3" s="3404"/>
      <c r="WKA3" s="3404"/>
      <c r="WKB3" s="3404"/>
      <c r="WKC3" s="3404"/>
      <c r="WKD3" s="3404"/>
      <c r="WKE3" s="3404"/>
      <c r="WKF3" s="3404"/>
      <c r="WKG3" s="3404"/>
      <c r="WKH3" s="3404"/>
      <c r="WKI3" s="3404"/>
      <c r="WKJ3" s="3404"/>
      <c r="WKK3" s="3404"/>
      <c r="WKL3" s="3404"/>
      <c r="WKM3" s="3404"/>
      <c r="WKN3" s="3404"/>
      <c r="WKO3" s="3404"/>
      <c r="WKP3" s="3404"/>
      <c r="WKQ3" s="3404"/>
      <c r="WKR3" s="3404"/>
      <c r="WKS3" s="3404"/>
      <c r="WKT3" s="3404"/>
      <c r="WKU3" s="3404"/>
      <c r="WKV3" s="3404"/>
      <c r="WKW3" s="3404"/>
      <c r="WKX3" s="3404"/>
      <c r="WKY3" s="3404"/>
      <c r="WKZ3" s="3404"/>
      <c r="WLA3" s="3404"/>
      <c r="WLB3" s="3404"/>
      <c r="WLC3" s="3404"/>
      <c r="WLD3" s="3404"/>
      <c r="WLE3" s="3404"/>
      <c r="WLF3" s="3404"/>
      <c r="WLG3" s="3404"/>
      <c r="WLH3" s="3404"/>
      <c r="WLI3" s="3404"/>
      <c r="WLJ3" s="3404"/>
      <c r="WLK3" s="3404"/>
      <c r="WLL3" s="3404"/>
      <c r="WLM3" s="3404"/>
      <c r="WLN3" s="3404"/>
      <c r="WLO3" s="3404"/>
      <c r="WLP3" s="3404"/>
      <c r="WLQ3" s="3404"/>
      <c r="WLR3" s="3404"/>
      <c r="WLS3" s="3404"/>
      <c r="WLT3" s="3404"/>
      <c r="WLU3" s="3404"/>
      <c r="WLV3" s="3404"/>
      <c r="WLW3" s="3404"/>
      <c r="WLX3" s="3404"/>
      <c r="WLY3" s="3404"/>
      <c r="WLZ3" s="3404"/>
      <c r="WMA3" s="3404"/>
      <c r="WMB3" s="3404"/>
      <c r="WMC3" s="3404"/>
      <c r="WMD3" s="3404"/>
      <c r="WME3" s="3404"/>
      <c r="WMF3" s="3404"/>
      <c r="WMG3" s="3404"/>
      <c r="WMH3" s="3404"/>
      <c r="WMI3" s="3404"/>
      <c r="WMJ3" s="3404"/>
      <c r="WMK3" s="3404"/>
      <c r="WML3" s="3404"/>
      <c r="WMM3" s="3404"/>
      <c r="WMN3" s="3404"/>
      <c r="WMO3" s="3404"/>
      <c r="WMP3" s="3404"/>
      <c r="WMQ3" s="3404"/>
      <c r="WMR3" s="3404"/>
      <c r="WMS3" s="3404"/>
      <c r="WMT3" s="3404"/>
      <c r="WMU3" s="3404"/>
      <c r="WMV3" s="3404"/>
      <c r="WMW3" s="3404"/>
      <c r="WMX3" s="3404"/>
      <c r="WMY3" s="3404"/>
      <c r="WMZ3" s="3404"/>
      <c r="WNA3" s="3404"/>
      <c r="WNB3" s="3404"/>
      <c r="WNC3" s="3404"/>
      <c r="WND3" s="3404"/>
      <c r="WNE3" s="3404"/>
      <c r="WNF3" s="3404"/>
      <c r="WNG3" s="3404"/>
      <c r="WNH3" s="3404"/>
      <c r="WNI3" s="3404"/>
      <c r="WNJ3" s="3404"/>
      <c r="WNK3" s="3404"/>
      <c r="WNL3" s="3404"/>
      <c r="WNM3" s="3404"/>
      <c r="WNN3" s="3404"/>
      <c r="WNO3" s="3404"/>
      <c r="WNP3" s="3404"/>
      <c r="WNQ3" s="3404"/>
      <c r="WNR3" s="3404"/>
      <c r="WNS3" s="3404"/>
      <c r="WNT3" s="3404"/>
      <c r="WNU3" s="3404"/>
      <c r="WNV3" s="3404"/>
      <c r="WNW3" s="3404"/>
      <c r="WNX3" s="3404"/>
      <c r="WNY3" s="3404"/>
      <c r="WNZ3" s="3404"/>
      <c r="WOA3" s="3404"/>
      <c r="WOB3" s="3404"/>
      <c r="WOC3" s="3404"/>
      <c r="WOD3" s="3404"/>
      <c r="WOE3" s="3404"/>
      <c r="WOF3" s="3404"/>
      <c r="WOG3" s="3404"/>
      <c r="WOH3" s="3404"/>
      <c r="WOI3" s="3404"/>
      <c r="WOJ3" s="3404"/>
      <c r="WOK3" s="3404"/>
      <c r="WOL3" s="3404"/>
      <c r="WOM3" s="3404"/>
      <c r="WON3" s="3404"/>
      <c r="WOO3" s="3404"/>
      <c r="WOP3" s="3404"/>
      <c r="WOQ3" s="3404"/>
      <c r="WOR3" s="3404"/>
      <c r="WOS3" s="3404"/>
      <c r="WOT3" s="3404"/>
      <c r="WOU3" s="3404"/>
      <c r="WOV3" s="3404"/>
      <c r="WOW3" s="3404"/>
      <c r="WOX3" s="3404"/>
      <c r="WOY3" s="3404"/>
      <c r="WOZ3" s="3404"/>
      <c r="WPA3" s="3404"/>
      <c r="WPB3" s="3404"/>
      <c r="WPC3" s="3404"/>
      <c r="WPD3" s="3404"/>
      <c r="WPE3" s="3404"/>
      <c r="WPF3" s="3404"/>
      <c r="WPG3" s="3404"/>
      <c r="WPH3" s="3404"/>
      <c r="WPI3" s="3404"/>
      <c r="WPJ3" s="3404"/>
      <c r="WPK3" s="3404"/>
      <c r="WPL3" s="3404"/>
      <c r="WPM3" s="3404"/>
      <c r="WPN3" s="3404"/>
      <c r="WPO3" s="3404"/>
      <c r="WPP3" s="3404"/>
      <c r="WPQ3" s="3404"/>
      <c r="WPR3" s="3404"/>
      <c r="WPS3" s="3404"/>
      <c r="WPT3" s="3404"/>
      <c r="WPU3" s="3404"/>
      <c r="WPV3" s="3404"/>
      <c r="WPW3" s="3404"/>
      <c r="WPX3" s="3404"/>
      <c r="WPY3" s="3404"/>
      <c r="WPZ3" s="3404"/>
      <c r="WQA3" s="3404"/>
      <c r="WQB3" s="3404"/>
      <c r="WQC3" s="3404"/>
      <c r="WQD3" s="3404"/>
      <c r="WQE3" s="3404"/>
      <c r="WQF3" s="3404"/>
      <c r="WQG3" s="3404"/>
      <c r="WQH3" s="3404"/>
      <c r="WQI3" s="3404"/>
      <c r="WQJ3" s="3404"/>
      <c r="WQK3" s="3404"/>
      <c r="WQL3" s="3404"/>
      <c r="WQM3" s="3404"/>
      <c r="WQN3" s="3404"/>
      <c r="WQO3" s="3404"/>
      <c r="WQP3" s="3404"/>
      <c r="WQQ3" s="3404"/>
      <c r="WQR3" s="3404"/>
      <c r="WQS3" s="3404"/>
      <c r="WQT3" s="3404"/>
      <c r="WQU3" s="3404"/>
      <c r="WQV3" s="3404"/>
      <c r="WQW3" s="3404"/>
      <c r="WQX3" s="3404"/>
      <c r="WQY3" s="3404"/>
      <c r="WQZ3" s="3404"/>
      <c r="WRA3" s="3404"/>
      <c r="WRB3" s="3404"/>
      <c r="WRC3" s="3404"/>
      <c r="WRD3" s="3404"/>
      <c r="WRE3" s="3404"/>
      <c r="WRF3" s="3404"/>
      <c r="WRG3" s="3404"/>
      <c r="WRH3" s="3404"/>
      <c r="WRI3" s="3404"/>
      <c r="WRJ3" s="3404"/>
      <c r="WRK3" s="3404"/>
      <c r="WRL3" s="3404"/>
      <c r="WRM3" s="3404"/>
      <c r="WRN3" s="3404"/>
      <c r="WRO3" s="3404"/>
      <c r="WRP3" s="3404"/>
      <c r="WRQ3" s="3404"/>
      <c r="WRR3" s="3404"/>
      <c r="WRS3" s="3404"/>
      <c r="WRT3" s="3404"/>
      <c r="WRU3" s="3404"/>
      <c r="WRV3" s="3404"/>
      <c r="WRW3" s="3404"/>
      <c r="WRX3" s="3404"/>
      <c r="WRY3" s="3404"/>
      <c r="WRZ3" s="3404"/>
      <c r="WSA3" s="3404"/>
      <c r="WSB3" s="3404"/>
      <c r="WSC3" s="3404"/>
      <c r="WSD3" s="3404"/>
      <c r="WSE3" s="3404"/>
      <c r="WSF3" s="3404"/>
      <c r="WSG3" s="3404"/>
      <c r="WSH3" s="3404"/>
      <c r="WSI3" s="3404"/>
      <c r="WSJ3" s="3404"/>
      <c r="WSK3" s="3404"/>
      <c r="WSL3" s="3404"/>
      <c r="WSM3" s="3404"/>
      <c r="WSN3" s="3404"/>
      <c r="WSO3" s="3404"/>
      <c r="WSP3" s="3404"/>
      <c r="WSQ3" s="3404"/>
      <c r="WSR3" s="3404"/>
      <c r="WSS3" s="3404"/>
      <c r="WST3" s="3404"/>
      <c r="WSU3" s="3404"/>
      <c r="WSV3" s="3404"/>
      <c r="WSW3" s="3404"/>
      <c r="WSX3" s="3404"/>
      <c r="WSY3" s="3404"/>
      <c r="WSZ3" s="3404"/>
      <c r="WTA3" s="3404"/>
      <c r="WTB3" s="3404"/>
      <c r="WTC3" s="3404"/>
      <c r="WTD3" s="3404"/>
      <c r="WTE3" s="3404"/>
      <c r="WTF3" s="3404"/>
      <c r="WTG3" s="3404"/>
      <c r="WTH3" s="3404"/>
      <c r="WTI3" s="3404"/>
      <c r="WTJ3" s="3404"/>
      <c r="WTK3" s="3404"/>
      <c r="WTL3" s="3404"/>
      <c r="WTM3" s="3404"/>
      <c r="WTN3" s="3404"/>
      <c r="WTO3" s="3404"/>
      <c r="WTP3" s="3404"/>
      <c r="WTQ3" s="3404"/>
      <c r="WTR3" s="3404"/>
      <c r="WTS3" s="3404"/>
      <c r="WTT3" s="3404"/>
      <c r="WTU3" s="3404"/>
      <c r="WTV3" s="3404"/>
      <c r="WTW3" s="3404"/>
      <c r="WTX3" s="3404"/>
      <c r="WTY3" s="3404"/>
      <c r="WTZ3" s="3404"/>
      <c r="WUA3" s="3404"/>
      <c r="WUB3" s="3404"/>
      <c r="WUC3" s="3404"/>
      <c r="WUD3" s="3404"/>
      <c r="WUE3" s="3404"/>
      <c r="WUF3" s="3404"/>
      <c r="WUG3" s="3404"/>
      <c r="WUH3" s="3404"/>
      <c r="WUI3" s="3404"/>
      <c r="WUJ3" s="3404"/>
      <c r="WUK3" s="3404"/>
      <c r="WUL3" s="3404"/>
      <c r="WUM3" s="3404"/>
      <c r="WUN3" s="3404"/>
      <c r="WUO3" s="3404"/>
      <c r="WUP3" s="3404"/>
      <c r="WUQ3" s="3404"/>
      <c r="WUR3" s="3404"/>
      <c r="WUS3" s="3404"/>
      <c r="WUT3" s="3404"/>
      <c r="WUU3" s="3404"/>
      <c r="WUV3" s="3404"/>
      <c r="WUW3" s="3404"/>
      <c r="WUX3" s="3404"/>
      <c r="WUY3" s="3404"/>
      <c r="WUZ3" s="3404"/>
      <c r="WVA3" s="3404"/>
      <c r="WVB3" s="3404"/>
      <c r="WVC3" s="3404"/>
      <c r="WVD3" s="3404"/>
      <c r="WVE3" s="3404"/>
      <c r="WVF3" s="3404"/>
      <c r="WVG3" s="3404"/>
      <c r="WVH3" s="3404"/>
      <c r="WVI3" s="3404"/>
      <c r="WVJ3" s="3404"/>
      <c r="WVK3" s="3404"/>
      <c r="WVL3" s="3404"/>
      <c r="WVM3" s="3404"/>
      <c r="WVN3" s="3404"/>
      <c r="WVO3" s="3404"/>
      <c r="WVP3" s="3404"/>
      <c r="WVQ3" s="3404"/>
      <c r="WVR3" s="3404"/>
      <c r="WVS3" s="3404"/>
      <c r="WVT3" s="3404"/>
      <c r="WVU3" s="3404"/>
      <c r="WVV3" s="3404"/>
      <c r="WVW3" s="3404"/>
      <c r="WVX3" s="3404"/>
      <c r="WVY3" s="3404"/>
      <c r="WVZ3" s="3404"/>
      <c r="WWA3" s="3404"/>
      <c r="WWB3" s="3404"/>
      <c r="WWC3" s="3404"/>
      <c r="WWD3" s="3404"/>
      <c r="WWE3" s="3404"/>
      <c r="WWF3" s="3404"/>
      <c r="WWG3" s="3404"/>
      <c r="WWH3" s="3404"/>
      <c r="WWI3" s="3404"/>
      <c r="WWJ3" s="3404"/>
      <c r="WWK3" s="3404"/>
      <c r="WWL3" s="3404"/>
      <c r="WWM3" s="3404"/>
      <c r="WWN3" s="3404"/>
      <c r="WWO3" s="3404"/>
      <c r="WWP3" s="3404"/>
      <c r="WWQ3" s="3404"/>
      <c r="WWR3" s="3404"/>
      <c r="WWS3" s="3404"/>
      <c r="WWT3" s="3404"/>
      <c r="WWU3" s="3404"/>
      <c r="WWV3" s="3404"/>
      <c r="WWW3" s="3404"/>
      <c r="WWX3" s="3404"/>
      <c r="WWY3" s="3404"/>
      <c r="WWZ3" s="3404"/>
      <c r="WXA3" s="3404"/>
      <c r="WXB3" s="3404"/>
      <c r="WXC3" s="3404"/>
      <c r="WXD3" s="3404"/>
      <c r="WXE3" s="3404"/>
      <c r="WXF3" s="3404"/>
      <c r="WXG3" s="3404"/>
      <c r="WXH3" s="3404"/>
      <c r="WXI3" s="3404"/>
      <c r="WXJ3" s="3404"/>
      <c r="WXK3" s="3404"/>
      <c r="WXL3" s="3404"/>
      <c r="WXM3" s="3404"/>
      <c r="WXN3" s="3404"/>
      <c r="WXO3" s="3404"/>
      <c r="WXP3" s="3404"/>
      <c r="WXQ3" s="3404"/>
      <c r="WXR3" s="3404"/>
      <c r="WXS3" s="3404"/>
      <c r="WXT3" s="3404"/>
      <c r="WXU3" s="3404"/>
      <c r="WXV3" s="3404"/>
      <c r="WXW3" s="3404"/>
      <c r="WXX3" s="3404"/>
      <c r="WXY3" s="3404"/>
      <c r="WXZ3" s="3404"/>
      <c r="WYA3" s="3404"/>
      <c r="WYB3" s="3404"/>
      <c r="WYC3" s="3404"/>
      <c r="WYD3" s="3404"/>
      <c r="WYE3" s="3404"/>
      <c r="WYF3" s="3404"/>
      <c r="WYG3" s="3404"/>
      <c r="WYH3" s="3404"/>
      <c r="WYI3" s="3404"/>
      <c r="WYJ3" s="3404"/>
      <c r="WYK3" s="3404"/>
      <c r="WYL3" s="3404"/>
      <c r="WYM3" s="3404"/>
      <c r="WYN3" s="3404"/>
      <c r="WYO3" s="3404"/>
      <c r="WYP3" s="3404"/>
      <c r="WYQ3" s="3404"/>
      <c r="WYR3" s="3404"/>
      <c r="WYS3" s="3404"/>
      <c r="WYT3" s="3404"/>
      <c r="WYU3" s="3404"/>
      <c r="WYV3" s="3404"/>
      <c r="WYW3" s="3404"/>
      <c r="WYX3" s="3404"/>
      <c r="WYY3" s="3404"/>
      <c r="WYZ3" s="3404"/>
      <c r="WZA3" s="3404"/>
      <c r="WZB3" s="3404"/>
      <c r="WZC3" s="3404"/>
      <c r="WZD3" s="3404"/>
      <c r="WZE3" s="3404"/>
      <c r="WZF3" s="3404"/>
      <c r="WZG3" s="3404"/>
      <c r="WZH3" s="3404"/>
      <c r="WZI3" s="3404"/>
      <c r="WZJ3" s="3404"/>
      <c r="WZK3" s="3404"/>
      <c r="WZL3" s="3404"/>
      <c r="WZM3" s="3404"/>
      <c r="WZN3" s="3404"/>
      <c r="WZO3" s="3404"/>
      <c r="WZP3" s="3404"/>
      <c r="WZQ3" s="3404"/>
      <c r="WZR3" s="3404"/>
      <c r="WZS3" s="3404"/>
      <c r="WZT3" s="3404"/>
      <c r="WZU3" s="3404"/>
      <c r="WZV3" s="3404"/>
      <c r="WZW3" s="3404"/>
      <c r="WZX3" s="3404"/>
      <c r="WZY3" s="3404"/>
      <c r="WZZ3" s="3404"/>
      <c r="XAA3" s="3404"/>
      <c r="XAB3" s="3404"/>
      <c r="XAC3" s="3404"/>
      <c r="XAD3" s="3404"/>
      <c r="XAE3" s="3404"/>
      <c r="XAF3" s="3404"/>
      <c r="XAG3" s="3404"/>
      <c r="XAH3" s="3404"/>
      <c r="XAI3" s="3404"/>
      <c r="XAJ3" s="3404"/>
      <c r="XAK3" s="3404"/>
      <c r="XAL3" s="3404"/>
      <c r="XAM3" s="3404"/>
      <c r="XAN3" s="3404"/>
      <c r="XAO3" s="3404"/>
      <c r="XAP3" s="3404"/>
      <c r="XAQ3" s="3404"/>
      <c r="XAR3" s="3404"/>
      <c r="XAS3" s="3404"/>
      <c r="XAT3" s="3404"/>
      <c r="XAU3" s="3404"/>
      <c r="XAV3" s="3404"/>
      <c r="XAW3" s="3404"/>
      <c r="XAX3" s="3404"/>
      <c r="XAY3" s="3404"/>
      <c r="XAZ3" s="3404"/>
      <c r="XBA3" s="3404"/>
      <c r="XBB3" s="3404"/>
      <c r="XBC3" s="3404"/>
      <c r="XBD3" s="3404"/>
      <c r="XBE3" s="3404"/>
      <c r="XBF3" s="3404"/>
      <c r="XBG3" s="3404"/>
      <c r="XBH3" s="3404"/>
      <c r="XBI3" s="3404"/>
      <c r="XBJ3" s="3404"/>
      <c r="XBK3" s="3404"/>
      <c r="XBL3" s="3404"/>
      <c r="XBM3" s="3404"/>
      <c r="XBN3" s="3404"/>
      <c r="XBO3" s="3404"/>
      <c r="XBP3" s="3404"/>
      <c r="XBQ3" s="3404"/>
      <c r="XBR3" s="3404"/>
      <c r="XBS3" s="3404"/>
      <c r="XBT3" s="3404"/>
      <c r="XBU3" s="3404"/>
      <c r="XBV3" s="3404"/>
      <c r="XBW3" s="3404"/>
      <c r="XBX3" s="3404"/>
      <c r="XBY3" s="3404"/>
      <c r="XBZ3" s="3404"/>
      <c r="XCA3" s="3404"/>
      <c r="XCB3" s="3404"/>
      <c r="XCC3" s="3404"/>
      <c r="XCD3" s="3404"/>
      <c r="XCE3" s="3404"/>
      <c r="XCF3" s="3404"/>
      <c r="XCG3" s="3404"/>
      <c r="XCH3" s="3404"/>
      <c r="XCI3" s="3404"/>
      <c r="XCJ3" s="3404"/>
      <c r="XCK3" s="3404"/>
      <c r="XCL3" s="3404"/>
      <c r="XCM3" s="3404"/>
      <c r="XCN3" s="3404"/>
      <c r="XCO3" s="3404"/>
      <c r="XCP3" s="3404"/>
      <c r="XCQ3" s="3404"/>
      <c r="XCR3" s="3404"/>
      <c r="XCS3" s="3404"/>
      <c r="XCT3" s="3404"/>
      <c r="XCU3" s="3404"/>
      <c r="XCV3" s="3404"/>
      <c r="XCW3" s="3404"/>
      <c r="XCX3" s="3404"/>
      <c r="XCY3" s="3404"/>
      <c r="XCZ3" s="3404"/>
      <c r="XDA3" s="3404"/>
      <c r="XDB3" s="3404"/>
      <c r="XDC3" s="3404"/>
      <c r="XDD3" s="3404"/>
      <c r="XDE3" s="3404"/>
      <c r="XDF3" s="3404"/>
      <c r="XDG3" s="3404"/>
      <c r="XDH3" s="3404"/>
      <c r="XDI3" s="3404"/>
      <c r="XDJ3" s="3404"/>
      <c r="XDK3" s="3404"/>
      <c r="XDL3" s="3404"/>
      <c r="XDM3" s="3404"/>
      <c r="XDN3" s="3404"/>
      <c r="XDO3" s="3404"/>
      <c r="XDP3" s="3404"/>
      <c r="XDQ3" s="3404"/>
      <c r="XDR3" s="3404"/>
      <c r="XDS3" s="3404"/>
      <c r="XDT3" s="3404"/>
      <c r="XDU3" s="3404"/>
      <c r="XDV3" s="3404"/>
      <c r="XDW3" s="3404"/>
      <c r="XDX3" s="3404"/>
      <c r="XDY3" s="3404"/>
      <c r="XDZ3" s="3404"/>
      <c r="XEA3" s="3404"/>
      <c r="XEB3" s="3404"/>
      <c r="XEC3" s="3404"/>
    </row>
    <row r="4" spans="1:16357" s="3401" customFormat="1" ht="37.5" customHeight="1">
      <c r="A4" s="3405" t="s">
        <v>3469</v>
      </c>
      <c r="B4" s="3406" t="s">
        <v>3459</v>
      </c>
      <c r="C4" s="3406" t="s">
        <v>3463</v>
      </c>
      <c r="D4" s="3406">
        <v>45231.1</v>
      </c>
      <c r="E4" s="3406">
        <v>36185</v>
      </c>
      <c r="F4" s="3406">
        <v>0.8</v>
      </c>
      <c r="G4" s="3406" t="s">
        <v>3465</v>
      </c>
      <c r="H4" s="3406">
        <v>13943.25</v>
      </c>
      <c r="I4" s="3406">
        <v>205.51</v>
      </c>
      <c r="J4" s="3406">
        <v>3853.32</v>
      </c>
      <c r="K4" s="3406">
        <f>H4*10000/D4</f>
        <v>3082.6687832044768</v>
      </c>
      <c r="L4" s="3406" t="s">
        <v>2820</v>
      </c>
      <c r="M4" s="3406">
        <v>0</v>
      </c>
      <c r="N4" s="3406" t="s">
        <v>3462</v>
      </c>
      <c r="O4" s="3406" t="s">
        <v>2820</v>
      </c>
      <c r="P4" s="3406" t="s">
        <v>2820</v>
      </c>
      <c r="Q4" s="3406" t="s">
        <v>2820</v>
      </c>
      <c r="R4" s="3406"/>
      <c r="S4" s="3407"/>
      <c r="T4" s="3407"/>
      <c r="U4" s="3407"/>
      <c r="V4" s="3407"/>
      <c r="W4" s="3407"/>
      <c r="X4" s="3407"/>
      <c r="Y4" s="3407"/>
      <c r="Z4" s="3407"/>
      <c r="AA4" s="3407"/>
      <c r="AB4" s="3407"/>
      <c r="AC4" s="3407"/>
      <c r="AD4" s="3407"/>
      <c r="AE4" s="3407"/>
      <c r="AF4" s="3407"/>
      <c r="AG4" s="3407"/>
      <c r="AH4" s="3407"/>
      <c r="AI4" s="3407"/>
      <c r="AJ4" s="3407"/>
      <c r="AK4" s="3407"/>
      <c r="AL4" s="3407"/>
      <c r="AM4" s="3407"/>
      <c r="AN4" s="3407"/>
      <c r="AO4" s="3407"/>
      <c r="AP4" s="3407"/>
      <c r="AQ4" s="3407"/>
      <c r="AR4" s="3407"/>
      <c r="AS4" s="3407"/>
      <c r="AT4" s="3407"/>
      <c r="AU4" s="3407"/>
      <c r="AV4" s="3407"/>
      <c r="AW4" s="3407"/>
      <c r="AX4" s="3407"/>
      <c r="AY4" s="3407"/>
      <c r="AZ4" s="3407"/>
      <c r="BA4" s="3407"/>
      <c r="BB4" s="3407"/>
      <c r="BC4" s="3407"/>
      <c r="BD4" s="3407"/>
      <c r="BE4" s="3407"/>
      <c r="BF4" s="3407"/>
      <c r="BG4" s="3407"/>
      <c r="BH4" s="3407"/>
      <c r="BI4" s="3407"/>
      <c r="BJ4" s="3407"/>
      <c r="BK4" s="3407"/>
      <c r="BL4" s="3407"/>
      <c r="BM4" s="3407"/>
      <c r="BN4" s="3407"/>
      <c r="BO4" s="3407"/>
      <c r="BP4" s="3407"/>
      <c r="BQ4" s="3407"/>
      <c r="BR4" s="3407"/>
      <c r="BS4" s="3407"/>
      <c r="BT4" s="3407"/>
      <c r="BU4" s="3407"/>
      <c r="BV4" s="3407"/>
      <c r="BW4" s="3407"/>
      <c r="BX4" s="3407"/>
      <c r="BY4" s="3407"/>
      <c r="BZ4" s="3407"/>
      <c r="CA4" s="3407"/>
      <c r="CB4" s="3407"/>
      <c r="CC4" s="3407"/>
      <c r="CD4" s="3407"/>
      <c r="CE4" s="3407"/>
      <c r="CF4" s="3407"/>
      <c r="CG4" s="3407"/>
      <c r="CH4" s="3407"/>
      <c r="CI4" s="3407"/>
      <c r="CJ4" s="3407"/>
      <c r="CK4" s="3407"/>
      <c r="CL4" s="3407"/>
      <c r="CM4" s="3407"/>
      <c r="CN4" s="3407"/>
      <c r="CO4" s="3407"/>
      <c r="CP4" s="3407"/>
      <c r="CQ4" s="3407"/>
      <c r="CR4" s="3407"/>
      <c r="CS4" s="3407"/>
      <c r="CT4" s="3407"/>
      <c r="CU4" s="3407"/>
      <c r="CV4" s="3407"/>
      <c r="CW4" s="3407"/>
      <c r="CX4" s="3407"/>
      <c r="CY4" s="3407"/>
      <c r="CZ4" s="3407"/>
      <c r="DA4" s="3407"/>
      <c r="DB4" s="3407"/>
      <c r="DC4" s="3407"/>
      <c r="DD4" s="3407"/>
      <c r="DE4" s="3407"/>
      <c r="DF4" s="3407"/>
      <c r="DG4" s="3407"/>
      <c r="DH4" s="3407"/>
      <c r="DI4" s="3407"/>
      <c r="DJ4" s="3407"/>
      <c r="DK4" s="3407"/>
      <c r="DL4" s="3407"/>
      <c r="DM4" s="3407"/>
      <c r="DN4" s="3407"/>
      <c r="DO4" s="3407"/>
      <c r="DP4" s="3407"/>
      <c r="DQ4" s="3407"/>
      <c r="DR4" s="3407"/>
      <c r="DS4" s="3407"/>
      <c r="DT4" s="3407"/>
      <c r="DU4" s="3407"/>
      <c r="DV4" s="3407"/>
      <c r="DW4" s="3407"/>
      <c r="DX4" s="3407"/>
      <c r="DY4" s="3407"/>
      <c r="DZ4" s="3407"/>
      <c r="EA4" s="3407"/>
      <c r="EB4" s="3407"/>
      <c r="EC4" s="3407"/>
      <c r="ED4" s="3407"/>
      <c r="EE4" s="3407"/>
      <c r="EF4" s="3407"/>
      <c r="EG4" s="3407"/>
      <c r="EH4" s="3407"/>
      <c r="EI4" s="3407"/>
      <c r="EJ4" s="3407"/>
      <c r="EK4" s="3407"/>
      <c r="EL4" s="3407"/>
      <c r="EM4" s="3407"/>
      <c r="EN4" s="3407"/>
      <c r="EO4" s="3407"/>
      <c r="EP4" s="3407"/>
      <c r="EQ4" s="3407"/>
      <c r="ER4" s="3407"/>
      <c r="ES4" s="3407"/>
      <c r="ET4" s="3407"/>
      <c r="EU4" s="3407"/>
      <c r="EV4" s="3407"/>
      <c r="EW4" s="3407"/>
      <c r="EX4" s="3407"/>
      <c r="EY4" s="3407"/>
      <c r="EZ4" s="3407"/>
      <c r="FA4" s="3407"/>
      <c r="FB4" s="3407"/>
      <c r="FC4" s="3407"/>
      <c r="FD4" s="3407"/>
      <c r="FE4" s="3407"/>
      <c r="FF4" s="3407"/>
      <c r="FG4" s="3407"/>
      <c r="FH4" s="3407"/>
      <c r="FI4" s="3407"/>
      <c r="FJ4" s="3407"/>
      <c r="FK4" s="3407"/>
      <c r="FL4" s="3407"/>
      <c r="FM4" s="3407"/>
      <c r="FN4" s="3407"/>
      <c r="FO4" s="3407"/>
      <c r="FP4" s="3407"/>
      <c r="FQ4" s="3407"/>
      <c r="FR4" s="3407"/>
      <c r="FS4" s="3407"/>
      <c r="FT4" s="3407"/>
      <c r="FU4" s="3407"/>
      <c r="FV4" s="3407"/>
      <c r="FW4" s="3407"/>
      <c r="FX4" s="3407"/>
      <c r="FY4" s="3407"/>
      <c r="FZ4" s="3407"/>
      <c r="GA4" s="3407"/>
      <c r="GB4" s="3407"/>
      <c r="GC4" s="3407"/>
      <c r="GD4" s="3407"/>
      <c r="GE4" s="3407"/>
      <c r="GF4" s="3407"/>
      <c r="GG4" s="3407"/>
      <c r="GH4" s="3407"/>
      <c r="GI4" s="3407"/>
      <c r="GJ4" s="3407"/>
      <c r="GK4" s="3407"/>
      <c r="GL4" s="3407"/>
      <c r="GM4" s="3407"/>
      <c r="GN4" s="3407"/>
      <c r="GO4" s="3407"/>
      <c r="GP4" s="3407"/>
      <c r="GQ4" s="3407"/>
      <c r="GR4" s="3407"/>
      <c r="GS4" s="3407"/>
      <c r="GT4" s="3407"/>
      <c r="GU4" s="3407"/>
      <c r="GV4" s="3407"/>
      <c r="GW4" s="3407"/>
      <c r="GX4" s="3407"/>
      <c r="GY4" s="3407"/>
      <c r="GZ4" s="3407"/>
      <c r="HA4" s="3407"/>
      <c r="HB4" s="3407"/>
      <c r="HC4" s="3407"/>
      <c r="HD4" s="3407"/>
      <c r="HE4" s="3407"/>
      <c r="HF4" s="3407"/>
      <c r="HG4" s="3407"/>
      <c r="HH4" s="3407"/>
      <c r="HI4" s="3407"/>
      <c r="HJ4" s="3407"/>
      <c r="HK4" s="3407"/>
      <c r="HL4" s="3407"/>
      <c r="HM4" s="3407"/>
      <c r="HN4" s="3407"/>
      <c r="HO4" s="3407"/>
      <c r="HP4" s="3407"/>
      <c r="HQ4" s="3407"/>
      <c r="HR4" s="3407"/>
      <c r="HS4" s="3407"/>
      <c r="HT4" s="3407"/>
      <c r="HU4" s="3407"/>
      <c r="HV4" s="3407"/>
      <c r="HW4" s="3407"/>
      <c r="HX4" s="3407"/>
      <c r="HY4" s="3407"/>
      <c r="HZ4" s="3407"/>
      <c r="IA4" s="3407"/>
      <c r="IB4" s="3407"/>
      <c r="IC4" s="3407"/>
      <c r="ID4" s="3407"/>
      <c r="IE4" s="3407"/>
      <c r="IF4" s="3407"/>
      <c r="IG4" s="3407"/>
      <c r="IH4" s="3407"/>
      <c r="II4" s="3407"/>
      <c r="IJ4" s="3407"/>
      <c r="IK4" s="3407"/>
      <c r="IL4" s="3407"/>
      <c r="IM4" s="3407"/>
      <c r="IN4" s="3407"/>
      <c r="IO4" s="3407"/>
      <c r="IP4" s="3407"/>
      <c r="IQ4" s="3407"/>
      <c r="IR4" s="3407"/>
      <c r="IS4" s="3407"/>
      <c r="IT4" s="3407"/>
      <c r="IU4" s="3407"/>
      <c r="IV4" s="3407"/>
      <c r="IW4" s="3407"/>
      <c r="IX4" s="3407"/>
      <c r="IY4" s="3407"/>
      <c r="IZ4" s="3407"/>
      <c r="JA4" s="3407"/>
      <c r="JB4" s="3407"/>
      <c r="JC4" s="3407"/>
      <c r="JD4" s="3407"/>
      <c r="JE4" s="3407"/>
      <c r="JF4" s="3407"/>
      <c r="JG4" s="3407"/>
      <c r="JH4" s="3407"/>
      <c r="JI4" s="3407"/>
      <c r="JJ4" s="3407"/>
      <c r="JK4" s="3407"/>
      <c r="JL4" s="3407"/>
      <c r="JM4" s="3407"/>
      <c r="JN4" s="3407"/>
      <c r="JO4" s="3407"/>
      <c r="JP4" s="3407"/>
      <c r="JQ4" s="3407"/>
      <c r="JR4" s="3407"/>
      <c r="JS4" s="3407"/>
      <c r="JT4" s="3407"/>
      <c r="JU4" s="3407"/>
      <c r="JV4" s="3407"/>
      <c r="JW4" s="3407"/>
      <c r="JX4" s="3407"/>
      <c r="JY4" s="3407"/>
      <c r="JZ4" s="3407"/>
      <c r="KA4" s="3407"/>
      <c r="KB4" s="3407"/>
      <c r="KC4" s="3407"/>
      <c r="KD4" s="3407"/>
      <c r="KE4" s="3407"/>
      <c r="KF4" s="3407"/>
      <c r="KG4" s="3407"/>
      <c r="KH4" s="3407"/>
      <c r="KI4" s="3407"/>
      <c r="KJ4" s="3407"/>
      <c r="KK4" s="3407"/>
      <c r="KL4" s="3407"/>
      <c r="KM4" s="3407"/>
      <c r="KN4" s="3407"/>
      <c r="KO4" s="3407"/>
      <c r="KP4" s="3407"/>
      <c r="KQ4" s="3407"/>
      <c r="KR4" s="3407"/>
      <c r="KS4" s="3407"/>
      <c r="KT4" s="3407"/>
      <c r="KU4" s="3407"/>
      <c r="KV4" s="3407"/>
      <c r="KW4" s="3407"/>
      <c r="KX4" s="3407"/>
      <c r="KY4" s="3407"/>
      <c r="KZ4" s="3407"/>
      <c r="LA4" s="3407"/>
      <c r="LB4" s="3407"/>
      <c r="LC4" s="3407"/>
      <c r="LD4" s="3407"/>
      <c r="LE4" s="3407"/>
      <c r="LF4" s="3407"/>
      <c r="LG4" s="3407"/>
      <c r="LH4" s="3407"/>
      <c r="LI4" s="3407"/>
      <c r="LJ4" s="3407"/>
      <c r="LK4" s="3407"/>
      <c r="LL4" s="3407"/>
      <c r="LM4" s="3407"/>
      <c r="LN4" s="3407"/>
      <c r="LO4" s="3407"/>
      <c r="LP4" s="3407"/>
      <c r="LQ4" s="3407"/>
      <c r="LR4" s="3407"/>
      <c r="LS4" s="3407"/>
      <c r="LT4" s="3407"/>
      <c r="LU4" s="3407"/>
      <c r="LV4" s="3407"/>
      <c r="LW4" s="3407"/>
      <c r="LX4" s="3407"/>
      <c r="LY4" s="3407"/>
      <c r="LZ4" s="3407"/>
      <c r="MA4" s="3407"/>
      <c r="MB4" s="3407"/>
      <c r="MC4" s="3407"/>
      <c r="MD4" s="3407"/>
      <c r="ME4" s="3407"/>
      <c r="MF4" s="3407"/>
      <c r="MG4" s="3407"/>
      <c r="MH4" s="3407"/>
      <c r="MI4" s="3407"/>
      <c r="MJ4" s="3407"/>
      <c r="MK4" s="3407"/>
      <c r="ML4" s="3407"/>
      <c r="MM4" s="3407"/>
      <c r="MN4" s="3407"/>
      <c r="MO4" s="3407"/>
      <c r="MP4" s="3407"/>
      <c r="MQ4" s="3407"/>
      <c r="MR4" s="3407"/>
      <c r="MS4" s="3407"/>
      <c r="MT4" s="3407"/>
      <c r="MU4" s="3407"/>
      <c r="MV4" s="3407"/>
      <c r="MW4" s="3407"/>
      <c r="MX4" s="3407"/>
      <c r="MY4" s="3407"/>
      <c r="MZ4" s="3407"/>
      <c r="NA4" s="3407"/>
      <c r="NB4" s="3407"/>
      <c r="NC4" s="3407"/>
      <c r="ND4" s="3407"/>
      <c r="NE4" s="3407"/>
      <c r="NF4" s="3407"/>
      <c r="NG4" s="3407"/>
      <c r="NH4" s="3407"/>
      <c r="NI4" s="3407"/>
      <c r="NJ4" s="3407"/>
      <c r="NK4" s="3407"/>
      <c r="NL4" s="3407"/>
      <c r="NM4" s="3407"/>
      <c r="NN4" s="3407"/>
      <c r="NO4" s="3407"/>
      <c r="NP4" s="3407"/>
      <c r="NQ4" s="3407"/>
      <c r="NR4" s="3407"/>
      <c r="NS4" s="3407"/>
      <c r="NT4" s="3407"/>
      <c r="NU4" s="3407"/>
      <c r="NV4" s="3407"/>
      <c r="NW4" s="3407"/>
      <c r="NX4" s="3407"/>
      <c r="NY4" s="3407"/>
      <c r="NZ4" s="3407"/>
      <c r="OA4" s="3407"/>
      <c r="OB4" s="3407"/>
      <c r="OC4" s="3407"/>
      <c r="OD4" s="3407"/>
      <c r="OE4" s="3407"/>
      <c r="OF4" s="3407"/>
      <c r="OG4" s="3407"/>
      <c r="OH4" s="3407"/>
      <c r="OI4" s="3407"/>
      <c r="OJ4" s="3407"/>
      <c r="OK4" s="3407"/>
      <c r="OL4" s="3407"/>
      <c r="OM4" s="3407"/>
      <c r="ON4" s="3407"/>
      <c r="OO4" s="3407"/>
      <c r="OP4" s="3407"/>
      <c r="OQ4" s="3407"/>
      <c r="OR4" s="3407"/>
      <c r="OS4" s="3407"/>
      <c r="OT4" s="3407"/>
      <c r="OU4" s="3407"/>
      <c r="OV4" s="3407"/>
      <c r="OW4" s="3407"/>
      <c r="OX4" s="3407"/>
      <c r="OY4" s="3407"/>
      <c r="OZ4" s="3407"/>
      <c r="PA4" s="3407"/>
      <c r="PB4" s="3407"/>
      <c r="PC4" s="3407"/>
      <c r="PD4" s="3407"/>
      <c r="PE4" s="3407"/>
      <c r="PF4" s="3407"/>
      <c r="PG4" s="3407"/>
      <c r="PH4" s="3407"/>
      <c r="PI4" s="3407"/>
      <c r="PJ4" s="3407"/>
      <c r="PK4" s="3407"/>
      <c r="PL4" s="3407"/>
      <c r="PM4" s="3407"/>
      <c r="PN4" s="3407"/>
      <c r="PO4" s="3407"/>
      <c r="PP4" s="3407"/>
      <c r="PQ4" s="3407"/>
      <c r="PR4" s="3407"/>
      <c r="PS4" s="3407"/>
      <c r="PT4" s="3407"/>
      <c r="PU4" s="3407"/>
      <c r="PV4" s="3407"/>
      <c r="PW4" s="3407"/>
      <c r="PX4" s="3407"/>
      <c r="PY4" s="3407"/>
      <c r="PZ4" s="3407"/>
      <c r="QA4" s="3407"/>
      <c r="QB4" s="3407"/>
      <c r="QC4" s="3407"/>
      <c r="QD4" s="3407"/>
      <c r="QE4" s="3407"/>
      <c r="QF4" s="3407"/>
      <c r="QG4" s="3407"/>
      <c r="QH4" s="3407"/>
      <c r="QI4" s="3407"/>
      <c r="QJ4" s="3407"/>
      <c r="QK4" s="3407"/>
      <c r="QL4" s="3407"/>
      <c r="QM4" s="3407"/>
      <c r="QN4" s="3407"/>
      <c r="QO4" s="3407"/>
      <c r="QP4" s="3407"/>
      <c r="QQ4" s="3407"/>
      <c r="QR4" s="3407"/>
      <c r="QS4" s="3407"/>
      <c r="QT4" s="3407"/>
      <c r="QU4" s="3407"/>
      <c r="QV4" s="3407"/>
      <c r="QW4" s="3407"/>
      <c r="QX4" s="3407"/>
      <c r="QY4" s="3407"/>
      <c r="QZ4" s="3407"/>
      <c r="RA4" s="3407"/>
      <c r="RB4" s="3407"/>
      <c r="RC4" s="3407"/>
      <c r="RD4" s="3407"/>
      <c r="RE4" s="3407"/>
      <c r="RF4" s="3407"/>
      <c r="RG4" s="3407"/>
      <c r="RH4" s="3407"/>
      <c r="RI4" s="3407"/>
      <c r="RJ4" s="3407"/>
      <c r="RK4" s="3407"/>
      <c r="RL4" s="3407"/>
      <c r="RM4" s="3407"/>
      <c r="RN4" s="3407"/>
      <c r="RO4" s="3407"/>
      <c r="RP4" s="3407"/>
      <c r="RQ4" s="3407"/>
      <c r="RR4" s="3407"/>
      <c r="RS4" s="3407"/>
      <c r="RT4" s="3407"/>
      <c r="RU4" s="3407"/>
      <c r="RV4" s="3407"/>
      <c r="RW4" s="3407"/>
      <c r="RX4" s="3407"/>
      <c r="RY4" s="3407"/>
      <c r="RZ4" s="3407"/>
      <c r="SA4" s="3407"/>
      <c r="SB4" s="3407"/>
      <c r="SC4" s="3407"/>
      <c r="SD4" s="3407"/>
      <c r="SE4" s="3407"/>
      <c r="SF4" s="3407"/>
      <c r="SG4" s="3407"/>
      <c r="SH4" s="3407"/>
      <c r="SI4" s="3407"/>
      <c r="SJ4" s="3407"/>
      <c r="SK4" s="3407"/>
      <c r="SL4" s="3407"/>
      <c r="SM4" s="3407"/>
      <c r="SN4" s="3407"/>
      <c r="SO4" s="3407"/>
      <c r="SP4" s="3407"/>
      <c r="SQ4" s="3407"/>
      <c r="SR4" s="3407"/>
      <c r="SS4" s="3407"/>
      <c r="ST4" s="3407"/>
      <c r="SU4" s="3407"/>
      <c r="SV4" s="3407"/>
      <c r="SW4" s="3407"/>
      <c r="SX4" s="3407"/>
      <c r="SY4" s="3407"/>
      <c r="SZ4" s="3407"/>
      <c r="TA4" s="3407"/>
      <c r="TB4" s="3407"/>
      <c r="TC4" s="3407"/>
      <c r="TD4" s="3407"/>
      <c r="TE4" s="3407"/>
      <c r="TF4" s="3407"/>
      <c r="TG4" s="3407"/>
      <c r="TH4" s="3407"/>
      <c r="TI4" s="3407"/>
      <c r="TJ4" s="3407"/>
      <c r="TK4" s="3407"/>
      <c r="TL4" s="3407"/>
      <c r="TM4" s="3407"/>
      <c r="TN4" s="3407"/>
      <c r="TO4" s="3407"/>
      <c r="TP4" s="3407"/>
      <c r="TQ4" s="3407"/>
      <c r="TR4" s="3407"/>
      <c r="TS4" s="3407"/>
      <c r="TT4" s="3407"/>
      <c r="TU4" s="3407"/>
      <c r="TV4" s="3407"/>
      <c r="TW4" s="3407"/>
      <c r="TX4" s="3407"/>
      <c r="TY4" s="3407"/>
      <c r="TZ4" s="3407"/>
      <c r="UA4" s="3407"/>
      <c r="UB4" s="3407"/>
      <c r="UC4" s="3407"/>
      <c r="UD4" s="3407"/>
      <c r="UE4" s="3407"/>
      <c r="UF4" s="3407"/>
      <c r="UG4" s="3407"/>
      <c r="UH4" s="3407"/>
      <c r="UI4" s="3407"/>
      <c r="UJ4" s="3407"/>
      <c r="UK4" s="3407"/>
      <c r="UL4" s="3407"/>
      <c r="UM4" s="3407"/>
      <c r="UN4" s="3407"/>
      <c r="UO4" s="3407"/>
      <c r="UP4" s="3407"/>
      <c r="UQ4" s="3407"/>
      <c r="UR4" s="3407"/>
      <c r="US4" s="3407"/>
      <c r="UT4" s="3407"/>
      <c r="UU4" s="3407"/>
      <c r="UV4" s="3407"/>
      <c r="UW4" s="3407"/>
      <c r="UX4" s="3407"/>
      <c r="UY4" s="3407"/>
      <c r="UZ4" s="3407"/>
      <c r="VA4" s="3407"/>
      <c r="VB4" s="3407"/>
      <c r="VC4" s="3407"/>
      <c r="VD4" s="3407"/>
      <c r="VE4" s="3407"/>
      <c r="VF4" s="3407"/>
      <c r="VG4" s="3407"/>
      <c r="VH4" s="3407"/>
      <c r="VI4" s="3407"/>
      <c r="VJ4" s="3407"/>
      <c r="VK4" s="3407"/>
      <c r="VL4" s="3407"/>
      <c r="VM4" s="3407"/>
      <c r="VN4" s="3407"/>
      <c r="VO4" s="3407"/>
      <c r="VP4" s="3407"/>
      <c r="VQ4" s="3407"/>
      <c r="VR4" s="3407"/>
      <c r="VS4" s="3407"/>
      <c r="VT4" s="3407"/>
      <c r="VU4" s="3407"/>
      <c r="VV4" s="3407"/>
      <c r="VW4" s="3407"/>
      <c r="VX4" s="3407"/>
      <c r="VY4" s="3407"/>
      <c r="VZ4" s="3407"/>
      <c r="WA4" s="3407"/>
      <c r="WB4" s="3407"/>
      <c r="WC4" s="3407"/>
      <c r="WD4" s="3407"/>
      <c r="WE4" s="3407"/>
      <c r="WF4" s="3407"/>
      <c r="WG4" s="3407"/>
      <c r="WH4" s="3407"/>
      <c r="WI4" s="3407"/>
      <c r="WJ4" s="3407"/>
      <c r="WK4" s="3407"/>
      <c r="WL4" s="3407"/>
      <c r="WM4" s="3407"/>
      <c r="WN4" s="3407"/>
      <c r="WO4" s="3407"/>
      <c r="WP4" s="3407"/>
      <c r="WQ4" s="3407"/>
      <c r="WR4" s="3407"/>
      <c r="WS4" s="3407"/>
      <c r="WT4" s="3407"/>
      <c r="WU4" s="3407"/>
      <c r="WV4" s="3407"/>
      <c r="WW4" s="3407"/>
      <c r="WX4" s="3407"/>
      <c r="WY4" s="3407"/>
      <c r="WZ4" s="3407"/>
      <c r="XA4" s="3407"/>
      <c r="XB4" s="3407"/>
      <c r="XC4" s="3407"/>
      <c r="XD4" s="3407"/>
      <c r="XE4" s="3407"/>
      <c r="XF4" s="3407"/>
      <c r="XG4" s="3407"/>
      <c r="XH4" s="3407"/>
      <c r="XI4" s="3407"/>
      <c r="XJ4" s="3407"/>
      <c r="XK4" s="3407"/>
      <c r="XL4" s="3407"/>
      <c r="XM4" s="3407"/>
      <c r="XN4" s="3407"/>
      <c r="XO4" s="3407"/>
      <c r="XP4" s="3407"/>
      <c r="XQ4" s="3407"/>
      <c r="XR4" s="3407"/>
      <c r="XS4" s="3407"/>
      <c r="XT4" s="3407"/>
      <c r="XU4" s="3407"/>
      <c r="XV4" s="3407"/>
      <c r="XW4" s="3407"/>
      <c r="XX4" s="3407"/>
      <c r="XY4" s="3407"/>
      <c r="XZ4" s="3407"/>
      <c r="YA4" s="3407"/>
      <c r="YB4" s="3407"/>
      <c r="YC4" s="3407"/>
      <c r="YD4" s="3407"/>
      <c r="YE4" s="3407"/>
      <c r="YF4" s="3407"/>
      <c r="YG4" s="3407"/>
      <c r="YH4" s="3407"/>
      <c r="YI4" s="3407"/>
      <c r="YJ4" s="3407"/>
      <c r="YK4" s="3407"/>
      <c r="YL4" s="3407"/>
      <c r="YM4" s="3407"/>
      <c r="YN4" s="3407"/>
      <c r="YO4" s="3407"/>
      <c r="YP4" s="3407"/>
      <c r="YQ4" s="3407"/>
      <c r="YR4" s="3407"/>
      <c r="YS4" s="3407"/>
      <c r="YT4" s="3407"/>
      <c r="YU4" s="3407"/>
      <c r="YV4" s="3407"/>
      <c r="YW4" s="3407"/>
      <c r="YX4" s="3407"/>
      <c r="YY4" s="3407"/>
      <c r="YZ4" s="3407"/>
      <c r="ZA4" s="3407"/>
      <c r="ZB4" s="3407"/>
      <c r="ZC4" s="3407"/>
      <c r="ZD4" s="3407"/>
      <c r="ZE4" s="3407"/>
      <c r="ZF4" s="3407"/>
      <c r="ZG4" s="3407"/>
      <c r="ZH4" s="3407"/>
      <c r="ZI4" s="3407"/>
      <c r="ZJ4" s="3407"/>
      <c r="ZK4" s="3407"/>
      <c r="ZL4" s="3407"/>
      <c r="ZM4" s="3407"/>
      <c r="ZN4" s="3407"/>
      <c r="ZO4" s="3407"/>
      <c r="ZP4" s="3407"/>
      <c r="ZQ4" s="3407"/>
      <c r="ZR4" s="3407"/>
      <c r="ZS4" s="3407"/>
      <c r="ZT4" s="3407"/>
      <c r="ZU4" s="3407"/>
      <c r="ZV4" s="3407"/>
      <c r="ZW4" s="3407"/>
      <c r="ZX4" s="3407"/>
      <c r="ZY4" s="3407"/>
      <c r="ZZ4" s="3407"/>
      <c r="AAA4" s="3407"/>
      <c r="AAB4" s="3407"/>
      <c r="AAC4" s="3407"/>
      <c r="AAD4" s="3407"/>
      <c r="AAE4" s="3407"/>
      <c r="AAF4" s="3407"/>
      <c r="AAG4" s="3407"/>
      <c r="AAH4" s="3407"/>
      <c r="AAI4" s="3407"/>
      <c r="AAJ4" s="3407"/>
      <c r="AAK4" s="3407"/>
      <c r="AAL4" s="3407"/>
      <c r="AAM4" s="3407"/>
      <c r="AAN4" s="3407"/>
      <c r="AAO4" s="3407"/>
      <c r="AAP4" s="3407"/>
      <c r="AAQ4" s="3407"/>
      <c r="AAR4" s="3407"/>
      <c r="AAS4" s="3407"/>
      <c r="AAT4" s="3407"/>
      <c r="AAU4" s="3407"/>
      <c r="AAV4" s="3407"/>
      <c r="AAW4" s="3407"/>
      <c r="AAX4" s="3407"/>
      <c r="AAY4" s="3407"/>
      <c r="AAZ4" s="3407"/>
      <c r="ABA4" s="3407"/>
      <c r="ABB4" s="3407"/>
      <c r="ABC4" s="3407"/>
      <c r="ABD4" s="3407"/>
      <c r="ABE4" s="3407"/>
      <c r="ABF4" s="3407"/>
      <c r="ABG4" s="3407"/>
      <c r="ABH4" s="3407"/>
      <c r="ABI4" s="3407"/>
      <c r="ABJ4" s="3407"/>
      <c r="ABK4" s="3407"/>
      <c r="ABL4" s="3407"/>
      <c r="ABM4" s="3407"/>
      <c r="ABN4" s="3407"/>
      <c r="ABO4" s="3407"/>
      <c r="ABP4" s="3407"/>
      <c r="ABQ4" s="3407"/>
      <c r="ABR4" s="3407"/>
      <c r="ABS4" s="3407"/>
      <c r="ABT4" s="3407"/>
      <c r="ABU4" s="3407"/>
      <c r="ABV4" s="3407"/>
      <c r="ABW4" s="3407"/>
      <c r="ABX4" s="3407"/>
      <c r="ABY4" s="3407"/>
      <c r="ABZ4" s="3407"/>
      <c r="ACA4" s="3407"/>
      <c r="ACB4" s="3407"/>
      <c r="ACC4" s="3407"/>
      <c r="ACD4" s="3407"/>
      <c r="ACE4" s="3407"/>
      <c r="ACF4" s="3407"/>
      <c r="ACG4" s="3407"/>
      <c r="ACH4" s="3407"/>
      <c r="ACI4" s="3407"/>
      <c r="ACJ4" s="3407"/>
      <c r="ACK4" s="3407"/>
      <c r="ACL4" s="3407"/>
      <c r="ACM4" s="3407"/>
      <c r="ACN4" s="3407"/>
      <c r="ACO4" s="3407"/>
      <c r="ACP4" s="3407"/>
      <c r="ACQ4" s="3407"/>
      <c r="ACR4" s="3407"/>
      <c r="ACS4" s="3407"/>
      <c r="ACT4" s="3407"/>
      <c r="ACU4" s="3407"/>
      <c r="ACV4" s="3407"/>
      <c r="ACW4" s="3407"/>
      <c r="ACX4" s="3407"/>
      <c r="ACY4" s="3407"/>
      <c r="ACZ4" s="3407"/>
      <c r="ADA4" s="3407"/>
      <c r="ADB4" s="3407"/>
      <c r="ADC4" s="3407"/>
      <c r="ADD4" s="3407"/>
      <c r="ADE4" s="3407"/>
      <c r="ADF4" s="3407"/>
      <c r="ADG4" s="3407"/>
      <c r="ADH4" s="3407"/>
      <c r="ADI4" s="3407"/>
      <c r="ADJ4" s="3407"/>
      <c r="ADK4" s="3407"/>
      <c r="ADL4" s="3407"/>
      <c r="ADM4" s="3407"/>
      <c r="ADN4" s="3407"/>
      <c r="ADO4" s="3407"/>
      <c r="ADP4" s="3407"/>
      <c r="ADQ4" s="3407"/>
      <c r="ADR4" s="3407"/>
      <c r="ADS4" s="3407"/>
      <c r="ADT4" s="3407"/>
      <c r="ADU4" s="3407"/>
      <c r="ADV4" s="3407"/>
      <c r="ADW4" s="3407"/>
      <c r="ADX4" s="3407"/>
      <c r="ADY4" s="3407"/>
      <c r="ADZ4" s="3407"/>
      <c r="AEA4" s="3407"/>
      <c r="AEB4" s="3407"/>
      <c r="AEC4" s="3407"/>
      <c r="AED4" s="3407"/>
      <c r="AEE4" s="3407"/>
      <c r="AEF4" s="3407"/>
      <c r="AEG4" s="3407"/>
      <c r="AEH4" s="3407"/>
      <c r="AEI4" s="3407"/>
      <c r="AEJ4" s="3407"/>
      <c r="AEK4" s="3407"/>
      <c r="AEL4" s="3407"/>
      <c r="AEM4" s="3407"/>
      <c r="AEN4" s="3407"/>
      <c r="AEO4" s="3407"/>
      <c r="AEP4" s="3407"/>
      <c r="AEQ4" s="3407"/>
      <c r="AER4" s="3407"/>
      <c r="AES4" s="3407"/>
      <c r="AET4" s="3407"/>
      <c r="AEU4" s="3407"/>
      <c r="AEV4" s="3407"/>
      <c r="AEW4" s="3407"/>
      <c r="AEX4" s="3407"/>
      <c r="AEY4" s="3407"/>
      <c r="AEZ4" s="3407"/>
      <c r="AFA4" s="3407"/>
      <c r="AFB4" s="3407"/>
      <c r="AFC4" s="3407"/>
      <c r="AFD4" s="3407"/>
      <c r="AFE4" s="3407"/>
      <c r="AFF4" s="3407"/>
      <c r="AFG4" s="3407"/>
      <c r="AFH4" s="3407"/>
      <c r="AFI4" s="3407"/>
      <c r="AFJ4" s="3407"/>
      <c r="AFK4" s="3407"/>
      <c r="AFL4" s="3407"/>
      <c r="AFM4" s="3407"/>
      <c r="AFN4" s="3407"/>
      <c r="AFO4" s="3407"/>
      <c r="AFP4" s="3407"/>
      <c r="AFQ4" s="3407"/>
      <c r="AFR4" s="3407"/>
      <c r="AFS4" s="3407"/>
      <c r="AFT4" s="3407"/>
      <c r="AFU4" s="3407"/>
      <c r="AFV4" s="3407"/>
      <c r="AFW4" s="3407"/>
      <c r="AFX4" s="3407"/>
      <c r="AFY4" s="3407"/>
      <c r="AFZ4" s="3407"/>
      <c r="AGA4" s="3407"/>
      <c r="AGB4" s="3407"/>
      <c r="AGC4" s="3407"/>
      <c r="AGD4" s="3407"/>
      <c r="AGE4" s="3407"/>
      <c r="AGF4" s="3407"/>
      <c r="AGG4" s="3407"/>
      <c r="AGH4" s="3407"/>
      <c r="AGI4" s="3407"/>
      <c r="AGJ4" s="3407"/>
      <c r="AGK4" s="3407"/>
      <c r="AGL4" s="3407"/>
      <c r="AGM4" s="3407"/>
      <c r="AGN4" s="3407"/>
      <c r="AGO4" s="3407"/>
      <c r="AGP4" s="3407"/>
      <c r="AGQ4" s="3407"/>
      <c r="AGR4" s="3407"/>
      <c r="AGS4" s="3407"/>
      <c r="AGT4" s="3407"/>
      <c r="AGU4" s="3407"/>
      <c r="AGV4" s="3407"/>
      <c r="AGW4" s="3407"/>
      <c r="AGX4" s="3407"/>
      <c r="AGY4" s="3407"/>
      <c r="AGZ4" s="3407"/>
      <c r="AHA4" s="3407"/>
      <c r="AHB4" s="3407"/>
      <c r="AHC4" s="3407"/>
      <c r="AHD4" s="3407"/>
      <c r="AHE4" s="3407"/>
      <c r="AHF4" s="3407"/>
      <c r="AHG4" s="3407"/>
      <c r="AHH4" s="3407"/>
      <c r="AHI4" s="3407"/>
      <c r="AHJ4" s="3407"/>
      <c r="AHK4" s="3407"/>
      <c r="AHL4" s="3407"/>
      <c r="AHM4" s="3407"/>
      <c r="AHN4" s="3407"/>
      <c r="AHO4" s="3407"/>
      <c r="AHP4" s="3407"/>
      <c r="AHQ4" s="3407"/>
      <c r="AHR4" s="3407"/>
      <c r="AHS4" s="3407"/>
      <c r="AHT4" s="3407"/>
      <c r="AHU4" s="3407"/>
      <c r="AHV4" s="3407"/>
      <c r="AHW4" s="3407"/>
      <c r="AHX4" s="3407"/>
      <c r="AHY4" s="3407"/>
      <c r="AHZ4" s="3407"/>
      <c r="AIA4" s="3407"/>
      <c r="AIB4" s="3407"/>
      <c r="AIC4" s="3407"/>
      <c r="AID4" s="3407"/>
      <c r="AIE4" s="3407"/>
      <c r="AIF4" s="3407"/>
      <c r="AIG4" s="3407"/>
      <c r="AIH4" s="3407"/>
      <c r="AII4" s="3407"/>
      <c r="AIJ4" s="3407"/>
      <c r="AIK4" s="3407"/>
      <c r="AIL4" s="3407"/>
      <c r="AIM4" s="3407"/>
      <c r="AIN4" s="3407"/>
      <c r="AIO4" s="3407"/>
      <c r="AIP4" s="3407"/>
      <c r="AIQ4" s="3407"/>
      <c r="AIR4" s="3407"/>
      <c r="AIS4" s="3407"/>
      <c r="AIT4" s="3407"/>
      <c r="AIU4" s="3407"/>
      <c r="AIV4" s="3407"/>
      <c r="AIW4" s="3407"/>
      <c r="AIX4" s="3407"/>
      <c r="AIY4" s="3407"/>
      <c r="AIZ4" s="3407"/>
      <c r="AJA4" s="3407"/>
      <c r="AJB4" s="3407"/>
      <c r="AJC4" s="3407"/>
      <c r="AJD4" s="3407"/>
      <c r="AJE4" s="3407"/>
      <c r="AJF4" s="3407"/>
      <c r="AJG4" s="3407"/>
      <c r="AJH4" s="3407"/>
      <c r="AJI4" s="3407"/>
      <c r="AJJ4" s="3407"/>
      <c r="AJK4" s="3407"/>
      <c r="AJL4" s="3407"/>
      <c r="AJM4" s="3407"/>
      <c r="AJN4" s="3407"/>
      <c r="AJO4" s="3407"/>
      <c r="AJP4" s="3407"/>
      <c r="AJQ4" s="3407"/>
      <c r="AJR4" s="3407"/>
      <c r="AJS4" s="3407"/>
      <c r="AJT4" s="3407"/>
      <c r="AJU4" s="3407"/>
      <c r="AJV4" s="3407"/>
      <c r="AJW4" s="3407"/>
      <c r="AJX4" s="3407"/>
      <c r="AJY4" s="3407"/>
      <c r="AJZ4" s="3407"/>
      <c r="AKA4" s="3407"/>
      <c r="AKB4" s="3407"/>
      <c r="AKC4" s="3407"/>
      <c r="AKD4" s="3407"/>
      <c r="AKE4" s="3407"/>
      <c r="AKF4" s="3407"/>
      <c r="AKG4" s="3407"/>
      <c r="AKH4" s="3407"/>
      <c r="AKI4" s="3407"/>
      <c r="AKJ4" s="3407"/>
      <c r="AKK4" s="3407"/>
      <c r="AKL4" s="3407"/>
      <c r="AKM4" s="3407"/>
      <c r="AKN4" s="3407"/>
      <c r="AKO4" s="3407"/>
      <c r="AKP4" s="3407"/>
      <c r="AKQ4" s="3407"/>
      <c r="AKR4" s="3407"/>
      <c r="AKS4" s="3407"/>
      <c r="AKT4" s="3407"/>
      <c r="AKU4" s="3407"/>
      <c r="AKV4" s="3407"/>
      <c r="AKW4" s="3407"/>
      <c r="AKX4" s="3407"/>
      <c r="AKY4" s="3407"/>
      <c r="AKZ4" s="3407"/>
      <c r="ALA4" s="3407"/>
      <c r="ALB4" s="3407"/>
      <c r="ALC4" s="3407"/>
      <c r="ALD4" s="3407"/>
      <c r="ALE4" s="3407"/>
      <c r="ALF4" s="3407"/>
      <c r="ALG4" s="3407"/>
      <c r="ALH4" s="3407"/>
      <c r="ALI4" s="3407"/>
      <c r="ALJ4" s="3407"/>
      <c r="ALK4" s="3407"/>
      <c r="ALL4" s="3407"/>
      <c r="ALM4" s="3407"/>
      <c r="ALN4" s="3407"/>
      <c r="ALO4" s="3407"/>
      <c r="ALP4" s="3407"/>
      <c r="ALQ4" s="3407"/>
      <c r="ALR4" s="3407"/>
      <c r="ALS4" s="3407"/>
      <c r="ALT4" s="3407"/>
      <c r="ALU4" s="3407"/>
      <c r="ALV4" s="3407"/>
      <c r="ALW4" s="3407"/>
      <c r="ALX4" s="3407"/>
      <c r="ALY4" s="3407"/>
      <c r="ALZ4" s="3407"/>
      <c r="AMA4" s="3407"/>
      <c r="AMB4" s="3407"/>
      <c r="AMC4" s="3407"/>
      <c r="AMD4" s="3407"/>
      <c r="AME4" s="3407"/>
      <c r="AMF4" s="3407"/>
      <c r="AMG4" s="3407"/>
      <c r="AMH4" s="3407"/>
      <c r="AMI4" s="3407"/>
      <c r="AMJ4" s="3407"/>
      <c r="AMK4" s="3407"/>
      <c r="AML4" s="3407"/>
      <c r="AMM4" s="3407"/>
      <c r="AMN4" s="3407"/>
      <c r="AMO4" s="3407"/>
      <c r="AMP4" s="3407"/>
      <c r="AMQ4" s="3407"/>
      <c r="AMR4" s="3407"/>
      <c r="AMS4" s="3407"/>
      <c r="AMT4" s="3407"/>
      <c r="AMU4" s="3407"/>
      <c r="AMV4" s="3407"/>
      <c r="AMW4" s="3407"/>
      <c r="AMX4" s="3407"/>
      <c r="AMY4" s="3407"/>
      <c r="AMZ4" s="3407"/>
      <c r="ANA4" s="3407"/>
      <c r="ANB4" s="3407"/>
      <c r="ANC4" s="3407"/>
      <c r="AND4" s="3407"/>
      <c r="ANE4" s="3407"/>
      <c r="ANF4" s="3407"/>
      <c r="ANG4" s="3407"/>
      <c r="ANH4" s="3407"/>
      <c r="ANI4" s="3407"/>
      <c r="ANJ4" s="3407"/>
      <c r="ANK4" s="3407"/>
      <c r="ANL4" s="3407"/>
      <c r="ANM4" s="3407"/>
      <c r="ANN4" s="3407"/>
      <c r="ANO4" s="3407"/>
      <c r="ANP4" s="3407"/>
      <c r="ANQ4" s="3407"/>
      <c r="ANR4" s="3407"/>
      <c r="ANS4" s="3407"/>
      <c r="ANT4" s="3407"/>
      <c r="ANU4" s="3407"/>
      <c r="ANV4" s="3407"/>
      <c r="ANW4" s="3407"/>
      <c r="ANX4" s="3407"/>
      <c r="ANY4" s="3407"/>
      <c r="ANZ4" s="3407"/>
      <c r="AOA4" s="3407"/>
      <c r="AOB4" s="3407"/>
      <c r="AOC4" s="3407"/>
      <c r="AOD4" s="3407"/>
      <c r="AOE4" s="3407"/>
      <c r="AOF4" s="3407"/>
      <c r="AOG4" s="3407"/>
      <c r="AOH4" s="3407"/>
      <c r="AOI4" s="3407"/>
      <c r="AOJ4" s="3407"/>
      <c r="AOK4" s="3407"/>
      <c r="AOL4" s="3407"/>
      <c r="AOM4" s="3407"/>
      <c r="AON4" s="3407"/>
      <c r="AOO4" s="3407"/>
      <c r="AOP4" s="3407"/>
      <c r="AOQ4" s="3407"/>
      <c r="AOR4" s="3407"/>
      <c r="AOS4" s="3407"/>
      <c r="AOT4" s="3407"/>
      <c r="AOU4" s="3407"/>
      <c r="AOV4" s="3407"/>
      <c r="AOW4" s="3407"/>
      <c r="AOX4" s="3407"/>
      <c r="AOY4" s="3407"/>
      <c r="AOZ4" s="3407"/>
      <c r="APA4" s="3407"/>
      <c r="APB4" s="3407"/>
      <c r="APC4" s="3407"/>
      <c r="APD4" s="3407"/>
      <c r="APE4" s="3407"/>
      <c r="APF4" s="3407"/>
      <c r="APG4" s="3407"/>
      <c r="APH4" s="3407"/>
      <c r="API4" s="3407"/>
      <c r="APJ4" s="3407"/>
      <c r="APK4" s="3407"/>
      <c r="APL4" s="3407"/>
      <c r="APM4" s="3407"/>
      <c r="APN4" s="3407"/>
      <c r="APO4" s="3407"/>
      <c r="APP4" s="3407"/>
      <c r="APQ4" s="3407"/>
      <c r="APR4" s="3407"/>
      <c r="APS4" s="3407"/>
      <c r="APT4" s="3407"/>
      <c r="APU4" s="3407"/>
      <c r="APV4" s="3407"/>
      <c r="APW4" s="3407"/>
      <c r="APX4" s="3407"/>
      <c r="APY4" s="3407"/>
      <c r="APZ4" s="3407"/>
      <c r="AQA4" s="3407"/>
      <c r="AQB4" s="3407"/>
      <c r="AQC4" s="3407"/>
      <c r="AQD4" s="3407"/>
      <c r="AQE4" s="3407"/>
      <c r="AQF4" s="3407"/>
      <c r="AQG4" s="3407"/>
      <c r="AQH4" s="3407"/>
      <c r="AQI4" s="3407"/>
      <c r="AQJ4" s="3407"/>
      <c r="AQK4" s="3407"/>
      <c r="AQL4" s="3407"/>
      <c r="AQM4" s="3407"/>
      <c r="AQN4" s="3407"/>
      <c r="AQO4" s="3407"/>
      <c r="AQP4" s="3407"/>
      <c r="AQQ4" s="3407"/>
      <c r="AQR4" s="3407"/>
      <c r="AQS4" s="3407"/>
      <c r="AQT4" s="3407"/>
      <c r="AQU4" s="3407"/>
      <c r="AQV4" s="3407"/>
      <c r="AQW4" s="3407"/>
      <c r="AQX4" s="3407"/>
      <c r="AQY4" s="3407"/>
      <c r="AQZ4" s="3407"/>
      <c r="ARA4" s="3407"/>
      <c r="ARB4" s="3407"/>
      <c r="ARC4" s="3407"/>
      <c r="ARD4" s="3407"/>
      <c r="ARE4" s="3407"/>
      <c r="ARF4" s="3407"/>
      <c r="ARG4" s="3407"/>
      <c r="ARH4" s="3407"/>
      <c r="ARI4" s="3407"/>
      <c r="ARJ4" s="3407"/>
      <c r="ARK4" s="3407"/>
      <c r="ARL4" s="3407"/>
      <c r="ARM4" s="3407"/>
      <c r="ARN4" s="3407"/>
      <c r="ARO4" s="3407"/>
      <c r="ARP4" s="3407"/>
      <c r="ARQ4" s="3407"/>
      <c r="ARR4" s="3407"/>
      <c r="ARS4" s="3407"/>
      <c r="ART4" s="3407"/>
      <c r="ARU4" s="3407"/>
      <c r="ARV4" s="3407"/>
      <c r="ARW4" s="3407"/>
      <c r="ARX4" s="3407"/>
      <c r="ARY4" s="3407"/>
      <c r="ARZ4" s="3407"/>
      <c r="ASA4" s="3407"/>
      <c r="ASB4" s="3407"/>
      <c r="ASC4" s="3407"/>
      <c r="ASD4" s="3407"/>
      <c r="ASE4" s="3407"/>
      <c r="ASF4" s="3407"/>
      <c r="ASG4" s="3407"/>
      <c r="ASH4" s="3407"/>
      <c r="ASI4" s="3407"/>
      <c r="ASJ4" s="3407"/>
      <c r="ASK4" s="3407"/>
      <c r="ASL4" s="3407"/>
      <c r="ASM4" s="3407"/>
      <c r="ASN4" s="3407"/>
      <c r="ASO4" s="3407"/>
      <c r="ASP4" s="3407"/>
      <c r="ASQ4" s="3407"/>
      <c r="ASR4" s="3407"/>
      <c r="ASS4" s="3407"/>
      <c r="AST4" s="3407"/>
      <c r="ASU4" s="3407"/>
      <c r="ASV4" s="3407"/>
      <c r="ASW4" s="3407"/>
      <c r="ASX4" s="3407"/>
      <c r="ASY4" s="3407"/>
      <c r="ASZ4" s="3407"/>
      <c r="ATA4" s="3407"/>
      <c r="ATB4" s="3407"/>
      <c r="ATC4" s="3407"/>
      <c r="ATD4" s="3407"/>
      <c r="ATE4" s="3407"/>
      <c r="ATF4" s="3407"/>
      <c r="ATG4" s="3407"/>
      <c r="ATH4" s="3407"/>
      <c r="ATI4" s="3407"/>
      <c r="ATJ4" s="3407"/>
      <c r="ATK4" s="3407"/>
      <c r="ATL4" s="3407"/>
      <c r="ATM4" s="3407"/>
      <c r="ATN4" s="3407"/>
      <c r="ATO4" s="3407"/>
      <c r="ATP4" s="3407"/>
      <c r="ATQ4" s="3407"/>
      <c r="ATR4" s="3407"/>
      <c r="ATS4" s="3407"/>
      <c r="ATT4" s="3407"/>
      <c r="ATU4" s="3407"/>
      <c r="ATV4" s="3407"/>
      <c r="ATW4" s="3407"/>
      <c r="ATX4" s="3407"/>
      <c r="ATY4" s="3407"/>
      <c r="ATZ4" s="3407"/>
      <c r="AUA4" s="3407"/>
      <c r="AUB4" s="3407"/>
      <c r="AUC4" s="3407"/>
      <c r="AUD4" s="3407"/>
      <c r="AUE4" s="3407"/>
      <c r="AUF4" s="3407"/>
      <c r="AUG4" s="3407"/>
      <c r="AUH4" s="3407"/>
      <c r="AUI4" s="3407"/>
      <c r="AUJ4" s="3407"/>
      <c r="AUK4" s="3407"/>
      <c r="AUL4" s="3407"/>
      <c r="AUM4" s="3407"/>
      <c r="AUN4" s="3407"/>
      <c r="AUO4" s="3407"/>
      <c r="AUP4" s="3407"/>
      <c r="AUQ4" s="3407"/>
      <c r="AUR4" s="3407"/>
      <c r="AUS4" s="3407"/>
      <c r="AUT4" s="3407"/>
      <c r="AUU4" s="3407"/>
      <c r="AUV4" s="3407"/>
      <c r="AUW4" s="3407"/>
      <c r="AUX4" s="3407"/>
      <c r="AUY4" s="3407"/>
      <c r="AUZ4" s="3407"/>
      <c r="AVA4" s="3407"/>
      <c r="AVB4" s="3407"/>
      <c r="AVC4" s="3407"/>
      <c r="AVD4" s="3407"/>
      <c r="AVE4" s="3407"/>
      <c r="AVF4" s="3407"/>
      <c r="AVG4" s="3407"/>
      <c r="AVH4" s="3407"/>
      <c r="AVI4" s="3407"/>
      <c r="AVJ4" s="3407"/>
      <c r="AVK4" s="3407"/>
      <c r="AVL4" s="3407"/>
      <c r="AVM4" s="3407"/>
      <c r="AVN4" s="3407"/>
      <c r="AVO4" s="3407"/>
      <c r="AVP4" s="3407"/>
      <c r="AVQ4" s="3407"/>
      <c r="AVR4" s="3407"/>
      <c r="AVS4" s="3407"/>
      <c r="AVT4" s="3407"/>
      <c r="AVU4" s="3407"/>
      <c r="AVV4" s="3407"/>
      <c r="AVW4" s="3407"/>
      <c r="AVX4" s="3407"/>
      <c r="AVY4" s="3407"/>
      <c r="AVZ4" s="3407"/>
      <c r="AWA4" s="3407"/>
      <c r="AWB4" s="3407"/>
      <c r="AWC4" s="3407"/>
      <c r="AWD4" s="3407"/>
      <c r="AWE4" s="3407"/>
      <c r="AWF4" s="3407"/>
      <c r="AWG4" s="3407"/>
      <c r="AWH4" s="3407"/>
      <c r="AWI4" s="3407"/>
      <c r="AWJ4" s="3407"/>
      <c r="AWK4" s="3407"/>
      <c r="AWL4" s="3407"/>
      <c r="AWM4" s="3407"/>
      <c r="AWN4" s="3407"/>
      <c r="AWO4" s="3407"/>
      <c r="AWP4" s="3407"/>
      <c r="AWQ4" s="3407"/>
      <c r="AWR4" s="3407"/>
      <c r="AWS4" s="3407"/>
      <c r="AWT4" s="3407"/>
      <c r="AWU4" s="3407"/>
      <c r="AWV4" s="3407"/>
      <c r="AWW4" s="3407"/>
      <c r="AWX4" s="3407"/>
      <c r="AWY4" s="3407"/>
      <c r="AWZ4" s="3407"/>
      <c r="AXA4" s="3407"/>
      <c r="AXB4" s="3407"/>
      <c r="AXC4" s="3407"/>
      <c r="AXD4" s="3407"/>
      <c r="AXE4" s="3407"/>
      <c r="AXF4" s="3407"/>
      <c r="AXG4" s="3407"/>
      <c r="AXH4" s="3407"/>
      <c r="AXI4" s="3407"/>
      <c r="AXJ4" s="3407"/>
      <c r="AXK4" s="3407"/>
      <c r="AXL4" s="3407"/>
      <c r="AXM4" s="3407"/>
      <c r="AXN4" s="3407"/>
      <c r="AXO4" s="3407"/>
      <c r="AXP4" s="3407"/>
      <c r="AXQ4" s="3407"/>
      <c r="AXR4" s="3407"/>
      <c r="AXS4" s="3407"/>
      <c r="AXT4" s="3407"/>
      <c r="AXU4" s="3407"/>
      <c r="AXV4" s="3407"/>
      <c r="AXW4" s="3407"/>
      <c r="AXX4" s="3407"/>
      <c r="AXY4" s="3407"/>
      <c r="AXZ4" s="3407"/>
      <c r="AYA4" s="3407"/>
      <c r="AYB4" s="3407"/>
      <c r="AYC4" s="3407"/>
      <c r="AYD4" s="3407"/>
      <c r="AYE4" s="3407"/>
      <c r="AYF4" s="3407"/>
      <c r="AYG4" s="3407"/>
      <c r="AYH4" s="3407"/>
      <c r="AYI4" s="3407"/>
      <c r="AYJ4" s="3407"/>
      <c r="AYK4" s="3407"/>
      <c r="AYL4" s="3407"/>
      <c r="AYM4" s="3407"/>
      <c r="AYN4" s="3407"/>
      <c r="AYO4" s="3407"/>
      <c r="AYP4" s="3407"/>
      <c r="AYQ4" s="3407"/>
      <c r="AYR4" s="3407"/>
      <c r="AYS4" s="3407"/>
      <c r="AYT4" s="3407"/>
      <c r="AYU4" s="3407"/>
      <c r="AYV4" s="3407"/>
      <c r="AYW4" s="3407"/>
      <c r="AYX4" s="3407"/>
      <c r="AYY4" s="3407"/>
      <c r="AYZ4" s="3407"/>
      <c r="AZA4" s="3407"/>
      <c r="AZB4" s="3407"/>
      <c r="AZC4" s="3407"/>
      <c r="AZD4" s="3407"/>
      <c r="AZE4" s="3407"/>
      <c r="AZF4" s="3407"/>
      <c r="AZG4" s="3407"/>
      <c r="AZH4" s="3407"/>
      <c r="AZI4" s="3407"/>
      <c r="AZJ4" s="3407"/>
      <c r="AZK4" s="3407"/>
      <c r="AZL4" s="3407"/>
      <c r="AZM4" s="3407"/>
      <c r="AZN4" s="3407"/>
      <c r="AZO4" s="3407"/>
      <c r="AZP4" s="3407"/>
      <c r="AZQ4" s="3407"/>
      <c r="AZR4" s="3407"/>
      <c r="AZS4" s="3407"/>
      <c r="AZT4" s="3407"/>
      <c r="AZU4" s="3407"/>
      <c r="AZV4" s="3407"/>
      <c r="AZW4" s="3407"/>
      <c r="AZX4" s="3407"/>
      <c r="AZY4" s="3407"/>
      <c r="AZZ4" s="3407"/>
      <c r="BAA4" s="3407"/>
      <c r="BAB4" s="3407"/>
      <c r="BAC4" s="3407"/>
      <c r="BAD4" s="3407"/>
      <c r="BAE4" s="3407"/>
      <c r="BAF4" s="3407"/>
      <c r="BAG4" s="3407"/>
      <c r="BAH4" s="3407"/>
      <c r="BAI4" s="3407"/>
      <c r="BAJ4" s="3407"/>
      <c r="BAK4" s="3407"/>
      <c r="BAL4" s="3407"/>
      <c r="BAM4" s="3407"/>
      <c r="BAN4" s="3407"/>
      <c r="BAO4" s="3407"/>
      <c r="BAP4" s="3407"/>
      <c r="BAQ4" s="3407"/>
      <c r="BAR4" s="3407"/>
      <c r="BAS4" s="3407"/>
      <c r="BAT4" s="3407"/>
      <c r="BAU4" s="3407"/>
      <c r="BAV4" s="3407"/>
      <c r="BAW4" s="3407"/>
      <c r="BAX4" s="3407"/>
      <c r="BAY4" s="3407"/>
      <c r="BAZ4" s="3407"/>
      <c r="BBA4" s="3407"/>
      <c r="BBB4" s="3407"/>
      <c r="BBC4" s="3407"/>
      <c r="BBD4" s="3407"/>
      <c r="BBE4" s="3407"/>
      <c r="BBF4" s="3407"/>
      <c r="BBG4" s="3407"/>
      <c r="BBH4" s="3407"/>
      <c r="BBI4" s="3407"/>
      <c r="BBJ4" s="3407"/>
      <c r="BBK4" s="3407"/>
      <c r="BBL4" s="3407"/>
      <c r="BBM4" s="3407"/>
      <c r="BBN4" s="3407"/>
      <c r="BBO4" s="3407"/>
      <c r="BBP4" s="3407"/>
      <c r="BBQ4" s="3407"/>
      <c r="BBR4" s="3407"/>
      <c r="BBS4" s="3407"/>
      <c r="BBT4" s="3407"/>
      <c r="BBU4" s="3407"/>
      <c r="BBV4" s="3407"/>
      <c r="BBW4" s="3407"/>
      <c r="BBX4" s="3407"/>
      <c r="BBY4" s="3407"/>
      <c r="BBZ4" s="3407"/>
      <c r="BCA4" s="3407"/>
      <c r="BCB4" s="3407"/>
      <c r="BCC4" s="3407"/>
      <c r="BCD4" s="3407"/>
      <c r="BCE4" s="3407"/>
      <c r="BCF4" s="3407"/>
      <c r="BCG4" s="3407"/>
      <c r="BCH4" s="3407"/>
      <c r="BCI4" s="3407"/>
      <c r="BCJ4" s="3407"/>
      <c r="BCK4" s="3407"/>
      <c r="BCL4" s="3407"/>
      <c r="BCM4" s="3407"/>
      <c r="BCN4" s="3407"/>
      <c r="BCO4" s="3407"/>
      <c r="BCP4" s="3407"/>
      <c r="BCQ4" s="3407"/>
      <c r="BCR4" s="3407"/>
      <c r="BCS4" s="3407"/>
      <c r="BCT4" s="3407"/>
      <c r="BCU4" s="3407"/>
      <c r="BCV4" s="3407"/>
      <c r="BCW4" s="3407"/>
      <c r="BCX4" s="3407"/>
      <c r="BCY4" s="3407"/>
      <c r="BCZ4" s="3407"/>
      <c r="BDA4" s="3407"/>
      <c r="BDB4" s="3407"/>
      <c r="BDC4" s="3407"/>
      <c r="BDD4" s="3407"/>
      <c r="BDE4" s="3407"/>
      <c r="BDF4" s="3407"/>
      <c r="BDG4" s="3407"/>
      <c r="BDH4" s="3407"/>
      <c r="BDI4" s="3407"/>
      <c r="BDJ4" s="3407"/>
      <c r="BDK4" s="3407"/>
      <c r="BDL4" s="3407"/>
      <c r="BDM4" s="3407"/>
      <c r="BDN4" s="3407"/>
      <c r="BDO4" s="3407"/>
      <c r="BDP4" s="3407"/>
      <c r="BDQ4" s="3407"/>
      <c r="BDR4" s="3407"/>
      <c r="BDS4" s="3407"/>
      <c r="BDT4" s="3407"/>
      <c r="BDU4" s="3407"/>
      <c r="BDV4" s="3407"/>
      <c r="BDW4" s="3407"/>
      <c r="BDX4" s="3407"/>
      <c r="BDY4" s="3407"/>
      <c r="BDZ4" s="3407"/>
      <c r="BEA4" s="3407"/>
      <c r="BEB4" s="3407"/>
      <c r="BEC4" s="3407"/>
      <c r="BED4" s="3407"/>
      <c r="BEE4" s="3407"/>
      <c r="BEF4" s="3407"/>
      <c r="BEG4" s="3407"/>
      <c r="BEH4" s="3407"/>
      <c r="BEI4" s="3407"/>
      <c r="BEJ4" s="3407"/>
      <c r="BEK4" s="3407"/>
      <c r="BEL4" s="3407"/>
      <c r="BEM4" s="3407"/>
      <c r="BEN4" s="3407"/>
      <c r="BEO4" s="3407"/>
      <c r="BEP4" s="3407"/>
      <c r="BEQ4" s="3407"/>
      <c r="BER4" s="3407"/>
      <c r="BES4" s="3407"/>
      <c r="BET4" s="3407"/>
      <c r="BEU4" s="3407"/>
      <c r="BEV4" s="3407"/>
      <c r="BEW4" s="3407"/>
      <c r="BEX4" s="3407"/>
      <c r="BEY4" s="3407"/>
      <c r="BEZ4" s="3407"/>
      <c r="BFA4" s="3407"/>
      <c r="BFB4" s="3407"/>
      <c r="BFC4" s="3407"/>
      <c r="BFD4" s="3407"/>
      <c r="BFE4" s="3407"/>
      <c r="BFF4" s="3407"/>
      <c r="BFG4" s="3407"/>
      <c r="BFH4" s="3407"/>
      <c r="BFI4" s="3407"/>
      <c r="BFJ4" s="3407"/>
      <c r="BFK4" s="3407"/>
      <c r="BFL4" s="3407"/>
      <c r="BFM4" s="3407"/>
      <c r="BFN4" s="3407"/>
      <c r="BFO4" s="3407"/>
      <c r="BFP4" s="3407"/>
      <c r="BFQ4" s="3407"/>
      <c r="BFR4" s="3407"/>
      <c r="BFS4" s="3407"/>
      <c r="BFT4" s="3407"/>
      <c r="BFU4" s="3407"/>
      <c r="BFV4" s="3407"/>
      <c r="BFW4" s="3407"/>
      <c r="BFX4" s="3407"/>
      <c r="BFY4" s="3407"/>
      <c r="BFZ4" s="3407"/>
      <c r="BGA4" s="3407"/>
      <c r="BGB4" s="3407"/>
      <c r="BGC4" s="3407"/>
      <c r="BGD4" s="3407"/>
      <c r="BGE4" s="3407"/>
      <c r="BGF4" s="3407"/>
      <c r="BGG4" s="3407"/>
      <c r="BGH4" s="3407"/>
      <c r="BGI4" s="3407"/>
      <c r="BGJ4" s="3407"/>
      <c r="BGK4" s="3407"/>
      <c r="BGL4" s="3407"/>
      <c r="BGM4" s="3407"/>
      <c r="BGN4" s="3407"/>
      <c r="BGO4" s="3407"/>
      <c r="BGP4" s="3407"/>
      <c r="BGQ4" s="3407"/>
      <c r="BGR4" s="3407"/>
      <c r="BGS4" s="3407"/>
      <c r="BGT4" s="3407"/>
      <c r="BGU4" s="3407"/>
      <c r="BGV4" s="3407"/>
      <c r="BGW4" s="3407"/>
      <c r="BGX4" s="3407"/>
      <c r="BGY4" s="3407"/>
      <c r="BGZ4" s="3407"/>
      <c r="BHA4" s="3407"/>
      <c r="BHB4" s="3407"/>
      <c r="BHC4" s="3407"/>
      <c r="BHD4" s="3407"/>
      <c r="BHE4" s="3407"/>
      <c r="BHF4" s="3407"/>
      <c r="BHG4" s="3407"/>
      <c r="BHH4" s="3407"/>
      <c r="BHI4" s="3407"/>
      <c r="BHJ4" s="3407"/>
      <c r="BHK4" s="3407"/>
      <c r="BHL4" s="3407"/>
      <c r="BHM4" s="3407"/>
      <c r="BHN4" s="3407"/>
      <c r="BHO4" s="3407"/>
      <c r="BHP4" s="3407"/>
      <c r="BHQ4" s="3407"/>
      <c r="BHR4" s="3407"/>
      <c r="BHS4" s="3407"/>
      <c r="BHT4" s="3407"/>
      <c r="BHU4" s="3407"/>
      <c r="BHV4" s="3407"/>
      <c r="BHW4" s="3407"/>
      <c r="BHX4" s="3407"/>
      <c r="BHY4" s="3407"/>
      <c r="BHZ4" s="3407"/>
      <c r="BIA4" s="3407"/>
      <c r="BIB4" s="3407"/>
      <c r="BIC4" s="3407"/>
      <c r="BID4" s="3407"/>
      <c r="BIE4" s="3407"/>
      <c r="BIF4" s="3407"/>
      <c r="BIG4" s="3407"/>
      <c r="BIH4" s="3407"/>
      <c r="BII4" s="3407"/>
      <c r="BIJ4" s="3407"/>
      <c r="BIK4" s="3407"/>
      <c r="BIL4" s="3407"/>
      <c r="BIM4" s="3407"/>
      <c r="BIN4" s="3407"/>
      <c r="BIO4" s="3407"/>
      <c r="BIP4" s="3407"/>
      <c r="BIQ4" s="3407"/>
      <c r="BIR4" s="3407"/>
      <c r="BIS4" s="3407"/>
      <c r="BIT4" s="3407"/>
      <c r="BIU4" s="3407"/>
      <c r="BIV4" s="3407"/>
      <c r="BIW4" s="3407"/>
      <c r="BIX4" s="3407"/>
      <c r="BIY4" s="3407"/>
      <c r="BIZ4" s="3407"/>
      <c r="BJA4" s="3407"/>
      <c r="BJB4" s="3407"/>
      <c r="BJC4" s="3407"/>
      <c r="BJD4" s="3407"/>
      <c r="BJE4" s="3407"/>
      <c r="BJF4" s="3407"/>
      <c r="BJG4" s="3407"/>
      <c r="BJH4" s="3407"/>
      <c r="BJI4" s="3407"/>
      <c r="BJJ4" s="3407"/>
      <c r="BJK4" s="3407"/>
      <c r="BJL4" s="3407"/>
      <c r="BJM4" s="3407"/>
      <c r="BJN4" s="3407"/>
      <c r="BJO4" s="3407"/>
      <c r="BJP4" s="3407"/>
      <c r="BJQ4" s="3407"/>
      <c r="BJR4" s="3407"/>
      <c r="BJS4" s="3407"/>
      <c r="BJT4" s="3407"/>
      <c r="BJU4" s="3407"/>
      <c r="BJV4" s="3407"/>
      <c r="BJW4" s="3407"/>
      <c r="BJX4" s="3407"/>
      <c r="BJY4" s="3407"/>
      <c r="BJZ4" s="3407"/>
      <c r="BKA4" s="3407"/>
      <c r="BKB4" s="3407"/>
      <c r="BKC4" s="3407"/>
      <c r="BKD4" s="3407"/>
      <c r="BKE4" s="3407"/>
      <c r="BKF4" s="3407"/>
      <c r="BKG4" s="3407"/>
      <c r="BKH4" s="3407"/>
      <c r="BKI4" s="3407"/>
      <c r="BKJ4" s="3407"/>
      <c r="BKK4" s="3407"/>
      <c r="BKL4" s="3407"/>
      <c r="BKM4" s="3407"/>
      <c r="BKN4" s="3407"/>
      <c r="BKO4" s="3407"/>
      <c r="BKP4" s="3407"/>
      <c r="BKQ4" s="3407"/>
      <c r="BKR4" s="3407"/>
      <c r="BKS4" s="3407"/>
      <c r="BKT4" s="3407"/>
      <c r="BKU4" s="3407"/>
      <c r="BKV4" s="3407"/>
      <c r="BKW4" s="3407"/>
      <c r="BKX4" s="3407"/>
      <c r="BKY4" s="3407"/>
      <c r="BKZ4" s="3407"/>
      <c r="BLA4" s="3407"/>
      <c r="BLB4" s="3407"/>
      <c r="BLC4" s="3407"/>
      <c r="BLD4" s="3407"/>
      <c r="BLE4" s="3407"/>
      <c r="BLF4" s="3407"/>
      <c r="BLG4" s="3407"/>
      <c r="BLH4" s="3407"/>
      <c r="BLI4" s="3407"/>
      <c r="BLJ4" s="3407"/>
      <c r="BLK4" s="3407"/>
      <c r="BLL4" s="3407"/>
      <c r="BLM4" s="3407"/>
      <c r="BLN4" s="3407"/>
      <c r="BLO4" s="3407"/>
      <c r="BLP4" s="3407"/>
      <c r="BLQ4" s="3407"/>
      <c r="BLR4" s="3407"/>
      <c r="BLS4" s="3407"/>
      <c r="BLT4" s="3407"/>
      <c r="BLU4" s="3407"/>
      <c r="BLV4" s="3407"/>
      <c r="BLW4" s="3407"/>
      <c r="BLX4" s="3407"/>
      <c r="BLY4" s="3407"/>
      <c r="BLZ4" s="3407"/>
      <c r="BMA4" s="3407"/>
      <c r="BMB4" s="3407"/>
      <c r="BMC4" s="3407"/>
      <c r="BMD4" s="3407"/>
      <c r="BME4" s="3407"/>
      <c r="BMF4" s="3407"/>
      <c r="BMG4" s="3407"/>
      <c r="BMH4" s="3407"/>
      <c r="BMI4" s="3407"/>
      <c r="BMJ4" s="3407"/>
      <c r="BMK4" s="3407"/>
      <c r="BML4" s="3407"/>
      <c r="BMM4" s="3407"/>
      <c r="BMN4" s="3407"/>
      <c r="BMO4" s="3407"/>
      <c r="BMP4" s="3407"/>
      <c r="BMQ4" s="3407"/>
      <c r="BMR4" s="3407"/>
      <c r="BMS4" s="3407"/>
      <c r="BMT4" s="3407"/>
      <c r="BMU4" s="3407"/>
      <c r="BMV4" s="3407"/>
      <c r="BMW4" s="3407"/>
      <c r="BMX4" s="3407"/>
      <c r="BMY4" s="3407"/>
      <c r="BMZ4" s="3407"/>
      <c r="BNA4" s="3407"/>
      <c r="BNB4" s="3407"/>
      <c r="BNC4" s="3407"/>
      <c r="BND4" s="3407"/>
      <c r="BNE4" s="3407"/>
      <c r="BNF4" s="3407"/>
      <c r="BNG4" s="3407"/>
      <c r="BNH4" s="3407"/>
      <c r="BNI4" s="3407"/>
      <c r="BNJ4" s="3407"/>
      <c r="BNK4" s="3407"/>
      <c r="BNL4" s="3407"/>
      <c r="BNM4" s="3407"/>
      <c r="BNN4" s="3407"/>
      <c r="BNO4" s="3407"/>
      <c r="BNP4" s="3407"/>
      <c r="BNQ4" s="3407"/>
      <c r="BNR4" s="3407"/>
      <c r="BNS4" s="3407"/>
      <c r="BNT4" s="3407"/>
      <c r="BNU4" s="3407"/>
      <c r="BNV4" s="3407"/>
      <c r="BNW4" s="3407"/>
      <c r="BNX4" s="3407"/>
      <c r="BNY4" s="3407"/>
      <c r="BNZ4" s="3407"/>
      <c r="BOA4" s="3407"/>
      <c r="BOB4" s="3407"/>
      <c r="BOC4" s="3407"/>
      <c r="BOD4" s="3407"/>
      <c r="BOE4" s="3407"/>
      <c r="BOF4" s="3407"/>
      <c r="BOG4" s="3407"/>
      <c r="BOH4" s="3407"/>
      <c r="BOI4" s="3407"/>
      <c r="BOJ4" s="3407"/>
      <c r="BOK4" s="3407"/>
      <c r="BOL4" s="3407"/>
      <c r="BOM4" s="3407"/>
      <c r="BON4" s="3407"/>
      <c r="BOO4" s="3407"/>
      <c r="BOP4" s="3407"/>
      <c r="BOQ4" s="3407"/>
      <c r="BOR4" s="3407"/>
      <c r="BOS4" s="3407"/>
      <c r="BOT4" s="3407"/>
      <c r="BOU4" s="3407"/>
      <c r="BOV4" s="3407"/>
      <c r="BOW4" s="3407"/>
      <c r="BOX4" s="3407"/>
      <c r="BOY4" s="3407"/>
      <c r="BOZ4" s="3407"/>
      <c r="BPA4" s="3407"/>
      <c r="BPB4" s="3407"/>
      <c r="BPC4" s="3407"/>
      <c r="BPD4" s="3407"/>
      <c r="BPE4" s="3407"/>
      <c r="BPF4" s="3407"/>
      <c r="BPG4" s="3407"/>
      <c r="BPH4" s="3407"/>
      <c r="BPI4" s="3407"/>
      <c r="BPJ4" s="3407"/>
      <c r="BPK4" s="3407"/>
      <c r="BPL4" s="3407"/>
      <c r="BPM4" s="3407"/>
      <c r="BPN4" s="3407"/>
      <c r="BPO4" s="3407"/>
      <c r="BPP4" s="3407"/>
      <c r="BPQ4" s="3407"/>
      <c r="BPR4" s="3407"/>
      <c r="BPS4" s="3407"/>
      <c r="BPT4" s="3407"/>
      <c r="BPU4" s="3407"/>
      <c r="BPV4" s="3407"/>
      <c r="BPW4" s="3407"/>
      <c r="BPX4" s="3407"/>
      <c r="BPY4" s="3407"/>
      <c r="BPZ4" s="3407"/>
      <c r="BQA4" s="3407"/>
      <c r="BQB4" s="3407"/>
      <c r="BQC4" s="3407"/>
      <c r="BQD4" s="3407"/>
      <c r="BQE4" s="3407"/>
      <c r="BQF4" s="3407"/>
      <c r="BQG4" s="3407"/>
      <c r="BQH4" s="3407"/>
      <c r="BQI4" s="3407"/>
      <c r="BQJ4" s="3407"/>
      <c r="BQK4" s="3407"/>
      <c r="BQL4" s="3407"/>
      <c r="BQM4" s="3407"/>
      <c r="BQN4" s="3407"/>
      <c r="BQO4" s="3407"/>
      <c r="BQP4" s="3407"/>
      <c r="BQQ4" s="3407"/>
      <c r="BQR4" s="3407"/>
      <c r="BQS4" s="3407"/>
      <c r="BQT4" s="3407"/>
      <c r="BQU4" s="3407"/>
      <c r="BQV4" s="3407"/>
      <c r="BQW4" s="3407"/>
      <c r="BQX4" s="3407"/>
      <c r="BQY4" s="3407"/>
      <c r="BQZ4" s="3407"/>
      <c r="BRA4" s="3407"/>
      <c r="BRB4" s="3407"/>
      <c r="BRC4" s="3407"/>
      <c r="BRD4" s="3407"/>
      <c r="BRE4" s="3407"/>
      <c r="BRF4" s="3407"/>
      <c r="BRG4" s="3407"/>
      <c r="BRH4" s="3407"/>
      <c r="BRI4" s="3407"/>
      <c r="BRJ4" s="3407"/>
      <c r="BRK4" s="3407"/>
      <c r="BRL4" s="3407"/>
      <c r="BRM4" s="3407"/>
      <c r="BRN4" s="3407"/>
      <c r="BRO4" s="3407"/>
      <c r="BRP4" s="3407"/>
      <c r="BRQ4" s="3407"/>
      <c r="BRR4" s="3407"/>
      <c r="BRS4" s="3407"/>
      <c r="BRT4" s="3407"/>
      <c r="BRU4" s="3407"/>
      <c r="BRV4" s="3407"/>
      <c r="BRW4" s="3407"/>
      <c r="BRX4" s="3407"/>
      <c r="BRY4" s="3407"/>
      <c r="BRZ4" s="3407"/>
      <c r="BSA4" s="3407"/>
      <c r="BSB4" s="3407"/>
      <c r="BSC4" s="3407"/>
      <c r="BSD4" s="3407"/>
      <c r="BSE4" s="3407"/>
      <c r="BSF4" s="3407"/>
      <c r="BSG4" s="3407"/>
      <c r="BSH4" s="3407"/>
      <c r="BSI4" s="3407"/>
      <c r="BSJ4" s="3407"/>
      <c r="BSK4" s="3407"/>
      <c r="BSL4" s="3407"/>
      <c r="BSM4" s="3407"/>
      <c r="BSN4" s="3407"/>
      <c r="BSO4" s="3407"/>
      <c r="BSP4" s="3407"/>
      <c r="BSQ4" s="3407"/>
      <c r="BSR4" s="3407"/>
      <c r="BSS4" s="3407"/>
      <c r="BST4" s="3407"/>
      <c r="BSU4" s="3407"/>
      <c r="BSV4" s="3407"/>
      <c r="BSW4" s="3407"/>
      <c r="BSX4" s="3407"/>
      <c r="BSY4" s="3407"/>
      <c r="BSZ4" s="3407"/>
      <c r="BTA4" s="3407"/>
      <c r="BTB4" s="3407"/>
      <c r="BTC4" s="3407"/>
      <c r="BTD4" s="3407"/>
      <c r="BTE4" s="3407"/>
      <c r="BTF4" s="3407"/>
      <c r="BTG4" s="3407"/>
      <c r="BTH4" s="3407"/>
      <c r="BTI4" s="3407"/>
      <c r="BTJ4" s="3407"/>
      <c r="BTK4" s="3407"/>
      <c r="BTL4" s="3407"/>
      <c r="BTM4" s="3407"/>
      <c r="BTN4" s="3407"/>
      <c r="BTO4" s="3407"/>
      <c r="BTP4" s="3407"/>
      <c r="BTQ4" s="3407"/>
      <c r="BTR4" s="3407"/>
      <c r="BTS4" s="3407"/>
      <c r="BTT4" s="3407"/>
      <c r="BTU4" s="3407"/>
      <c r="BTV4" s="3407"/>
      <c r="BTW4" s="3407"/>
      <c r="BTX4" s="3407"/>
      <c r="BTY4" s="3407"/>
      <c r="BTZ4" s="3407"/>
      <c r="BUA4" s="3407"/>
      <c r="BUB4" s="3407"/>
      <c r="BUC4" s="3407"/>
      <c r="BUD4" s="3407"/>
      <c r="BUE4" s="3407"/>
      <c r="BUF4" s="3407"/>
      <c r="BUG4" s="3407"/>
      <c r="BUH4" s="3407"/>
      <c r="BUI4" s="3407"/>
      <c r="BUJ4" s="3407"/>
      <c r="BUK4" s="3407"/>
      <c r="BUL4" s="3407"/>
      <c r="BUM4" s="3407"/>
      <c r="BUN4" s="3407"/>
      <c r="BUO4" s="3407"/>
      <c r="BUP4" s="3407"/>
      <c r="BUQ4" s="3407"/>
      <c r="BUR4" s="3407"/>
      <c r="BUS4" s="3407"/>
      <c r="BUT4" s="3407"/>
      <c r="BUU4" s="3407"/>
      <c r="BUV4" s="3407"/>
      <c r="BUW4" s="3407"/>
      <c r="BUX4" s="3407"/>
      <c r="BUY4" s="3407"/>
      <c r="BUZ4" s="3407"/>
      <c r="BVA4" s="3407"/>
      <c r="BVB4" s="3407"/>
      <c r="BVC4" s="3407"/>
      <c r="BVD4" s="3407"/>
      <c r="BVE4" s="3407"/>
      <c r="BVF4" s="3407"/>
      <c r="BVG4" s="3407"/>
      <c r="BVH4" s="3407"/>
      <c r="BVI4" s="3407"/>
      <c r="BVJ4" s="3407"/>
      <c r="BVK4" s="3407"/>
      <c r="BVL4" s="3407"/>
      <c r="BVM4" s="3407"/>
      <c r="BVN4" s="3407"/>
      <c r="BVO4" s="3407"/>
      <c r="BVP4" s="3407"/>
      <c r="BVQ4" s="3407"/>
      <c r="BVR4" s="3407"/>
      <c r="BVS4" s="3407"/>
      <c r="BVT4" s="3407"/>
      <c r="BVU4" s="3407"/>
      <c r="BVV4" s="3407"/>
      <c r="BVW4" s="3407"/>
      <c r="BVX4" s="3407"/>
      <c r="BVY4" s="3407"/>
      <c r="BVZ4" s="3407"/>
      <c r="BWA4" s="3407"/>
      <c r="BWB4" s="3407"/>
      <c r="BWC4" s="3407"/>
      <c r="BWD4" s="3407"/>
      <c r="BWE4" s="3407"/>
      <c r="BWF4" s="3407"/>
      <c r="BWG4" s="3407"/>
      <c r="BWH4" s="3407"/>
      <c r="BWI4" s="3407"/>
      <c r="BWJ4" s="3407"/>
      <c r="BWK4" s="3407"/>
      <c r="BWL4" s="3407"/>
      <c r="BWM4" s="3407"/>
      <c r="BWN4" s="3407"/>
      <c r="BWO4" s="3407"/>
      <c r="BWP4" s="3407"/>
      <c r="BWQ4" s="3407"/>
      <c r="BWR4" s="3407"/>
      <c r="BWS4" s="3407"/>
      <c r="BWT4" s="3407"/>
      <c r="BWU4" s="3407"/>
      <c r="BWV4" s="3407"/>
      <c r="BWW4" s="3407"/>
      <c r="BWX4" s="3407"/>
      <c r="BWY4" s="3407"/>
      <c r="BWZ4" s="3407"/>
      <c r="BXA4" s="3407"/>
      <c r="BXB4" s="3407"/>
      <c r="BXC4" s="3407"/>
      <c r="BXD4" s="3407"/>
      <c r="BXE4" s="3407"/>
      <c r="BXF4" s="3407"/>
      <c r="BXG4" s="3407"/>
      <c r="BXH4" s="3407"/>
      <c r="BXI4" s="3407"/>
      <c r="BXJ4" s="3407"/>
      <c r="BXK4" s="3407"/>
      <c r="BXL4" s="3407"/>
      <c r="BXM4" s="3407"/>
      <c r="BXN4" s="3407"/>
      <c r="BXO4" s="3407"/>
      <c r="BXP4" s="3407"/>
      <c r="BXQ4" s="3407"/>
      <c r="BXR4" s="3407"/>
      <c r="BXS4" s="3407"/>
      <c r="BXT4" s="3407"/>
      <c r="BXU4" s="3407"/>
      <c r="BXV4" s="3407"/>
      <c r="BXW4" s="3407"/>
      <c r="BXX4" s="3407"/>
      <c r="BXY4" s="3407"/>
      <c r="BXZ4" s="3407"/>
      <c r="BYA4" s="3407"/>
      <c r="BYB4" s="3407"/>
      <c r="BYC4" s="3407"/>
      <c r="BYD4" s="3407"/>
      <c r="BYE4" s="3407"/>
      <c r="BYF4" s="3407"/>
      <c r="BYG4" s="3407"/>
      <c r="BYH4" s="3407"/>
      <c r="BYI4" s="3407"/>
      <c r="BYJ4" s="3407"/>
      <c r="BYK4" s="3407"/>
      <c r="BYL4" s="3407"/>
      <c r="BYM4" s="3407"/>
      <c r="BYN4" s="3407"/>
      <c r="BYO4" s="3407"/>
      <c r="BYP4" s="3407"/>
      <c r="BYQ4" s="3407"/>
      <c r="BYR4" s="3407"/>
      <c r="BYS4" s="3407"/>
      <c r="BYT4" s="3407"/>
      <c r="BYU4" s="3407"/>
      <c r="BYV4" s="3407"/>
      <c r="BYW4" s="3407"/>
      <c r="BYX4" s="3407"/>
      <c r="BYY4" s="3407"/>
      <c r="BYZ4" s="3407"/>
      <c r="BZA4" s="3407"/>
      <c r="BZB4" s="3407"/>
      <c r="BZC4" s="3407"/>
      <c r="BZD4" s="3407"/>
      <c r="BZE4" s="3407"/>
      <c r="BZF4" s="3407"/>
      <c r="BZG4" s="3407"/>
      <c r="BZH4" s="3407"/>
      <c r="BZI4" s="3407"/>
      <c r="BZJ4" s="3407"/>
      <c r="BZK4" s="3407"/>
      <c r="BZL4" s="3407"/>
      <c r="BZM4" s="3407"/>
      <c r="BZN4" s="3407"/>
      <c r="BZO4" s="3407"/>
      <c r="BZP4" s="3407"/>
      <c r="BZQ4" s="3407"/>
      <c r="BZR4" s="3407"/>
      <c r="BZS4" s="3407"/>
      <c r="BZT4" s="3407"/>
      <c r="BZU4" s="3407"/>
      <c r="BZV4" s="3407"/>
      <c r="BZW4" s="3407"/>
      <c r="BZX4" s="3407"/>
      <c r="BZY4" s="3407"/>
      <c r="BZZ4" s="3407"/>
      <c r="CAA4" s="3407"/>
      <c r="CAB4" s="3407"/>
      <c r="CAC4" s="3407"/>
      <c r="CAD4" s="3407"/>
      <c r="CAE4" s="3407"/>
      <c r="CAF4" s="3407"/>
      <c r="CAG4" s="3407"/>
      <c r="CAH4" s="3407"/>
      <c r="CAI4" s="3407"/>
      <c r="CAJ4" s="3407"/>
      <c r="CAK4" s="3407"/>
      <c r="CAL4" s="3407"/>
      <c r="CAM4" s="3407"/>
      <c r="CAN4" s="3407"/>
      <c r="CAO4" s="3407"/>
      <c r="CAP4" s="3407"/>
      <c r="CAQ4" s="3407"/>
      <c r="CAR4" s="3407"/>
      <c r="CAS4" s="3407"/>
      <c r="CAT4" s="3407"/>
      <c r="CAU4" s="3407"/>
      <c r="CAV4" s="3407"/>
      <c r="CAW4" s="3407"/>
      <c r="CAX4" s="3407"/>
      <c r="CAY4" s="3407"/>
      <c r="CAZ4" s="3407"/>
      <c r="CBA4" s="3407"/>
      <c r="CBB4" s="3407"/>
      <c r="CBC4" s="3407"/>
      <c r="CBD4" s="3407"/>
      <c r="CBE4" s="3407"/>
      <c r="CBF4" s="3407"/>
      <c r="CBG4" s="3407"/>
      <c r="CBH4" s="3407"/>
      <c r="CBI4" s="3407"/>
      <c r="CBJ4" s="3407"/>
      <c r="CBK4" s="3407"/>
      <c r="CBL4" s="3407"/>
      <c r="CBM4" s="3407"/>
      <c r="CBN4" s="3407"/>
      <c r="CBO4" s="3407"/>
      <c r="CBP4" s="3407"/>
      <c r="CBQ4" s="3407"/>
      <c r="CBR4" s="3407"/>
      <c r="CBS4" s="3407"/>
      <c r="CBT4" s="3407"/>
      <c r="CBU4" s="3407"/>
      <c r="CBV4" s="3407"/>
      <c r="CBW4" s="3407"/>
      <c r="CBX4" s="3407"/>
      <c r="CBY4" s="3407"/>
      <c r="CBZ4" s="3407"/>
      <c r="CCA4" s="3407"/>
      <c r="CCB4" s="3407"/>
      <c r="CCC4" s="3407"/>
      <c r="CCD4" s="3407"/>
      <c r="CCE4" s="3407"/>
      <c r="CCF4" s="3407"/>
      <c r="CCG4" s="3407"/>
      <c r="CCH4" s="3407"/>
      <c r="CCI4" s="3407"/>
      <c r="CCJ4" s="3407"/>
      <c r="CCK4" s="3407"/>
      <c r="CCL4" s="3407"/>
      <c r="CCM4" s="3407"/>
      <c r="CCN4" s="3407"/>
      <c r="CCO4" s="3407"/>
      <c r="CCP4" s="3407"/>
      <c r="CCQ4" s="3407"/>
      <c r="CCR4" s="3407"/>
      <c r="CCS4" s="3407"/>
      <c r="CCT4" s="3407"/>
      <c r="CCU4" s="3407"/>
      <c r="CCV4" s="3407"/>
      <c r="CCW4" s="3407"/>
      <c r="CCX4" s="3407"/>
      <c r="CCY4" s="3407"/>
      <c r="CCZ4" s="3407"/>
      <c r="CDA4" s="3407"/>
      <c r="CDB4" s="3407"/>
      <c r="CDC4" s="3407"/>
      <c r="CDD4" s="3407"/>
      <c r="CDE4" s="3407"/>
      <c r="CDF4" s="3407"/>
      <c r="CDG4" s="3407"/>
      <c r="CDH4" s="3407"/>
      <c r="CDI4" s="3407"/>
      <c r="CDJ4" s="3407"/>
      <c r="CDK4" s="3407"/>
      <c r="CDL4" s="3407"/>
      <c r="CDM4" s="3407"/>
      <c r="CDN4" s="3407"/>
      <c r="CDO4" s="3407"/>
      <c r="CDP4" s="3407"/>
      <c r="CDQ4" s="3407"/>
      <c r="CDR4" s="3407"/>
      <c r="CDS4" s="3407"/>
      <c r="CDT4" s="3407"/>
      <c r="CDU4" s="3407"/>
      <c r="CDV4" s="3407"/>
      <c r="CDW4" s="3407"/>
      <c r="CDX4" s="3407"/>
      <c r="CDY4" s="3407"/>
      <c r="CDZ4" s="3407"/>
      <c r="CEA4" s="3407"/>
      <c r="CEB4" s="3407"/>
      <c r="CEC4" s="3407"/>
      <c r="CED4" s="3407"/>
      <c r="CEE4" s="3407"/>
      <c r="CEF4" s="3407"/>
      <c r="CEG4" s="3407"/>
      <c r="CEH4" s="3407"/>
      <c r="CEI4" s="3407"/>
      <c r="CEJ4" s="3407"/>
      <c r="CEK4" s="3407"/>
      <c r="CEL4" s="3407"/>
      <c r="CEM4" s="3407"/>
      <c r="CEN4" s="3407"/>
      <c r="CEO4" s="3407"/>
      <c r="CEP4" s="3407"/>
      <c r="CEQ4" s="3407"/>
      <c r="CER4" s="3407"/>
      <c r="CES4" s="3407"/>
      <c r="CET4" s="3407"/>
      <c r="CEU4" s="3407"/>
      <c r="CEV4" s="3407"/>
      <c r="CEW4" s="3407"/>
      <c r="CEX4" s="3407"/>
      <c r="CEY4" s="3407"/>
      <c r="CEZ4" s="3407"/>
      <c r="CFA4" s="3407"/>
      <c r="CFB4" s="3407"/>
      <c r="CFC4" s="3407"/>
      <c r="CFD4" s="3407"/>
      <c r="CFE4" s="3407"/>
      <c r="CFF4" s="3407"/>
      <c r="CFG4" s="3407"/>
      <c r="CFH4" s="3407"/>
      <c r="CFI4" s="3407"/>
      <c r="CFJ4" s="3407"/>
      <c r="CFK4" s="3407"/>
      <c r="CFL4" s="3407"/>
      <c r="CFM4" s="3407"/>
      <c r="CFN4" s="3407"/>
      <c r="CFO4" s="3407"/>
      <c r="CFP4" s="3407"/>
      <c r="CFQ4" s="3407"/>
      <c r="CFR4" s="3407"/>
      <c r="CFS4" s="3407"/>
      <c r="CFT4" s="3407"/>
      <c r="CFU4" s="3407"/>
      <c r="CFV4" s="3407"/>
      <c r="CFW4" s="3407"/>
      <c r="CFX4" s="3407"/>
      <c r="CFY4" s="3407"/>
      <c r="CFZ4" s="3407"/>
      <c r="CGA4" s="3407"/>
      <c r="CGB4" s="3407"/>
      <c r="CGC4" s="3407"/>
      <c r="CGD4" s="3407"/>
      <c r="CGE4" s="3407"/>
      <c r="CGF4" s="3407"/>
      <c r="CGG4" s="3407"/>
      <c r="CGH4" s="3407"/>
      <c r="CGI4" s="3407"/>
      <c r="CGJ4" s="3407"/>
      <c r="CGK4" s="3407"/>
      <c r="CGL4" s="3407"/>
      <c r="CGM4" s="3407"/>
      <c r="CGN4" s="3407"/>
      <c r="CGO4" s="3407"/>
      <c r="CGP4" s="3407"/>
      <c r="CGQ4" s="3407"/>
      <c r="CGR4" s="3407"/>
      <c r="CGS4" s="3407"/>
      <c r="CGT4" s="3407"/>
      <c r="CGU4" s="3407"/>
      <c r="CGV4" s="3407"/>
      <c r="CGW4" s="3407"/>
      <c r="CGX4" s="3407"/>
      <c r="CGY4" s="3407"/>
      <c r="CGZ4" s="3407"/>
      <c r="CHA4" s="3407"/>
      <c r="CHB4" s="3407"/>
      <c r="CHC4" s="3407"/>
      <c r="CHD4" s="3407"/>
      <c r="CHE4" s="3407"/>
      <c r="CHF4" s="3407"/>
      <c r="CHG4" s="3407"/>
      <c r="CHH4" s="3407"/>
      <c r="CHI4" s="3407"/>
      <c r="CHJ4" s="3407"/>
      <c r="CHK4" s="3407"/>
      <c r="CHL4" s="3407"/>
      <c r="CHM4" s="3407"/>
      <c r="CHN4" s="3407"/>
      <c r="CHO4" s="3407"/>
      <c r="CHP4" s="3407"/>
      <c r="CHQ4" s="3407"/>
      <c r="CHR4" s="3407"/>
      <c r="CHS4" s="3407"/>
      <c r="CHT4" s="3407"/>
      <c r="CHU4" s="3407"/>
      <c r="CHV4" s="3407"/>
      <c r="CHW4" s="3407"/>
      <c r="CHX4" s="3407"/>
      <c r="CHY4" s="3407"/>
      <c r="CHZ4" s="3407"/>
      <c r="CIA4" s="3407"/>
      <c r="CIB4" s="3407"/>
      <c r="CIC4" s="3407"/>
      <c r="CID4" s="3407"/>
      <c r="CIE4" s="3407"/>
      <c r="CIF4" s="3407"/>
      <c r="CIG4" s="3407"/>
      <c r="CIH4" s="3407"/>
      <c r="CII4" s="3407"/>
      <c r="CIJ4" s="3407"/>
      <c r="CIK4" s="3407"/>
      <c r="CIL4" s="3407"/>
      <c r="CIM4" s="3407"/>
      <c r="CIN4" s="3407"/>
      <c r="CIO4" s="3407"/>
      <c r="CIP4" s="3407"/>
      <c r="CIQ4" s="3407"/>
      <c r="CIR4" s="3407"/>
      <c r="CIS4" s="3407"/>
      <c r="CIT4" s="3407"/>
      <c r="CIU4" s="3407"/>
      <c r="CIV4" s="3407"/>
      <c r="CIW4" s="3407"/>
      <c r="CIX4" s="3407"/>
      <c r="CIY4" s="3407"/>
      <c r="CIZ4" s="3407"/>
      <c r="CJA4" s="3407"/>
      <c r="CJB4" s="3407"/>
      <c r="CJC4" s="3407"/>
      <c r="CJD4" s="3407"/>
      <c r="CJE4" s="3407"/>
      <c r="CJF4" s="3407"/>
      <c r="CJG4" s="3407"/>
      <c r="CJH4" s="3407"/>
      <c r="CJI4" s="3407"/>
      <c r="CJJ4" s="3407"/>
      <c r="CJK4" s="3407"/>
      <c r="CJL4" s="3407"/>
      <c r="CJM4" s="3407"/>
      <c r="CJN4" s="3407"/>
      <c r="CJO4" s="3407"/>
      <c r="CJP4" s="3407"/>
      <c r="CJQ4" s="3407"/>
      <c r="CJR4" s="3407"/>
      <c r="CJS4" s="3407"/>
      <c r="CJT4" s="3407"/>
      <c r="CJU4" s="3407"/>
      <c r="CJV4" s="3407"/>
      <c r="CJW4" s="3407"/>
      <c r="CJX4" s="3407"/>
      <c r="CJY4" s="3407"/>
      <c r="CJZ4" s="3407"/>
      <c r="CKA4" s="3407"/>
      <c r="CKB4" s="3407"/>
      <c r="CKC4" s="3407"/>
      <c r="CKD4" s="3407"/>
      <c r="CKE4" s="3407"/>
      <c r="CKF4" s="3407"/>
      <c r="CKG4" s="3407"/>
      <c r="CKH4" s="3407"/>
      <c r="CKI4" s="3407"/>
      <c r="CKJ4" s="3407"/>
      <c r="CKK4" s="3407"/>
      <c r="CKL4" s="3407"/>
      <c r="CKM4" s="3407"/>
      <c r="CKN4" s="3407"/>
      <c r="CKO4" s="3407"/>
      <c r="CKP4" s="3407"/>
      <c r="CKQ4" s="3407"/>
      <c r="CKR4" s="3407"/>
      <c r="CKS4" s="3407"/>
      <c r="CKT4" s="3407"/>
      <c r="CKU4" s="3407"/>
      <c r="CKV4" s="3407"/>
      <c r="CKW4" s="3407"/>
      <c r="CKX4" s="3407"/>
      <c r="CKY4" s="3407"/>
      <c r="CKZ4" s="3407"/>
      <c r="CLA4" s="3407"/>
      <c r="CLB4" s="3407"/>
      <c r="CLC4" s="3407"/>
      <c r="CLD4" s="3407"/>
      <c r="CLE4" s="3407"/>
      <c r="CLF4" s="3407"/>
      <c r="CLG4" s="3407"/>
      <c r="CLH4" s="3407"/>
      <c r="CLI4" s="3407"/>
      <c r="CLJ4" s="3407"/>
      <c r="CLK4" s="3407"/>
      <c r="CLL4" s="3407"/>
      <c r="CLM4" s="3407"/>
      <c r="CLN4" s="3407"/>
      <c r="CLO4" s="3407"/>
      <c r="CLP4" s="3407"/>
      <c r="CLQ4" s="3407"/>
      <c r="CLR4" s="3407"/>
      <c r="CLS4" s="3407"/>
      <c r="CLT4" s="3407"/>
      <c r="CLU4" s="3407"/>
      <c r="CLV4" s="3407"/>
      <c r="CLW4" s="3407"/>
      <c r="CLX4" s="3407"/>
      <c r="CLY4" s="3407"/>
      <c r="CLZ4" s="3407"/>
      <c r="CMA4" s="3407"/>
      <c r="CMB4" s="3407"/>
      <c r="CMC4" s="3407"/>
      <c r="CMD4" s="3407"/>
      <c r="CME4" s="3407"/>
      <c r="CMF4" s="3407"/>
      <c r="CMG4" s="3407"/>
      <c r="CMH4" s="3407"/>
      <c r="CMI4" s="3407"/>
      <c r="CMJ4" s="3407"/>
      <c r="CMK4" s="3407"/>
      <c r="CML4" s="3407"/>
      <c r="CMM4" s="3407"/>
      <c r="CMN4" s="3407"/>
      <c r="CMO4" s="3407"/>
      <c r="CMP4" s="3407"/>
      <c r="CMQ4" s="3407"/>
      <c r="CMR4" s="3407"/>
      <c r="CMS4" s="3407"/>
      <c r="CMT4" s="3407"/>
      <c r="CMU4" s="3407"/>
      <c r="CMV4" s="3407"/>
      <c r="CMW4" s="3407"/>
      <c r="CMX4" s="3407"/>
      <c r="CMY4" s="3407"/>
      <c r="CMZ4" s="3407"/>
      <c r="CNA4" s="3407"/>
      <c r="CNB4" s="3407"/>
      <c r="CNC4" s="3407"/>
      <c r="CND4" s="3407"/>
      <c r="CNE4" s="3407"/>
      <c r="CNF4" s="3407"/>
      <c r="CNG4" s="3407"/>
      <c r="CNH4" s="3407"/>
      <c r="CNI4" s="3407"/>
      <c r="CNJ4" s="3407"/>
      <c r="CNK4" s="3407"/>
      <c r="CNL4" s="3407"/>
      <c r="CNM4" s="3407"/>
      <c r="CNN4" s="3407"/>
      <c r="CNO4" s="3407"/>
      <c r="CNP4" s="3407"/>
      <c r="CNQ4" s="3407"/>
      <c r="CNR4" s="3407"/>
      <c r="CNS4" s="3407"/>
      <c r="CNT4" s="3407"/>
      <c r="CNU4" s="3407"/>
      <c r="CNV4" s="3407"/>
      <c r="CNW4" s="3407"/>
      <c r="CNX4" s="3407"/>
      <c r="CNY4" s="3407"/>
      <c r="CNZ4" s="3407"/>
      <c r="COA4" s="3407"/>
      <c r="COB4" s="3407"/>
      <c r="COC4" s="3407"/>
      <c r="COD4" s="3407"/>
      <c r="COE4" s="3407"/>
      <c r="COF4" s="3407"/>
      <c r="COG4" s="3407"/>
      <c r="COH4" s="3407"/>
      <c r="COI4" s="3407"/>
      <c r="COJ4" s="3407"/>
      <c r="COK4" s="3407"/>
      <c r="COL4" s="3407"/>
      <c r="COM4" s="3407"/>
      <c r="CON4" s="3407"/>
      <c r="COO4" s="3407"/>
      <c r="COP4" s="3407"/>
      <c r="COQ4" s="3407"/>
      <c r="COR4" s="3407"/>
      <c r="COS4" s="3407"/>
      <c r="COT4" s="3407"/>
      <c r="COU4" s="3407"/>
      <c r="COV4" s="3407"/>
      <c r="COW4" s="3407"/>
      <c r="COX4" s="3407"/>
      <c r="COY4" s="3407"/>
      <c r="COZ4" s="3407"/>
      <c r="CPA4" s="3407"/>
      <c r="CPB4" s="3407"/>
      <c r="CPC4" s="3407"/>
      <c r="CPD4" s="3407"/>
      <c r="CPE4" s="3407"/>
      <c r="CPF4" s="3407"/>
      <c r="CPG4" s="3407"/>
      <c r="CPH4" s="3407"/>
      <c r="CPI4" s="3407"/>
      <c r="CPJ4" s="3407"/>
      <c r="CPK4" s="3407"/>
      <c r="CPL4" s="3407"/>
      <c r="CPM4" s="3407"/>
      <c r="CPN4" s="3407"/>
      <c r="CPO4" s="3407"/>
      <c r="CPP4" s="3407"/>
      <c r="CPQ4" s="3407"/>
      <c r="CPR4" s="3407"/>
      <c r="CPS4" s="3407"/>
      <c r="CPT4" s="3407"/>
      <c r="CPU4" s="3407"/>
      <c r="CPV4" s="3407"/>
      <c r="CPW4" s="3407"/>
      <c r="CPX4" s="3407"/>
      <c r="CPY4" s="3407"/>
      <c r="CPZ4" s="3407"/>
      <c r="CQA4" s="3407"/>
      <c r="CQB4" s="3407"/>
      <c r="CQC4" s="3407"/>
      <c r="CQD4" s="3407"/>
      <c r="CQE4" s="3407"/>
      <c r="CQF4" s="3407"/>
      <c r="CQG4" s="3407"/>
      <c r="CQH4" s="3407"/>
      <c r="CQI4" s="3407"/>
      <c r="CQJ4" s="3407"/>
      <c r="CQK4" s="3407"/>
      <c r="CQL4" s="3407"/>
      <c r="CQM4" s="3407"/>
      <c r="CQN4" s="3407"/>
      <c r="CQO4" s="3407"/>
      <c r="CQP4" s="3407"/>
      <c r="CQQ4" s="3407"/>
      <c r="CQR4" s="3407"/>
      <c r="CQS4" s="3407"/>
      <c r="CQT4" s="3407"/>
      <c r="CQU4" s="3407"/>
      <c r="CQV4" s="3407"/>
      <c r="CQW4" s="3407"/>
      <c r="CQX4" s="3407"/>
      <c r="CQY4" s="3407"/>
      <c r="CQZ4" s="3407"/>
      <c r="CRA4" s="3407"/>
      <c r="CRB4" s="3407"/>
      <c r="CRC4" s="3407"/>
      <c r="CRD4" s="3407"/>
      <c r="CRE4" s="3407"/>
      <c r="CRF4" s="3407"/>
      <c r="CRG4" s="3407"/>
      <c r="CRH4" s="3407"/>
      <c r="CRI4" s="3407"/>
      <c r="CRJ4" s="3407"/>
      <c r="CRK4" s="3407"/>
      <c r="CRL4" s="3407"/>
      <c r="CRM4" s="3407"/>
      <c r="CRN4" s="3407"/>
      <c r="CRO4" s="3407"/>
      <c r="CRP4" s="3407"/>
      <c r="CRQ4" s="3407"/>
      <c r="CRR4" s="3407"/>
      <c r="CRS4" s="3407"/>
      <c r="CRT4" s="3407"/>
      <c r="CRU4" s="3407"/>
      <c r="CRV4" s="3407"/>
      <c r="CRW4" s="3407"/>
      <c r="CRX4" s="3407"/>
      <c r="CRY4" s="3407"/>
      <c r="CRZ4" s="3407"/>
      <c r="CSA4" s="3407"/>
      <c r="CSB4" s="3407"/>
      <c r="CSC4" s="3407"/>
      <c r="CSD4" s="3407"/>
      <c r="CSE4" s="3407"/>
      <c r="CSF4" s="3407"/>
      <c r="CSG4" s="3407"/>
      <c r="CSH4" s="3407"/>
      <c r="CSI4" s="3407"/>
      <c r="CSJ4" s="3407"/>
      <c r="CSK4" s="3407"/>
      <c r="CSL4" s="3407"/>
      <c r="CSM4" s="3407"/>
      <c r="CSN4" s="3407"/>
      <c r="CSO4" s="3407"/>
      <c r="CSP4" s="3407"/>
      <c r="CSQ4" s="3407"/>
      <c r="CSR4" s="3407"/>
      <c r="CSS4" s="3407"/>
      <c r="CST4" s="3407"/>
      <c r="CSU4" s="3407"/>
      <c r="CSV4" s="3407"/>
      <c r="CSW4" s="3407"/>
      <c r="CSX4" s="3407"/>
      <c r="CSY4" s="3407"/>
      <c r="CSZ4" s="3407"/>
      <c r="CTA4" s="3407"/>
      <c r="CTB4" s="3407"/>
      <c r="CTC4" s="3407"/>
      <c r="CTD4" s="3407"/>
      <c r="CTE4" s="3407"/>
      <c r="CTF4" s="3407"/>
      <c r="CTG4" s="3407"/>
      <c r="CTH4" s="3407"/>
      <c r="CTI4" s="3407"/>
      <c r="CTJ4" s="3407"/>
      <c r="CTK4" s="3407"/>
      <c r="CTL4" s="3407"/>
      <c r="CTM4" s="3407"/>
      <c r="CTN4" s="3407"/>
      <c r="CTO4" s="3407"/>
      <c r="CTP4" s="3407"/>
      <c r="CTQ4" s="3407"/>
      <c r="CTR4" s="3407"/>
      <c r="CTS4" s="3407"/>
      <c r="CTT4" s="3407"/>
      <c r="CTU4" s="3407"/>
      <c r="CTV4" s="3407"/>
      <c r="CTW4" s="3407"/>
      <c r="CTX4" s="3407"/>
      <c r="CTY4" s="3407"/>
      <c r="CTZ4" s="3407"/>
      <c r="CUA4" s="3407"/>
      <c r="CUB4" s="3407"/>
      <c r="CUC4" s="3407"/>
      <c r="CUD4" s="3407"/>
      <c r="CUE4" s="3407"/>
      <c r="CUF4" s="3407"/>
      <c r="CUG4" s="3407"/>
      <c r="CUH4" s="3407"/>
      <c r="CUI4" s="3407"/>
      <c r="CUJ4" s="3407"/>
      <c r="CUK4" s="3407"/>
      <c r="CUL4" s="3407"/>
      <c r="CUM4" s="3407"/>
      <c r="CUN4" s="3407"/>
      <c r="CUO4" s="3407"/>
      <c r="CUP4" s="3407"/>
      <c r="CUQ4" s="3407"/>
      <c r="CUR4" s="3407"/>
      <c r="CUS4" s="3407"/>
      <c r="CUT4" s="3407"/>
      <c r="CUU4" s="3407"/>
      <c r="CUV4" s="3407"/>
      <c r="CUW4" s="3407"/>
      <c r="CUX4" s="3407"/>
      <c r="CUY4" s="3407"/>
      <c r="CUZ4" s="3407"/>
      <c r="CVA4" s="3407"/>
      <c r="CVB4" s="3407"/>
      <c r="CVC4" s="3407"/>
      <c r="CVD4" s="3407"/>
      <c r="CVE4" s="3407"/>
      <c r="CVF4" s="3407"/>
      <c r="CVG4" s="3407"/>
      <c r="CVH4" s="3407"/>
      <c r="CVI4" s="3407"/>
      <c r="CVJ4" s="3407"/>
      <c r="CVK4" s="3407"/>
      <c r="CVL4" s="3407"/>
      <c r="CVM4" s="3407"/>
      <c r="CVN4" s="3407"/>
      <c r="CVO4" s="3407"/>
      <c r="CVP4" s="3407"/>
      <c r="CVQ4" s="3407"/>
      <c r="CVR4" s="3407"/>
      <c r="CVS4" s="3407"/>
      <c r="CVT4" s="3407"/>
      <c r="CVU4" s="3407"/>
      <c r="CVV4" s="3407"/>
      <c r="CVW4" s="3407"/>
      <c r="CVX4" s="3407"/>
      <c r="CVY4" s="3407"/>
      <c r="CVZ4" s="3407"/>
      <c r="CWA4" s="3407"/>
      <c r="CWB4" s="3407"/>
      <c r="CWC4" s="3407"/>
      <c r="CWD4" s="3407"/>
      <c r="CWE4" s="3407"/>
      <c r="CWF4" s="3407"/>
      <c r="CWG4" s="3407"/>
      <c r="CWH4" s="3407"/>
      <c r="CWI4" s="3407"/>
      <c r="CWJ4" s="3407"/>
      <c r="CWK4" s="3407"/>
      <c r="CWL4" s="3407"/>
      <c r="CWM4" s="3407"/>
      <c r="CWN4" s="3407"/>
      <c r="CWO4" s="3407"/>
      <c r="CWP4" s="3407"/>
      <c r="CWQ4" s="3407"/>
      <c r="CWR4" s="3407"/>
      <c r="CWS4" s="3407"/>
      <c r="CWT4" s="3407"/>
      <c r="CWU4" s="3407"/>
      <c r="CWV4" s="3407"/>
      <c r="CWW4" s="3407"/>
      <c r="CWX4" s="3407"/>
      <c r="CWY4" s="3407"/>
      <c r="CWZ4" s="3407"/>
      <c r="CXA4" s="3407"/>
      <c r="CXB4" s="3407"/>
      <c r="CXC4" s="3407"/>
      <c r="CXD4" s="3407"/>
      <c r="CXE4" s="3407"/>
      <c r="CXF4" s="3407"/>
      <c r="CXG4" s="3407"/>
      <c r="CXH4" s="3407"/>
      <c r="CXI4" s="3407"/>
      <c r="CXJ4" s="3407"/>
      <c r="CXK4" s="3407"/>
      <c r="CXL4" s="3407"/>
      <c r="CXM4" s="3407"/>
      <c r="CXN4" s="3407"/>
      <c r="CXO4" s="3407"/>
      <c r="CXP4" s="3407"/>
      <c r="CXQ4" s="3407"/>
      <c r="CXR4" s="3407"/>
      <c r="CXS4" s="3407"/>
      <c r="CXT4" s="3407"/>
      <c r="CXU4" s="3407"/>
      <c r="CXV4" s="3407"/>
      <c r="CXW4" s="3407"/>
      <c r="CXX4" s="3407"/>
      <c r="CXY4" s="3407"/>
      <c r="CXZ4" s="3407"/>
      <c r="CYA4" s="3407"/>
      <c r="CYB4" s="3407"/>
      <c r="CYC4" s="3407"/>
      <c r="CYD4" s="3407"/>
      <c r="CYE4" s="3407"/>
      <c r="CYF4" s="3407"/>
      <c r="CYG4" s="3407"/>
      <c r="CYH4" s="3407"/>
      <c r="CYI4" s="3407"/>
      <c r="CYJ4" s="3407"/>
      <c r="CYK4" s="3407"/>
      <c r="CYL4" s="3407"/>
      <c r="CYM4" s="3407"/>
      <c r="CYN4" s="3407"/>
      <c r="CYO4" s="3407"/>
      <c r="CYP4" s="3407"/>
      <c r="CYQ4" s="3407"/>
      <c r="CYR4" s="3407"/>
      <c r="CYS4" s="3407"/>
      <c r="CYT4" s="3407"/>
      <c r="CYU4" s="3407"/>
      <c r="CYV4" s="3407"/>
      <c r="CYW4" s="3407"/>
      <c r="CYX4" s="3407"/>
      <c r="CYY4" s="3407"/>
      <c r="CYZ4" s="3407"/>
      <c r="CZA4" s="3407"/>
      <c r="CZB4" s="3407"/>
      <c r="CZC4" s="3407"/>
      <c r="CZD4" s="3407"/>
      <c r="CZE4" s="3407"/>
      <c r="CZF4" s="3407"/>
      <c r="CZG4" s="3407"/>
      <c r="CZH4" s="3407"/>
      <c r="CZI4" s="3407"/>
      <c r="CZJ4" s="3407"/>
      <c r="CZK4" s="3407"/>
      <c r="CZL4" s="3407"/>
      <c r="CZM4" s="3407"/>
      <c r="CZN4" s="3407"/>
      <c r="CZO4" s="3407"/>
      <c r="CZP4" s="3407"/>
      <c r="CZQ4" s="3407"/>
      <c r="CZR4" s="3407"/>
      <c r="CZS4" s="3407"/>
      <c r="CZT4" s="3407"/>
      <c r="CZU4" s="3407"/>
      <c r="CZV4" s="3407"/>
      <c r="CZW4" s="3407"/>
      <c r="CZX4" s="3407"/>
      <c r="CZY4" s="3407"/>
      <c r="CZZ4" s="3407"/>
      <c r="DAA4" s="3407"/>
      <c r="DAB4" s="3407"/>
      <c r="DAC4" s="3407"/>
      <c r="DAD4" s="3407"/>
      <c r="DAE4" s="3407"/>
      <c r="DAF4" s="3407"/>
      <c r="DAG4" s="3407"/>
      <c r="DAH4" s="3407"/>
      <c r="DAI4" s="3407"/>
      <c r="DAJ4" s="3407"/>
      <c r="DAK4" s="3407"/>
      <c r="DAL4" s="3407"/>
      <c r="DAM4" s="3407"/>
      <c r="DAN4" s="3407"/>
      <c r="DAO4" s="3407"/>
      <c r="DAP4" s="3407"/>
      <c r="DAQ4" s="3407"/>
      <c r="DAR4" s="3407"/>
      <c r="DAS4" s="3407"/>
      <c r="DAT4" s="3407"/>
      <c r="DAU4" s="3407"/>
      <c r="DAV4" s="3407"/>
      <c r="DAW4" s="3407"/>
      <c r="DAX4" s="3407"/>
      <c r="DAY4" s="3407"/>
      <c r="DAZ4" s="3407"/>
      <c r="DBA4" s="3407"/>
      <c r="DBB4" s="3407"/>
      <c r="DBC4" s="3407"/>
      <c r="DBD4" s="3407"/>
      <c r="DBE4" s="3407"/>
      <c r="DBF4" s="3407"/>
      <c r="DBG4" s="3407"/>
      <c r="DBH4" s="3407"/>
      <c r="DBI4" s="3407"/>
      <c r="DBJ4" s="3407"/>
      <c r="DBK4" s="3407"/>
      <c r="DBL4" s="3407"/>
      <c r="DBM4" s="3407"/>
      <c r="DBN4" s="3407"/>
      <c r="DBO4" s="3407"/>
      <c r="DBP4" s="3407"/>
      <c r="DBQ4" s="3407"/>
      <c r="DBR4" s="3407"/>
      <c r="DBS4" s="3407"/>
      <c r="DBT4" s="3407"/>
      <c r="DBU4" s="3407"/>
      <c r="DBV4" s="3407"/>
      <c r="DBW4" s="3407"/>
      <c r="DBX4" s="3407"/>
      <c r="DBY4" s="3407"/>
      <c r="DBZ4" s="3407"/>
      <c r="DCA4" s="3407"/>
      <c r="DCB4" s="3407"/>
      <c r="DCC4" s="3407"/>
      <c r="DCD4" s="3407"/>
      <c r="DCE4" s="3407"/>
      <c r="DCF4" s="3407"/>
      <c r="DCG4" s="3407"/>
      <c r="DCH4" s="3407"/>
      <c r="DCI4" s="3407"/>
      <c r="DCJ4" s="3407"/>
      <c r="DCK4" s="3407"/>
      <c r="DCL4" s="3407"/>
      <c r="DCM4" s="3407"/>
      <c r="DCN4" s="3407"/>
      <c r="DCO4" s="3407"/>
      <c r="DCP4" s="3407"/>
      <c r="DCQ4" s="3407"/>
      <c r="DCR4" s="3407"/>
      <c r="DCS4" s="3407"/>
      <c r="DCT4" s="3407"/>
      <c r="DCU4" s="3407"/>
      <c r="DCV4" s="3407"/>
      <c r="DCW4" s="3407"/>
      <c r="DCX4" s="3407"/>
      <c r="DCY4" s="3407"/>
      <c r="DCZ4" s="3407"/>
      <c r="DDA4" s="3407"/>
      <c r="DDB4" s="3407"/>
      <c r="DDC4" s="3407"/>
      <c r="DDD4" s="3407"/>
      <c r="DDE4" s="3407"/>
      <c r="DDF4" s="3407"/>
      <c r="DDG4" s="3407"/>
      <c r="DDH4" s="3407"/>
      <c r="DDI4" s="3407"/>
      <c r="DDJ4" s="3407"/>
      <c r="DDK4" s="3407"/>
      <c r="DDL4" s="3407"/>
      <c r="DDM4" s="3407"/>
      <c r="DDN4" s="3407"/>
      <c r="DDO4" s="3407"/>
      <c r="DDP4" s="3407"/>
      <c r="DDQ4" s="3407"/>
      <c r="DDR4" s="3407"/>
      <c r="DDS4" s="3407"/>
      <c r="DDT4" s="3407"/>
      <c r="DDU4" s="3407"/>
      <c r="DDV4" s="3407"/>
      <c r="DDW4" s="3407"/>
      <c r="DDX4" s="3407"/>
      <c r="DDY4" s="3407"/>
      <c r="DDZ4" s="3407"/>
      <c r="DEA4" s="3407"/>
      <c r="DEB4" s="3407"/>
      <c r="DEC4" s="3407"/>
      <c r="DED4" s="3407"/>
      <c r="DEE4" s="3407"/>
      <c r="DEF4" s="3407"/>
      <c r="DEG4" s="3407"/>
      <c r="DEH4" s="3407"/>
      <c r="DEI4" s="3407"/>
      <c r="DEJ4" s="3407"/>
      <c r="DEK4" s="3407"/>
      <c r="DEL4" s="3407"/>
      <c r="DEM4" s="3407"/>
      <c r="DEN4" s="3407"/>
      <c r="DEO4" s="3407"/>
      <c r="DEP4" s="3407"/>
      <c r="DEQ4" s="3407"/>
      <c r="DER4" s="3407"/>
      <c r="DES4" s="3407"/>
      <c r="DET4" s="3407"/>
      <c r="DEU4" s="3407"/>
      <c r="DEV4" s="3407"/>
      <c r="DEW4" s="3407"/>
      <c r="DEX4" s="3407"/>
      <c r="DEY4" s="3407"/>
      <c r="DEZ4" s="3407"/>
      <c r="DFA4" s="3407"/>
      <c r="DFB4" s="3407"/>
      <c r="DFC4" s="3407"/>
      <c r="DFD4" s="3407"/>
      <c r="DFE4" s="3407"/>
      <c r="DFF4" s="3407"/>
      <c r="DFG4" s="3407"/>
      <c r="DFH4" s="3407"/>
      <c r="DFI4" s="3407"/>
      <c r="DFJ4" s="3407"/>
      <c r="DFK4" s="3407"/>
      <c r="DFL4" s="3407"/>
      <c r="DFM4" s="3407"/>
      <c r="DFN4" s="3407"/>
      <c r="DFO4" s="3407"/>
      <c r="DFP4" s="3407"/>
      <c r="DFQ4" s="3407"/>
      <c r="DFR4" s="3407"/>
      <c r="DFS4" s="3407"/>
      <c r="DFT4" s="3407"/>
      <c r="DFU4" s="3407"/>
      <c r="DFV4" s="3407"/>
      <c r="DFW4" s="3407"/>
      <c r="DFX4" s="3407"/>
      <c r="DFY4" s="3407"/>
      <c r="DFZ4" s="3407"/>
      <c r="DGA4" s="3407"/>
      <c r="DGB4" s="3407"/>
      <c r="DGC4" s="3407"/>
      <c r="DGD4" s="3407"/>
      <c r="DGE4" s="3407"/>
      <c r="DGF4" s="3407"/>
      <c r="DGG4" s="3407"/>
      <c r="DGH4" s="3407"/>
      <c r="DGI4" s="3407"/>
      <c r="DGJ4" s="3407"/>
      <c r="DGK4" s="3407"/>
      <c r="DGL4" s="3407"/>
      <c r="DGM4" s="3407"/>
      <c r="DGN4" s="3407"/>
      <c r="DGO4" s="3407"/>
      <c r="DGP4" s="3407"/>
      <c r="DGQ4" s="3407"/>
      <c r="DGR4" s="3407"/>
      <c r="DGS4" s="3407"/>
      <c r="DGT4" s="3407"/>
      <c r="DGU4" s="3407"/>
      <c r="DGV4" s="3407"/>
      <c r="DGW4" s="3407"/>
      <c r="DGX4" s="3407"/>
      <c r="DGY4" s="3407"/>
      <c r="DGZ4" s="3407"/>
      <c r="DHA4" s="3407"/>
      <c r="DHB4" s="3407"/>
      <c r="DHC4" s="3407"/>
      <c r="DHD4" s="3407"/>
      <c r="DHE4" s="3407"/>
      <c r="DHF4" s="3407"/>
      <c r="DHG4" s="3407"/>
      <c r="DHH4" s="3407"/>
      <c r="DHI4" s="3407"/>
      <c r="DHJ4" s="3407"/>
      <c r="DHK4" s="3407"/>
      <c r="DHL4" s="3407"/>
      <c r="DHM4" s="3407"/>
      <c r="DHN4" s="3407"/>
      <c r="DHO4" s="3407"/>
      <c r="DHP4" s="3407"/>
      <c r="DHQ4" s="3407"/>
      <c r="DHR4" s="3407"/>
      <c r="DHS4" s="3407"/>
      <c r="DHT4" s="3407"/>
      <c r="DHU4" s="3407"/>
      <c r="DHV4" s="3407"/>
      <c r="DHW4" s="3407"/>
      <c r="DHX4" s="3407"/>
      <c r="DHY4" s="3407"/>
      <c r="DHZ4" s="3407"/>
      <c r="DIA4" s="3407"/>
      <c r="DIB4" s="3407"/>
      <c r="DIC4" s="3407"/>
      <c r="DID4" s="3407"/>
      <c r="DIE4" s="3407"/>
      <c r="DIF4" s="3407"/>
      <c r="DIG4" s="3407"/>
      <c r="DIH4" s="3407"/>
      <c r="DII4" s="3407"/>
      <c r="DIJ4" s="3407"/>
      <c r="DIK4" s="3407"/>
      <c r="DIL4" s="3407"/>
      <c r="DIM4" s="3407"/>
      <c r="DIN4" s="3407"/>
      <c r="DIO4" s="3407"/>
      <c r="DIP4" s="3407"/>
      <c r="DIQ4" s="3407"/>
      <c r="DIR4" s="3407"/>
      <c r="DIS4" s="3407"/>
      <c r="DIT4" s="3407"/>
      <c r="DIU4" s="3407"/>
      <c r="DIV4" s="3407"/>
      <c r="DIW4" s="3407"/>
      <c r="DIX4" s="3407"/>
      <c r="DIY4" s="3407"/>
      <c r="DIZ4" s="3407"/>
      <c r="DJA4" s="3407"/>
      <c r="DJB4" s="3407"/>
      <c r="DJC4" s="3407"/>
      <c r="DJD4" s="3407"/>
      <c r="DJE4" s="3407"/>
      <c r="DJF4" s="3407"/>
      <c r="DJG4" s="3407"/>
      <c r="DJH4" s="3407"/>
      <c r="DJI4" s="3407"/>
      <c r="DJJ4" s="3407"/>
      <c r="DJK4" s="3407"/>
      <c r="DJL4" s="3407"/>
      <c r="DJM4" s="3407"/>
      <c r="DJN4" s="3407"/>
      <c r="DJO4" s="3407"/>
      <c r="DJP4" s="3407"/>
      <c r="DJQ4" s="3407"/>
      <c r="DJR4" s="3407"/>
      <c r="DJS4" s="3407"/>
      <c r="DJT4" s="3407"/>
      <c r="DJU4" s="3407"/>
      <c r="DJV4" s="3407"/>
      <c r="DJW4" s="3407"/>
      <c r="DJX4" s="3407"/>
      <c r="DJY4" s="3407"/>
      <c r="DJZ4" s="3407"/>
      <c r="DKA4" s="3407"/>
      <c r="DKB4" s="3407"/>
      <c r="DKC4" s="3407"/>
      <c r="DKD4" s="3407"/>
      <c r="DKE4" s="3407"/>
      <c r="DKF4" s="3407"/>
      <c r="DKG4" s="3407"/>
      <c r="DKH4" s="3407"/>
      <c r="DKI4" s="3407"/>
      <c r="DKJ4" s="3407"/>
      <c r="DKK4" s="3407"/>
      <c r="DKL4" s="3407"/>
      <c r="DKM4" s="3407"/>
      <c r="DKN4" s="3407"/>
      <c r="DKO4" s="3407"/>
      <c r="DKP4" s="3407"/>
      <c r="DKQ4" s="3407"/>
      <c r="DKR4" s="3407"/>
      <c r="DKS4" s="3407"/>
      <c r="DKT4" s="3407"/>
      <c r="DKU4" s="3407"/>
      <c r="DKV4" s="3407"/>
      <c r="DKW4" s="3407"/>
      <c r="DKX4" s="3407"/>
      <c r="DKY4" s="3407"/>
      <c r="DKZ4" s="3407"/>
      <c r="DLA4" s="3407"/>
      <c r="DLB4" s="3407"/>
      <c r="DLC4" s="3407"/>
      <c r="DLD4" s="3407"/>
      <c r="DLE4" s="3407"/>
      <c r="DLF4" s="3407"/>
      <c r="DLG4" s="3407"/>
      <c r="DLH4" s="3407"/>
      <c r="DLI4" s="3407"/>
      <c r="DLJ4" s="3407"/>
      <c r="DLK4" s="3407"/>
      <c r="DLL4" s="3407"/>
      <c r="DLM4" s="3407"/>
      <c r="DLN4" s="3407"/>
      <c r="DLO4" s="3407"/>
      <c r="DLP4" s="3407"/>
      <c r="DLQ4" s="3407"/>
      <c r="DLR4" s="3407"/>
      <c r="DLS4" s="3407"/>
      <c r="DLT4" s="3407"/>
      <c r="DLU4" s="3407"/>
      <c r="DLV4" s="3407"/>
      <c r="DLW4" s="3407"/>
      <c r="DLX4" s="3407"/>
      <c r="DLY4" s="3407"/>
      <c r="DLZ4" s="3407"/>
      <c r="DMA4" s="3407"/>
      <c r="DMB4" s="3407"/>
      <c r="DMC4" s="3407"/>
      <c r="DMD4" s="3407"/>
      <c r="DME4" s="3407"/>
      <c r="DMF4" s="3407"/>
      <c r="DMG4" s="3407"/>
      <c r="DMH4" s="3407"/>
      <c r="DMI4" s="3407"/>
      <c r="DMJ4" s="3407"/>
      <c r="DMK4" s="3407"/>
      <c r="DML4" s="3407"/>
      <c r="DMM4" s="3407"/>
      <c r="DMN4" s="3407"/>
      <c r="DMO4" s="3407"/>
      <c r="DMP4" s="3407"/>
      <c r="DMQ4" s="3407"/>
      <c r="DMR4" s="3407"/>
      <c r="DMS4" s="3407"/>
      <c r="DMT4" s="3407"/>
      <c r="DMU4" s="3407"/>
      <c r="DMV4" s="3407"/>
      <c r="DMW4" s="3407"/>
      <c r="DMX4" s="3407"/>
      <c r="DMY4" s="3407"/>
      <c r="DMZ4" s="3407"/>
      <c r="DNA4" s="3407"/>
      <c r="DNB4" s="3407"/>
      <c r="DNC4" s="3407"/>
      <c r="DND4" s="3407"/>
      <c r="DNE4" s="3407"/>
      <c r="DNF4" s="3407"/>
      <c r="DNG4" s="3407"/>
      <c r="DNH4" s="3407"/>
      <c r="DNI4" s="3407"/>
      <c r="DNJ4" s="3407"/>
      <c r="DNK4" s="3407"/>
      <c r="DNL4" s="3407"/>
      <c r="DNM4" s="3407"/>
      <c r="DNN4" s="3407"/>
      <c r="DNO4" s="3407"/>
      <c r="DNP4" s="3407"/>
      <c r="DNQ4" s="3407"/>
      <c r="DNR4" s="3407"/>
      <c r="DNS4" s="3407"/>
      <c r="DNT4" s="3407"/>
      <c r="DNU4" s="3407"/>
      <c r="DNV4" s="3407"/>
      <c r="DNW4" s="3407"/>
      <c r="DNX4" s="3407"/>
      <c r="DNY4" s="3407"/>
      <c r="DNZ4" s="3407"/>
      <c r="DOA4" s="3407"/>
      <c r="DOB4" s="3407"/>
      <c r="DOC4" s="3407"/>
      <c r="DOD4" s="3407"/>
      <c r="DOE4" s="3407"/>
      <c r="DOF4" s="3407"/>
      <c r="DOG4" s="3407"/>
      <c r="DOH4" s="3407"/>
      <c r="DOI4" s="3407"/>
      <c r="DOJ4" s="3407"/>
      <c r="DOK4" s="3407"/>
      <c r="DOL4" s="3407"/>
      <c r="DOM4" s="3407"/>
      <c r="DON4" s="3407"/>
      <c r="DOO4" s="3407"/>
      <c r="DOP4" s="3407"/>
      <c r="DOQ4" s="3407"/>
      <c r="DOR4" s="3407"/>
      <c r="DOS4" s="3407"/>
      <c r="DOT4" s="3407"/>
      <c r="DOU4" s="3407"/>
      <c r="DOV4" s="3407"/>
      <c r="DOW4" s="3407"/>
      <c r="DOX4" s="3407"/>
      <c r="DOY4" s="3407"/>
      <c r="DOZ4" s="3407"/>
      <c r="DPA4" s="3407"/>
      <c r="DPB4" s="3407"/>
      <c r="DPC4" s="3407"/>
      <c r="DPD4" s="3407"/>
      <c r="DPE4" s="3407"/>
      <c r="DPF4" s="3407"/>
      <c r="DPG4" s="3407"/>
      <c r="DPH4" s="3407"/>
      <c r="DPI4" s="3407"/>
      <c r="DPJ4" s="3407"/>
      <c r="DPK4" s="3407"/>
      <c r="DPL4" s="3407"/>
      <c r="DPM4" s="3407"/>
      <c r="DPN4" s="3407"/>
      <c r="DPO4" s="3407"/>
      <c r="DPP4" s="3407"/>
      <c r="DPQ4" s="3407"/>
      <c r="DPR4" s="3407"/>
      <c r="DPS4" s="3407"/>
      <c r="DPT4" s="3407"/>
      <c r="DPU4" s="3407"/>
      <c r="DPV4" s="3407"/>
      <c r="DPW4" s="3407"/>
      <c r="DPX4" s="3407"/>
      <c r="DPY4" s="3407"/>
      <c r="DPZ4" s="3407"/>
      <c r="DQA4" s="3407"/>
      <c r="DQB4" s="3407"/>
      <c r="DQC4" s="3407"/>
      <c r="DQD4" s="3407"/>
      <c r="DQE4" s="3407"/>
      <c r="DQF4" s="3407"/>
      <c r="DQG4" s="3407"/>
      <c r="DQH4" s="3407"/>
      <c r="DQI4" s="3407"/>
      <c r="DQJ4" s="3407"/>
      <c r="DQK4" s="3407"/>
      <c r="DQL4" s="3407"/>
      <c r="DQM4" s="3407"/>
      <c r="DQN4" s="3407"/>
      <c r="DQO4" s="3407"/>
      <c r="DQP4" s="3407"/>
      <c r="DQQ4" s="3407"/>
      <c r="DQR4" s="3407"/>
      <c r="DQS4" s="3407"/>
      <c r="DQT4" s="3407"/>
      <c r="DQU4" s="3407"/>
      <c r="DQV4" s="3407"/>
      <c r="DQW4" s="3407"/>
      <c r="DQX4" s="3407"/>
      <c r="DQY4" s="3407"/>
      <c r="DQZ4" s="3407"/>
      <c r="DRA4" s="3407"/>
      <c r="DRB4" s="3407"/>
      <c r="DRC4" s="3407"/>
      <c r="DRD4" s="3407"/>
      <c r="DRE4" s="3407"/>
      <c r="DRF4" s="3407"/>
      <c r="DRG4" s="3407"/>
      <c r="DRH4" s="3407"/>
      <c r="DRI4" s="3407"/>
      <c r="DRJ4" s="3407"/>
      <c r="DRK4" s="3407"/>
      <c r="DRL4" s="3407"/>
      <c r="DRM4" s="3407"/>
      <c r="DRN4" s="3407"/>
      <c r="DRO4" s="3407"/>
      <c r="DRP4" s="3407"/>
      <c r="DRQ4" s="3407"/>
      <c r="DRR4" s="3407"/>
      <c r="DRS4" s="3407"/>
      <c r="DRT4" s="3407"/>
      <c r="DRU4" s="3407"/>
      <c r="DRV4" s="3407"/>
      <c r="DRW4" s="3407"/>
      <c r="DRX4" s="3407"/>
      <c r="DRY4" s="3407"/>
      <c r="DRZ4" s="3407"/>
      <c r="DSA4" s="3407"/>
      <c r="DSB4" s="3407"/>
      <c r="DSC4" s="3407"/>
      <c r="DSD4" s="3407"/>
      <c r="DSE4" s="3407"/>
      <c r="DSF4" s="3407"/>
      <c r="DSG4" s="3407"/>
      <c r="DSH4" s="3407"/>
      <c r="DSI4" s="3407"/>
      <c r="DSJ4" s="3407"/>
      <c r="DSK4" s="3407"/>
      <c r="DSL4" s="3407"/>
      <c r="DSM4" s="3407"/>
      <c r="DSN4" s="3407"/>
      <c r="DSO4" s="3407"/>
      <c r="DSP4" s="3407"/>
      <c r="DSQ4" s="3407"/>
      <c r="DSR4" s="3407"/>
      <c r="DSS4" s="3407"/>
      <c r="DST4" s="3407"/>
      <c r="DSU4" s="3407"/>
      <c r="DSV4" s="3407"/>
      <c r="DSW4" s="3407"/>
      <c r="DSX4" s="3407"/>
      <c r="DSY4" s="3407"/>
      <c r="DSZ4" s="3407"/>
      <c r="DTA4" s="3407"/>
      <c r="DTB4" s="3407"/>
      <c r="DTC4" s="3407"/>
      <c r="DTD4" s="3407"/>
      <c r="DTE4" s="3407"/>
      <c r="DTF4" s="3407"/>
      <c r="DTG4" s="3407"/>
      <c r="DTH4" s="3407"/>
      <c r="DTI4" s="3407"/>
      <c r="DTJ4" s="3407"/>
      <c r="DTK4" s="3407"/>
      <c r="DTL4" s="3407"/>
      <c r="DTM4" s="3407"/>
      <c r="DTN4" s="3407"/>
      <c r="DTO4" s="3407"/>
      <c r="DTP4" s="3407"/>
      <c r="DTQ4" s="3407"/>
      <c r="DTR4" s="3407"/>
      <c r="DTS4" s="3407"/>
      <c r="DTT4" s="3407"/>
      <c r="DTU4" s="3407"/>
      <c r="DTV4" s="3407"/>
      <c r="DTW4" s="3407"/>
      <c r="DTX4" s="3407"/>
      <c r="DTY4" s="3407"/>
      <c r="DTZ4" s="3407"/>
      <c r="DUA4" s="3407"/>
      <c r="DUB4" s="3407"/>
      <c r="DUC4" s="3407"/>
      <c r="DUD4" s="3407"/>
      <c r="DUE4" s="3407"/>
      <c r="DUF4" s="3407"/>
      <c r="DUG4" s="3407"/>
      <c r="DUH4" s="3407"/>
      <c r="DUI4" s="3407"/>
      <c r="DUJ4" s="3407"/>
      <c r="DUK4" s="3407"/>
      <c r="DUL4" s="3407"/>
      <c r="DUM4" s="3407"/>
      <c r="DUN4" s="3407"/>
      <c r="DUO4" s="3407"/>
      <c r="DUP4" s="3407"/>
      <c r="DUQ4" s="3407"/>
      <c r="DUR4" s="3407"/>
      <c r="DUS4" s="3407"/>
      <c r="DUT4" s="3407"/>
      <c r="DUU4" s="3407"/>
      <c r="DUV4" s="3407"/>
      <c r="DUW4" s="3407"/>
      <c r="DUX4" s="3407"/>
      <c r="DUY4" s="3407"/>
      <c r="DUZ4" s="3407"/>
      <c r="DVA4" s="3407"/>
      <c r="DVB4" s="3407"/>
      <c r="DVC4" s="3407"/>
      <c r="DVD4" s="3407"/>
      <c r="DVE4" s="3407"/>
      <c r="DVF4" s="3407"/>
      <c r="DVG4" s="3407"/>
      <c r="DVH4" s="3407"/>
      <c r="DVI4" s="3407"/>
      <c r="DVJ4" s="3407"/>
      <c r="DVK4" s="3407"/>
      <c r="DVL4" s="3407"/>
      <c r="DVM4" s="3407"/>
      <c r="DVN4" s="3407"/>
      <c r="DVO4" s="3407"/>
      <c r="DVP4" s="3407"/>
      <c r="DVQ4" s="3407"/>
      <c r="DVR4" s="3407"/>
      <c r="DVS4" s="3407"/>
      <c r="DVT4" s="3407"/>
      <c r="DVU4" s="3407"/>
      <c r="DVV4" s="3407"/>
      <c r="DVW4" s="3407"/>
      <c r="DVX4" s="3407"/>
      <c r="DVY4" s="3407"/>
      <c r="DVZ4" s="3407"/>
      <c r="DWA4" s="3407"/>
      <c r="DWB4" s="3407"/>
      <c r="DWC4" s="3407"/>
      <c r="DWD4" s="3407"/>
      <c r="DWE4" s="3407"/>
      <c r="DWF4" s="3407"/>
      <c r="DWG4" s="3407"/>
      <c r="DWH4" s="3407"/>
      <c r="DWI4" s="3407"/>
      <c r="DWJ4" s="3407"/>
      <c r="DWK4" s="3407"/>
      <c r="DWL4" s="3407"/>
      <c r="DWM4" s="3407"/>
      <c r="DWN4" s="3407"/>
      <c r="DWO4" s="3407"/>
      <c r="DWP4" s="3407"/>
      <c r="DWQ4" s="3407"/>
      <c r="DWR4" s="3407"/>
      <c r="DWS4" s="3407"/>
      <c r="DWT4" s="3407"/>
      <c r="DWU4" s="3407"/>
      <c r="DWV4" s="3407"/>
      <c r="DWW4" s="3407"/>
      <c r="DWX4" s="3407"/>
      <c r="DWY4" s="3407"/>
      <c r="DWZ4" s="3407"/>
      <c r="DXA4" s="3407"/>
      <c r="DXB4" s="3407"/>
      <c r="DXC4" s="3407"/>
      <c r="DXD4" s="3407"/>
      <c r="DXE4" s="3407"/>
      <c r="DXF4" s="3407"/>
      <c r="DXG4" s="3407"/>
      <c r="DXH4" s="3407"/>
      <c r="DXI4" s="3407"/>
      <c r="DXJ4" s="3407"/>
      <c r="DXK4" s="3407"/>
      <c r="DXL4" s="3407"/>
      <c r="DXM4" s="3407"/>
      <c r="DXN4" s="3407"/>
      <c r="DXO4" s="3407"/>
      <c r="DXP4" s="3407"/>
      <c r="DXQ4" s="3407"/>
      <c r="DXR4" s="3407"/>
      <c r="DXS4" s="3407"/>
      <c r="DXT4" s="3407"/>
      <c r="DXU4" s="3407"/>
      <c r="DXV4" s="3407"/>
      <c r="DXW4" s="3407"/>
      <c r="DXX4" s="3407"/>
      <c r="DXY4" s="3407"/>
      <c r="DXZ4" s="3407"/>
      <c r="DYA4" s="3407"/>
      <c r="DYB4" s="3407"/>
      <c r="DYC4" s="3407"/>
      <c r="DYD4" s="3407"/>
      <c r="DYE4" s="3407"/>
      <c r="DYF4" s="3407"/>
      <c r="DYG4" s="3407"/>
      <c r="DYH4" s="3407"/>
      <c r="DYI4" s="3407"/>
      <c r="DYJ4" s="3407"/>
      <c r="DYK4" s="3407"/>
      <c r="DYL4" s="3407"/>
      <c r="DYM4" s="3407"/>
      <c r="DYN4" s="3407"/>
      <c r="DYO4" s="3407"/>
      <c r="DYP4" s="3407"/>
      <c r="DYQ4" s="3407"/>
      <c r="DYR4" s="3407"/>
      <c r="DYS4" s="3407"/>
      <c r="DYT4" s="3407"/>
      <c r="DYU4" s="3407"/>
      <c r="DYV4" s="3407"/>
      <c r="DYW4" s="3407"/>
      <c r="DYX4" s="3407"/>
      <c r="DYY4" s="3407"/>
      <c r="DYZ4" s="3407"/>
      <c r="DZA4" s="3407"/>
      <c r="DZB4" s="3407"/>
      <c r="DZC4" s="3407"/>
      <c r="DZD4" s="3407"/>
      <c r="DZE4" s="3407"/>
      <c r="DZF4" s="3407"/>
      <c r="DZG4" s="3407"/>
      <c r="DZH4" s="3407"/>
      <c r="DZI4" s="3407"/>
      <c r="DZJ4" s="3407"/>
      <c r="DZK4" s="3407"/>
      <c r="DZL4" s="3407"/>
      <c r="DZM4" s="3407"/>
      <c r="DZN4" s="3407"/>
      <c r="DZO4" s="3407"/>
      <c r="DZP4" s="3407"/>
      <c r="DZQ4" s="3407"/>
      <c r="DZR4" s="3407"/>
      <c r="DZS4" s="3407"/>
      <c r="DZT4" s="3407"/>
      <c r="DZU4" s="3407"/>
      <c r="DZV4" s="3407"/>
      <c r="DZW4" s="3407"/>
      <c r="DZX4" s="3407"/>
      <c r="DZY4" s="3407"/>
      <c r="DZZ4" s="3407"/>
      <c r="EAA4" s="3407"/>
      <c r="EAB4" s="3407"/>
      <c r="EAC4" s="3407"/>
      <c r="EAD4" s="3407"/>
      <c r="EAE4" s="3407"/>
      <c r="EAF4" s="3407"/>
      <c r="EAG4" s="3407"/>
      <c r="EAH4" s="3407"/>
      <c r="EAI4" s="3407"/>
      <c r="EAJ4" s="3407"/>
      <c r="EAK4" s="3407"/>
      <c r="EAL4" s="3407"/>
      <c r="EAM4" s="3407"/>
      <c r="EAN4" s="3407"/>
      <c r="EAO4" s="3407"/>
      <c r="EAP4" s="3407"/>
      <c r="EAQ4" s="3407"/>
      <c r="EAR4" s="3407"/>
      <c r="EAS4" s="3407"/>
      <c r="EAT4" s="3407"/>
      <c r="EAU4" s="3407"/>
      <c r="EAV4" s="3407"/>
      <c r="EAW4" s="3407"/>
      <c r="EAX4" s="3407"/>
      <c r="EAY4" s="3407"/>
      <c r="EAZ4" s="3407"/>
      <c r="EBA4" s="3407"/>
      <c r="EBB4" s="3407"/>
      <c r="EBC4" s="3407"/>
      <c r="EBD4" s="3407"/>
      <c r="EBE4" s="3407"/>
      <c r="EBF4" s="3407"/>
      <c r="EBG4" s="3407"/>
      <c r="EBH4" s="3407"/>
      <c r="EBI4" s="3407"/>
      <c r="EBJ4" s="3407"/>
      <c r="EBK4" s="3407"/>
      <c r="EBL4" s="3407"/>
      <c r="EBM4" s="3407"/>
      <c r="EBN4" s="3407"/>
      <c r="EBO4" s="3407"/>
      <c r="EBP4" s="3407"/>
      <c r="EBQ4" s="3407"/>
      <c r="EBR4" s="3407"/>
      <c r="EBS4" s="3407"/>
      <c r="EBT4" s="3407"/>
      <c r="EBU4" s="3407"/>
      <c r="EBV4" s="3407"/>
      <c r="EBW4" s="3407"/>
      <c r="EBX4" s="3407"/>
      <c r="EBY4" s="3407"/>
      <c r="EBZ4" s="3407"/>
      <c r="ECA4" s="3407"/>
      <c r="ECB4" s="3407"/>
      <c r="ECC4" s="3407"/>
      <c r="ECD4" s="3407"/>
      <c r="ECE4" s="3407"/>
      <c r="ECF4" s="3407"/>
      <c r="ECG4" s="3407"/>
      <c r="ECH4" s="3407"/>
      <c r="ECI4" s="3407"/>
      <c r="ECJ4" s="3407"/>
      <c r="ECK4" s="3407"/>
      <c r="ECL4" s="3407"/>
      <c r="ECM4" s="3407"/>
      <c r="ECN4" s="3407"/>
      <c r="ECO4" s="3407"/>
      <c r="ECP4" s="3407"/>
      <c r="ECQ4" s="3407"/>
      <c r="ECR4" s="3407"/>
      <c r="ECS4" s="3407"/>
      <c r="ECT4" s="3407"/>
      <c r="ECU4" s="3407"/>
      <c r="ECV4" s="3407"/>
      <c r="ECW4" s="3407"/>
      <c r="ECX4" s="3407"/>
      <c r="ECY4" s="3407"/>
      <c r="ECZ4" s="3407"/>
      <c r="EDA4" s="3407"/>
      <c r="EDB4" s="3407"/>
      <c r="EDC4" s="3407"/>
      <c r="EDD4" s="3407"/>
      <c r="EDE4" s="3407"/>
      <c r="EDF4" s="3407"/>
      <c r="EDG4" s="3407"/>
      <c r="EDH4" s="3407"/>
      <c r="EDI4" s="3407"/>
      <c r="EDJ4" s="3407"/>
      <c r="EDK4" s="3407"/>
      <c r="EDL4" s="3407"/>
      <c r="EDM4" s="3407"/>
      <c r="EDN4" s="3407"/>
      <c r="EDO4" s="3407"/>
      <c r="EDP4" s="3407"/>
      <c r="EDQ4" s="3407"/>
      <c r="EDR4" s="3407"/>
      <c r="EDS4" s="3407"/>
      <c r="EDT4" s="3407"/>
      <c r="EDU4" s="3407"/>
      <c r="EDV4" s="3407"/>
      <c r="EDW4" s="3407"/>
      <c r="EDX4" s="3407"/>
      <c r="EDY4" s="3407"/>
      <c r="EDZ4" s="3407"/>
      <c r="EEA4" s="3407"/>
      <c r="EEB4" s="3407"/>
      <c r="EEC4" s="3407"/>
      <c r="EED4" s="3407"/>
      <c r="EEE4" s="3407"/>
      <c r="EEF4" s="3407"/>
      <c r="EEG4" s="3407"/>
      <c r="EEH4" s="3407"/>
      <c r="EEI4" s="3407"/>
      <c r="EEJ4" s="3407"/>
      <c r="EEK4" s="3407"/>
      <c r="EEL4" s="3407"/>
      <c r="EEM4" s="3407"/>
      <c r="EEN4" s="3407"/>
      <c r="EEO4" s="3407"/>
      <c r="EEP4" s="3407"/>
      <c r="EEQ4" s="3407"/>
      <c r="EER4" s="3407"/>
      <c r="EES4" s="3407"/>
      <c r="EET4" s="3407"/>
      <c r="EEU4" s="3407"/>
      <c r="EEV4" s="3407"/>
      <c r="EEW4" s="3407"/>
      <c r="EEX4" s="3407"/>
      <c r="EEY4" s="3407"/>
      <c r="EEZ4" s="3407"/>
      <c r="EFA4" s="3407"/>
      <c r="EFB4" s="3407"/>
      <c r="EFC4" s="3407"/>
      <c r="EFD4" s="3407"/>
      <c r="EFE4" s="3407"/>
      <c r="EFF4" s="3407"/>
      <c r="EFG4" s="3407"/>
      <c r="EFH4" s="3407"/>
      <c r="EFI4" s="3407"/>
      <c r="EFJ4" s="3407"/>
      <c r="EFK4" s="3407"/>
      <c r="EFL4" s="3407"/>
      <c r="EFM4" s="3407"/>
      <c r="EFN4" s="3407"/>
      <c r="EFO4" s="3407"/>
      <c r="EFP4" s="3407"/>
      <c r="EFQ4" s="3407"/>
      <c r="EFR4" s="3407"/>
      <c r="EFS4" s="3407"/>
      <c r="EFT4" s="3407"/>
      <c r="EFU4" s="3407"/>
      <c r="EFV4" s="3407"/>
      <c r="EFW4" s="3407"/>
      <c r="EFX4" s="3407"/>
      <c r="EFY4" s="3407"/>
      <c r="EFZ4" s="3407"/>
      <c r="EGA4" s="3407"/>
      <c r="EGB4" s="3407"/>
      <c r="EGC4" s="3407"/>
      <c r="EGD4" s="3407"/>
      <c r="EGE4" s="3407"/>
      <c r="EGF4" s="3407"/>
      <c r="EGG4" s="3407"/>
      <c r="EGH4" s="3407"/>
      <c r="EGI4" s="3407"/>
      <c r="EGJ4" s="3407"/>
      <c r="EGK4" s="3407"/>
      <c r="EGL4" s="3407"/>
      <c r="EGM4" s="3407"/>
      <c r="EGN4" s="3407"/>
      <c r="EGO4" s="3407"/>
      <c r="EGP4" s="3407"/>
      <c r="EGQ4" s="3407"/>
      <c r="EGR4" s="3407"/>
      <c r="EGS4" s="3407"/>
      <c r="EGT4" s="3407"/>
      <c r="EGU4" s="3407"/>
      <c r="EGV4" s="3407"/>
      <c r="EGW4" s="3407"/>
      <c r="EGX4" s="3407"/>
      <c r="EGY4" s="3407"/>
      <c r="EGZ4" s="3407"/>
      <c r="EHA4" s="3407"/>
      <c r="EHB4" s="3407"/>
      <c r="EHC4" s="3407"/>
      <c r="EHD4" s="3407"/>
      <c r="EHE4" s="3407"/>
      <c r="EHF4" s="3407"/>
      <c r="EHG4" s="3407"/>
      <c r="EHH4" s="3407"/>
      <c r="EHI4" s="3407"/>
      <c r="EHJ4" s="3407"/>
      <c r="EHK4" s="3407"/>
      <c r="EHL4" s="3407"/>
      <c r="EHM4" s="3407"/>
      <c r="EHN4" s="3407"/>
      <c r="EHO4" s="3407"/>
      <c r="EHP4" s="3407"/>
      <c r="EHQ4" s="3407"/>
      <c r="EHR4" s="3407"/>
      <c r="EHS4" s="3407"/>
      <c r="EHT4" s="3407"/>
      <c r="EHU4" s="3407"/>
      <c r="EHV4" s="3407"/>
      <c r="EHW4" s="3407"/>
      <c r="EHX4" s="3407"/>
      <c r="EHY4" s="3407"/>
      <c r="EHZ4" s="3407"/>
      <c r="EIA4" s="3407"/>
      <c r="EIB4" s="3407"/>
      <c r="EIC4" s="3407"/>
      <c r="EID4" s="3407"/>
      <c r="EIE4" s="3407"/>
      <c r="EIF4" s="3407"/>
      <c r="EIG4" s="3407"/>
      <c r="EIH4" s="3407"/>
      <c r="EII4" s="3407"/>
      <c r="EIJ4" s="3407"/>
      <c r="EIK4" s="3407"/>
      <c r="EIL4" s="3407"/>
      <c r="EIM4" s="3407"/>
      <c r="EIN4" s="3407"/>
      <c r="EIO4" s="3407"/>
      <c r="EIP4" s="3407"/>
      <c r="EIQ4" s="3407"/>
      <c r="EIR4" s="3407"/>
      <c r="EIS4" s="3407"/>
      <c r="EIT4" s="3407"/>
      <c r="EIU4" s="3407"/>
      <c r="EIV4" s="3407"/>
      <c r="EIW4" s="3407"/>
      <c r="EIX4" s="3407"/>
      <c r="EIY4" s="3407"/>
      <c r="EIZ4" s="3407"/>
      <c r="EJA4" s="3407"/>
      <c r="EJB4" s="3407"/>
      <c r="EJC4" s="3407"/>
      <c r="EJD4" s="3407"/>
      <c r="EJE4" s="3407"/>
      <c r="EJF4" s="3407"/>
      <c r="EJG4" s="3407"/>
      <c r="EJH4" s="3407"/>
      <c r="EJI4" s="3407"/>
      <c r="EJJ4" s="3407"/>
      <c r="EJK4" s="3407"/>
      <c r="EJL4" s="3407"/>
      <c r="EJM4" s="3407"/>
      <c r="EJN4" s="3407"/>
      <c r="EJO4" s="3407"/>
      <c r="EJP4" s="3407"/>
      <c r="EJQ4" s="3407"/>
      <c r="EJR4" s="3407"/>
      <c r="EJS4" s="3407"/>
      <c r="EJT4" s="3407"/>
      <c r="EJU4" s="3407"/>
      <c r="EJV4" s="3407"/>
      <c r="EJW4" s="3407"/>
      <c r="EJX4" s="3407"/>
      <c r="EJY4" s="3407"/>
      <c r="EJZ4" s="3407"/>
      <c r="EKA4" s="3407"/>
      <c r="EKB4" s="3407"/>
      <c r="EKC4" s="3407"/>
      <c r="EKD4" s="3407"/>
      <c r="EKE4" s="3407"/>
      <c r="EKF4" s="3407"/>
      <c r="EKG4" s="3407"/>
      <c r="EKH4" s="3407"/>
      <c r="EKI4" s="3407"/>
      <c r="EKJ4" s="3407"/>
      <c r="EKK4" s="3407"/>
      <c r="EKL4" s="3407"/>
      <c r="EKM4" s="3407"/>
      <c r="EKN4" s="3407"/>
      <c r="EKO4" s="3407"/>
      <c r="EKP4" s="3407"/>
      <c r="EKQ4" s="3407"/>
      <c r="EKR4" s="3407"/>
      <c r="EKS4" s="3407"/>
      <c r="EKT4" s="3407"/>
      <c r="EKU4" s="3407"/>
      <c r="EKV4" s="3407"/>
      <c r="EKW4" s="3407"/>
      <c r="EKX4" s="3407"/>
      <c r="EKY4" s="3407"/>
      <c r="EKZ4" s="3407"/>
      <c r="ELA4" s="3407"/>
      <c r="ELB4" s="3407"/>
      <c r="ELC4" s="3407"/>
      <c r="ELD4" s="3407"/>
      <c r="ELE4" s="3407"/>
      <c r="ELF4" s="3407"/>
      <c r="ELG4" s="3407"/>
      <c r="ELH4" s="3407"/>
      <c r="ELI4" s="3407"/>
      <c r="ELJ4" s="3407"/>
      <c r="ELK4" s="3407"/>
      <c r="ELL4" s="3407"/>
      <c r="ELM4" s="3407"/>
      <c r="ELN4" s="3407"/>
      <c r="ELO4" s="3407"/>
      <c r="ELP4" s="3407"/>
      <c r="ELQ4" s="3407"/>
      <c r="ELR4" s="3407"/>
      <c r="ELS4" s="3407"/>
      <c r="ELT4" s="3407"/>
      <c r="ELU4" s="3407"/>
      <c r="ELV4" s="3407"/>
      <c r="ELW4" s="3407"/>
      <c r="ELX4" s="3407"/>
      <c r="ELY4" s="3407"/>
      <c r="ELZ4" s="3407"/>
      <c r="EMA4" s="3407"/>
      <c r="EMB4" s="3407"/>
      <c r="EMC4" s="3407"/>
      <c r="EMD4" s="3407"/>
      <c r="EME4" s="3407"/>
      <c r="EMF4" s="3407"/>
      <c r="EMG4" s="3407"/>
      <c r="EMH4" s="3407"/>
      <c r="EMI4" s="3407"/>
      <c r="EMJ4" s="3407"/>
      <c r="EMK4" s="3407"/>
      <c r="EML4" s="3407"/>
      <c r="EMM4" s="3407"/>
      <c r="EMN4" s="3407"/>
      <c r="EMO4" s="3407"/>
      <c r="EMP4" s="3407"/>
      <c r="EMQ4" s="3407"/>
      <c r="EMR4" s="3407"/>
      <c r="EMS4" s="3407"/>
      <c r="EMT4" s="3407"/>
      <c r="EMU4" s="3407"/>
      <c r="EMV4" s="3407"/>
      <c r="EMW4" s="3407"/>
      <c r="EMX4" s="3407"/>
      <c r="EMY4" s="3407"/>
      <c r="EMZ4" s="3407"/>
      <c r="ENA4" s="3407"/>
      <c r="ENB4" s="3407"/>
      <c r="ENC4" s="3407"/>
      <c r="END4" s="3407"/>
      <c r="ENE4" s="3407"/>
      <c r="ENF4" s="3407"/>
      <c r="ENG4" s="3407"/>
      <c r="ENH4" s="3407"/>
      <c r="ENI4" s="3407"/>
      <c r="ENJ4" s="3407"/>
      <c r="ENK4" s="3407"/>
      <c r="ENL4" s="3407"/>
      <c r="ENM4" s="3407"/>
      <c r="ENN4" s="3407"/>
      <c r="ENO4" s="3407"/>
      <c r="ENP4" s="3407"/>
      <c r="ENQ4" s="3407"/>
      <c r="ENR4" s="3407"/>
      <c r="ENS4" s="3407"/>
      <c r="ENT4" s="3407"/>
      <c r="ENU4" s="3407"/>
      <c r="ENV4" s="3407"/>
      <c r="ENW4" s="3407"/>
      <c r="ENX4" s="3407"/>
      <c r="ENY4" s="3407"/>
      <c r="ENZ4" s="3407"/>
      <c r="EOA4" s="3407"/>
      <c r="EOB4" s="3407"/>
      <c r="EOC4" s="3407"/>
      <c r="EOD4" s="3407"/>
      <c r="EOE4" s="3407"/>
      <c r="EOF4" s="3407"/>
      <c r="EOG4" s="3407"/>
      <c r="EOH4" s="3407"/>
      <c r="EOI4" s="3407"/>
      <c r="EOJ4" s="3407"/>
      <c r="EOK4" s="3407"/>
      <c r="EOL4" s="3407"/>
      <c r="EOM4" s="3407"/>
      <c r="EON4" s="3407"/>
      <c r="EOO4" s="3407"/>
      <c r="EOP4" s="3407"/>
      <c r="EOQ4" s="3407"/>
      <c r="EOR4" s="3407"/>
      <c r="EOS4" s="3407"/>
      <c r="EOT4" s="3407"/>
      <c r="EOU4" s="3407"/>
      <c r="EOV4" s="3407"/>
      <c r="EOW4" s="3407"/>
      <c r="EOX4" s="3407"/>
      <c r="EOY4" s="3407"/>
      <c r="EOZ4" s="3407"/>
      <c r="EPA4" s="3407"/>
      <c r="EPB4" s="3407"/>
      <c r="EPC4" s="3407"/>
      <c r="EPD4" s="3407"/>
      <c r="EPE4" s="3407"/>
      <c r="EPF4" s="3407"/>
      <c r="EPG4" s="3407"/>
      <c r="EPH4" s="3407"/>
      <c r="EPI4" s="3407"/>
      <c r="EPJ4" s="3407"/>
      <c r="EPK4" s="3407"/>
      <c r="EPL4" s="3407"/>
      <c r="EPM4" s="3407"/>
      <c r="EPN4" s="3407"/>
      <c r="EPO4" s="3407"/>
      <c r="EPP4" s="3407"/>
      <c r="EPQ4" s="3407"/>
      <c r="EPR4" s="3407"/>
      <c r="EPS4" s="3407"/>
      <c r="EPT4" s="3407"/>
      <c r="EPU4" s="3407"/>
      <c r="EPV4" s="3407"/>
      <c r="EPW4" s="3407"/>
      <c r="EPX4" s="3407"/>
      <c r="EPY4" s="3407"/>
      <c r="EPZ4" s="3407"/>
      <c r="EQA4" s="3407"/>
      <c r="EQB4" s="3407"/>
      <c r="EQC4" s="3407"/>
      <c r="EQD4" s="3407"/>
      <c r="EQE4" s="3407"/>
      <c r="EQF4" s="3407"/>
      <c r="EQG4" s="3407"/>
      <c r="EQH4" s="3407"/>
      <c r="EQI4" s="3407"/>
      <c r="EQJ4" s="3407"/>
      <c r="EQK4" s="3407"/>
      <c r="EQL4" s="3407"/>
      <c r="EQM4" s="3407"/>
      <c r="EQN4" s="3407"/>
      <c r="EQO4" s="3407"/>
      <c r="EQP4" s="3407"/>
      <c r="EQQ4" s="3407"/>
      <c r="EQR4" s="3407"/>
      <c r="EQS4" s="3407"/>
      <c r="EQT4" s="3407"/>
      <c r="EQU4" s="3407"/>
      <c r="EQV4" s="3407"/>
      <c r="EQW4" s="3407"/>
      <c r="EQX4" s="3407"/>
      <c r="EQY4" s="3407"/>
      <c r="EQZ4" s="3407"/>
      <c r="ERA4" s="3407"/>
      <c r="ERB4" s="3407"/>
      <c r="ERC4" s="3407"/>
      <c r="ERD4" s="3407"/>
      <c r="ERE4" s="3407"/>
      <c r="ERF4" s="3407"/>
      <c r="ERG4" s="3407"/>
      <c r="ERH4" s="3407"/>
      <c r="ERI4" s="3407"/>
      <c r="ERJ4" s="3407"/>
      <c r="ERK4" s="3407"/>
      <c r="ERL4" s="3407"/>
      <c r="ERM4" s="3407"/>
      <c r="ERN4" s="3407"/>
      <c r="ERO4" s="3407"/>
      <c r="ERP4" s="3407"/>
      <c r="ERQ4" s="3407"/>
      <c r="ERR4" s="3407"/>
      <c r="ERS4" s="3407"/>
      <c r="ERT4" s="3407"/>
      <c r="ERU4" s="3407"/>
      <c r="ERV4" s="3407"/>
      <c r="ERW4" s="3407"/>
      <c r="ERX4" s="3407"/>
      <c r="ERY4" s="3407"/>
      <c r="ERZ4" s="3407"/>
      <c r="ESA4" s="3407"/>
      <c r="ESB4" s="3407"/>
      <c r="ESC4" s="3407"/>
      <c r="ESD4" s="3407"/>
      <c r="ESE4" s="3407"/>
      <c r="ESF4" s="3407"/>
      <c r="ESG4" s="3407"/>
      <c r="ESH4" s="3407"/>
      <c r="ESI4" s="3407"/>
      <c r="ESJ4" s="3407"/>
      <c r="ESK4" s="3407"/>
      <c r="ESL4" s="3407"/>
      <c r="ESM4" s="3407"/>
      <c r="ESN4" s="3407"/>
      <c r="ESO4" s="3407"/>
      <c r="ESP4" s="3407"/>
      <c r="ESQ4" s="3407"/>
      <c r="ESR4" s="3407"/>
      <c r="ESS4" s="3407"/>
      <c r="EST4" s="3407"/>
      <c r="ESU4" s="3407"/>
      <c r="ESV4" s="3407"/>
      <c r="ESW4" s="3407"/>
      <c r="ESX4" s="3407"/>
      <c r="ESY4" s="3407"/>
      <c r="ESZ4" s="3407"/>
      <c r="ETA4" s="3407"/>
      <c r="ETB4" s="3407"/>
      <c r="ETC4" s="3407"/>
      <c r="ETD4" s="3407"/>
      <c r="ETE4" s="3407"/>
      <c r="ETF4" s="3407"/>
      <c r="ETG4" s="3407"/>
      <c r="ETH4" s="3407"/>
      <c r="ETI4" s="3407"/>
      <c r="ETJ4" s="3407"/>
      <c r="ETK4" s="3407"/>
      <c r="ETL4" s="3407"/>
      <c r="ETM4" s="3407"/>
      <c r="ETN4" s="3407"/>
      <c r="ETO4" s="3407"/>
      <c r="ETP4" s="3407"/>
      <c r="ETQ4" s="3407"/>
      <c r="ETR4" s="3407"/>
      <c r="ETS4" s="3407"/>
      <c r="ETT4" s="3407"/>
      <c r="ETU4" s="3407"/>
      <c r="ETV4" s="3407"/>
      <c r="ETW4" s="3407"/>
      <c r="ETX4" s="3407"/>
      <c r="ETY4" s="3407"/>
      <c r="ETZ4" s="3407"/>
      <c r="EUA4" s="3407"/>
      <c r="EUB4" s="3407"/>
      <c r="EUC4" s="3407"/>
      <c r="EUD4" s="3407"/>
      <c r="EUE4" s="3407"/>
      <c r="EUF4" s="3407"/>
      <c r="EUG4" s="3407"/>
      <c r="EUH4" s="3407"/>
      <c r="EUI4" s="3407"/>
      <c r="EUJ4" s="3407"/>
      <c r="EUK4" s="3407"/>
      <c r="EUL4" s="3407"/>
      <c r="EUM4" s="3407"/>
      <c r="EUN4" s="3407"/>
      <c r="EUO4" s="3407"/>
      <c r="EUP4" s="3407"/>
      <c r="EUQ4" s="3407"/>
      <c r="EUR4" s="3407"/>
      <c r="EUS4" s="3407"/>
      <c r="EUT4" s="3407"/>
      <c r="EUU4" s="3407"/>
      <c r="EUV4" s="3407"/>
      <c r="EUW4" s="3407"/>
      <c r="EUX4" s="3407"/>
      <c r="EUY4" s="3407"/>
      <c r="EUZ4" s="3407"/>
      <c r="EVA4" s="3407"/>
      <c r="EVB4" s="3407"/>
      <c r="EVC4" s="3407"/>
      <c r="EVD4" s="3407"/>
      <c r="EVE4" s="3407"/>
      <c r="EVF4" s="3407"/>
      <c r="EVG4" s="3407"/>
      <c r="EVH4" s="3407"/>
      <c r="EVI4" s="3407"/>
      <c r="EVJ4" s="3407"/>
      <c r="EVK4" s="3407"/>
      <c r="EVL4" s="3407"/>
      <c r="EVM4" s="3407"/>
      <c r="EVN4" s="3407"/>
      <c r="EVO4" s="3407"/>
      <c r="EVP4" s="3407"/>
      <c r="EVQ4" s="3407"/>
      <c r="EVR4" s="3407"/>
      <c r="EVS4" s="3407"/>
      <c r="EVT4" s="3407"/>
      <c r="EVU4" s="3407"/>
      <c r="EVV4" s="3407"/>
      <c r="EVW4" s="3407"/>
      <c r="EVX4" s="3407"/>
      <c r="EVY4" s="3407"/>
      <c r="EVZ4" s="3407"/>
      <c r="EWA4" s="3407"/>
      <c r="EWB4" s="3407"/>
      <c r="EWC4" s="3407"/>
      <c r="EWD4" s="3407"/>
      <c r="EWE4" s="3407"/>
      <c r="EWF4" s="3407"/>
      <c r="EWG4" s="3407"/>
      <c r="EWH4" s="3407"/>
      <c r="EWI4" s="3407"/>
      <c r="EWJ4" s="3407"/>
      <c r="EWK4" s="3407"/>
      <c r="EWL4" s="3407"/>
      <c r="EWM4" s="3407"/>
      <c r="EWN4" s="3407"/>
      <c r="EWO4" s="3407"/>
      <c r="EWP4" s="3407"/>
      <c r="EWQ4" s="3407"/>
      <c r="EWR4" s="3407"/>
      <c r="EWS4" s="3407"/>
      <c r="EWT4" s="3407"/>
      <c r="EWU4" s="3407"/>
      <c r="EWV4" s="3407"/>
      <c r="EWW4" s="3407"/>
      <c r="EWX4" s="3407"/>
      <c r="EWY4" s="3407"/>
      <c r="EWZ4" s="3407"/>
      <c r="EXA4" s="3407"/>
      <c r="EXB4" s="3407"/>
      <c r="EXC4" s="3407"/>
      <c r="EXD4" s="3407"/>
      <c r="EXE4" s="3407"/>
      <c r="EXF4" s="3407"/>
      <c r="EXG4" s="3407"/>
      <c r="EXH4" s="3407"/>
      <c r="EXI4" s="3407"/>
      <c r="EXJ4" s="3407"/>
      <c r="EXK4" s="3407"/>
      <c r="EXL4" s="3407"/>
      <c r="EXM4" s="3407"/>
      <c r="EXN4" s="3407"/>
      <c r="EXO4" s="3407"/>
      <c r="EXP4" s="3407"/>
      <c r="EXQ4" s="3407"/>
      <c r="EXR4" s="3407"/>
      <c r="EXS4" s="3407"/>
      <c r="EXT4" s="3407"/>
      <c r="EXU4" s="3407"/>
      <c r="EXV4" s="3407"/>
      <c r="EXW4" s="3407"/>
      <c r="EXX4" s="3407"/>
      <c r="EXY4" s="3407"/>
      <c r="EXZ4" s="3407"/>
      <c r="EYA4" s="3407"/>
      <c r="EYB4" s="3407"/>
      <c r="EYC4" s="3407"/>
      <c r="EYD4" s="3407"/>
      <c r="EYE4" s="3407"/>
      <c r="EYF4" s="3407"/>
      <c r="EYG4" s="3407"/>
      <c r="EYH4" s="3407"/>
      <c r="EYI4" s="3407"/>
      <c r="EYJ4" s="3407"/>
      <c r="EYK4" s="3407"/>
      <c r="EYL4" s="3407"/>
      <c r="EYM4" s="3407"/>
      <c r="EYN4" s="3407"/>
      <c r="EYO4" s="3407"/>
      <c r="EYP4" s="3407"/>
      <c r="EYQ4" s="3407"/>
      <c r="EYR4" s="3407"/>
      <c r="EYS4" s="3407"/>
      <c r="EYT4" s="3407"/>
      <c r="EYU4" s="3407"/>
      <c r="EYV4" s="3407"/>
      <c r="EYW4" s="3407"/>
      <c r="EYX4" s="3407"/>
      <c r="EYY4" s="3407"/>
      <c r="EYZ4" s="3407"/>
      <c r="EZA4" s="3407"/>
      <c r="EZB4" s="3407"/>
      <c r="EZC4" s="3407"/>
      <c r="EZD4" s="3407"/>
      <c r="EZE4" s="3407"/>
      <c r="EZF4" s="3407"/>
      <c r="EZG4" s="3407"/>
      <c r="EZH4" s="3407"/>
      <c r="EZI4" s="3407"/>
      <c r="EZJ4" s="3407"/>
      <c r="EZK4" s="3407"/>
      <c r="EZL4" s="3407"/>
      <c r="EZM4" s="3407"/>
      <c r="EZN4" s="3407"/>
      <c r="EZO4" s="3407"/>
      <c r="EZP4" s="3407"/>
      <c r="EZQ4" s="3407"/>
      <c r="EZR4" s="3407"/>
      <c r="EZS4" s="3407"/>
      <c r="EZT4" s="3407"/>
      <c r="EZU4" s="3407"/>
      <c r="EZV4" s="3407"/>
      <c r="EZW4" s="3407"/>
      <c r="EZX4" s="3407"/>
      <c r="EZY4" s="3407"/>
      <c r="EZZ4" s="3407"/>
      <c r="FAA4" s="3407"/>
      <c r="FAB4" s="3407"/>
      <c r="FAC4" s="3407"/>
      <c r="FAD4" s="3407"/>
      <c r="FAE4" s="3407"/>
      <c r="FAF4" s="3407"/>
      <c r="FAG4" s="3407"/>
      <c r="FAH4" s="3407"/>
      <c r="FAI4" s="3407"/>
      <c r="FAJ4" s="3407"/>
      <c r="FAK4" s="3407"/>
      <c r="FAL4" s="3407"/>
      <c r="FAM4" s="3407"/>
      <c r="FAN4" s="3407"/>
      <c r="FAO4" s="3407"/>
      <c r="FAP4" s="3407"/>
      <c r="FAQ4" s="3407"/>
      <c r="FAR4" s="3407"/>
      <c r="FAS4" s="3407"/>
      <c r="FAT4" s="3407"/>
      <c r="FAU4" s="3407"/>
      <c r="FAV4" s="3407"/>
      <c r="FAW4" s="3407"/>
      <c r="FAX4" s="3407"/>
      <c r="FAY4" s="3407"/>
      <c r="FAZ4" s="3407"/>
      <c r="FBA4" s="3407"/>
      <c r="FBB4" s="3407"/>
      <c r="FBC4" s="3407"/>
      <c r="FBD4" s="3407"/>
      <c r="FBE4" s="3407"/>
      <c r="FBF4" s="3407"/>
      <c r="FBG4" s="3407"/>
      <c r="FBH4" s="3407"/>
      <c r="FBI4" s="3407"/>
      <c r="FBJ4" s="3407"/>
      <c r="FBK4" s="3407"/>
      <c r="FBL4" s="3407"/>
      <c r="FBM4" s="3407"/>
      <c r="FBN4" s="3407"/>
      <c r="FBO4" s="3407"/>
      <c r="FBP4" s="3407"/>
      <c r="FBQ4" s="3407"/>
      <c r="FBR4" s="3407"/>
      <c r="FBS4" s="3407"/>
      <c r="FBT4" s="3407"/>
      <c r="FBU4" s="3407"/>
      <c r="FBV4" s="3407"/>
      <c r="FBW4" s="3407"/>
      <c r="FBX4" s="3407"/>
      <c r="FBY4" s="3407"/>
      <c r="FBZ4" s="3407"/>
      <c r="FCA4" s="3407"/>
      <c r="FCB4" s="3407"/>
      <c r="FCC4" s="3407"/>
      <c r="FCD4" s="3407"/>
      <c r="FCE4" s="3407"/>
      <c r="FCF4" s="3407"/>
      <c r="FCG4" s="3407"/>
      <c r="FCH4" s="3407"/>
      <c r="FCI4" s="3407"/>
      <c r="FCJ4" s="3407"/>
      <c r="FCK4" s="3407"/>
      <c r="FCL4" s="3407"/>
      <c r="FCM4" s="3407"/>
      <c r="FCN4" s="3407"/>
      <c r="FCO4" s="3407"/>
      <c r="FCP4" s="3407"/>
      <c r="FCQ4" s="3407"/>
      <c r="FCR4" s="3407"/>
      <c r="FCS4" s="3407"/>
      <c r="FCT4" s="3407"/>
      <c r="FCU4" s="3407"/>
      <c r="FCV4" s="3407"/>
      <c r="FCW4" s="3407"/>
      <c r="FCX4" s="3407"/>
      <c r="FCY4" s="3407"/>
      <c r="FCZ4" s="3407"/>
      <c r="FDA4" s="3407"/>
      <c r="FDB4" s="3407"/>
      <c r="FDC4" s="3407"/>
      <c r="FDD4" s="3407"/>
      <c r="FDE4" s="3407"/>
      <c r="FDF4" s="3407"/>
      <c r="FDG4" s="3407"/>
      <c r="FDH4" s="3407"/>
      <c r="FDI4" s="3407"/>
      <c r="FDJ4" s="3407"/>
      <c r="FDK4" s="3407"/>
      <c r="FDL4" s="3407"/>
      <c r="FDM4" s="3407"/>
      <c r="FDN4" s="3407"/>
      <c r="FDO4" s="3407"/>
      <c r="FDP4" s="3407"/>
      <c r="FDQ4" s="3407"/>
      <c r="FDR4" s="3407"/>
      <c r="FDS4" s="3407"/>
      <c r="FDT4" s="3407"/>
      <c r="FDU4" s="3407"/>
      <c r="FDV4" s="3407"/>
      <c r="FDW4" s="3407"/>
      <c r="FDX4" s="3407"/>
      <c r="FDY4" s="3407"/>
      <c r="FDZ4" s="3407"/>
      <c r="FEA4" s="3407"/>
      <c r="FEB4" s="3407"/>
      <c r="FEC4" s="3407"/>
      <c r="FED4" s="3407"/>
      <c r="FEE4" s="3407"/>
      <c r="FEF4" s="3407"/>
      <c r="FEG4" s="3407"/>
      <c r="FEH4" s="3407"/>
      <c r="FEI4" s="3407"/>
      <c r="FEJ4" s="3407"/>
      <c r="FEK4" s="3407"/>
      <c r="FEL4" s="3407"/>
      <c r="FEM4" s="3407"/>
      <c r="FEN4" s="3407"/>
      <c r="FEO4" s="3407"/>
      <c r="FEP4" s="3407"/>
      <c r="FEQ4" s="3407"/>
      <c r="FER4" s="3407"/>
      <c r="FES4" s="3407"/>
      <c r="FET4" s="3407"/>
      <c r="FEU4" s="3407"/>
      <c r="FEV4" s="3407"/>
      <c r="FEW4" s="3407"/>
      <c r="FEX4" s="3407"/>
      <c r="FEY4" s="3407"/>
      <c r="FEZ4" s="3407"/>
      <c r="FFA4" s="3407"/>
      <c r="FFB4" s="3407"/>
      <c r="FFC4" s="3407"/>
      <c r="FFD4" s="3407"/>
      <c r="FFE4" s="3407"/>
      <c r="FFF4" s="3407"/>
      <c r="FFG4" s="3407"/>
      <c r="FFH4" s="3407"/>
      <c r="FFI4" s="3407"/>
      <c r="FFJ4" s="3407"/>
      <c r="FFK4" s="3407"/>
      <c r="FFL4" s="3407"/>
      <c r="FFM4" s="3407"/>
      <c r="FFN4" s="3407"/>
      <c r="FFO4" s="3407"/>
      <c r="FFP4" s="3407"/>
      <c r="FFQ4" s="3407"/>
      <c r="FFR4" s="3407"/>
      <c r="FFS4" s="3407"/>
      <c r="FFT4" s="3407"/>
      <c r="FFU4" s="3407"/>
      <c r="FFV4" s="3407"/>
      <c r="FFW4" s="3407"/>
      <c r="FFX4" s="3407"/>
      <c r="FFY4" s="3407"/>
      <c r="FFZ4" s="3407"/>
      <c r="FGA4" s="3407"/>
      <c r="FGB4" s="3407"/>
      <c r="FGC4" s="3407"/>
      <c r="FGD4" s="3407"/>
      <c r="FGE4" s="3407"/>
      <c r="FGF4" s="3407"/>
      <c r="FGG4" s="3407"/>
      <c r="FGH4" s="3407"/>
      <c r="FGI4" s="3407"/>
      <c r="FGJ4" s="3407"/>
      <c r="FGK4" s="3407"/>
      <c r="FGL4" s="3407"/>
      <c r="FGM4" s="3407"/>
      <c r="FGN4" s="3407"/>
      <c r="FGO4" s="3407"/>
      <c r="FGP4" s="3407"/>
      <c r="FGQ4" s="3407"/>
      <c r="FGR4" s="3407"/>
      <c r="FGS4" s="3407"/>
      <c r="FGT4" s="3407"/>
      <c r="FGU4" s="3407"/>
      <c r="FGV4" s="3407"/>
      <c r="FGW4" s="3407"/>
      <c r="FGX4" s="3407"/>
      <c r="FGY4" s="3407"/>
      <c r="FGZ4" s="3407"/>
      <c r="FHA4" s="3407"/>
      <c r="FHB4" s="3407"/>
      <c r="FHC4" s="3407"/>
      <c r="FHD4" s="3407"/>
      <c r="FHE4" s="3407"/>
      <c r="FHF4" s="3407"/>
      <c r="FHG4" s="3407"/>
      <c r="FHH4" s="3407"/>
      <c r="FHI4" s="3407"/>
      <c r="FHJ4" s="3407"/>
      <c r="FHK4" s="3407"/>
      <c r="FHL4" s="3407"/>
      <c r="FHM4" s="3407"/>
      <c r="FHN4" s="3407"/>
      <c r="FHO4" s="3407"/>
      <c r="FHP4" s="3407"/>
      <c r="FHQ4" s="3407"/>
      <c r="FHR4" s="3407"/>
      <c r="FHS4" s="3407"/>
      <c r="FHT4" s="3407"/>
      <c r="FHU4" s="3407"/>
      <c r="FHV4" s="3407"/>
      <c r="FHW4" s="3407"/>
      <c r="FHX4" s="3407"/>
      <c r="FHY4" s="3407"/>
      <c r="FHZ4" s="3407"/>
      <c r="FIA4" s="3407"/>
      <c r="FIB4" s="3407"/>
      <c r="FIC4" s="3407"/>
      <c r="FID4" s="3407"/>
      <c r="FIE4" s="3407"/>
      <c r="FIF4" s="3407"/>
      <c r="FIG4" s="3407"/>
      <c r="FIH4" s="3407"/>
      <c r="FII4" s="3407"/>
      <c r="FIJ4" s="3407"/>
      <c r="FIK4" s="3407"/>
      <c r="FIL4" s="3407"/>
      <c r="FIM4" s="3407"/>
      <c r="FIN4" s="3407"/>
      <c r="FIO4" s="3407"/>
      <c r="FIP4" s="3407"/>
      <c r="FIQ4" s="3407"/>
      <c r="FIR4" s="3407"/>
      <c r="FIS4" s="3407"/>
      <c r="FIT4" s="3407"/>
      <c r="FIU4" s="3407"/>
      <c r="FIV4" s="3407"/>
      <c r="FIW4" s="3407"/>
      <c r="FIX4" s="3407"/>
      <c r="FIY4" s="3407"/>
      <c r="FIZ4" s="3407"/>
      <c r="FJA4" s="3407"/>
      <c r="FJB4" s="3407"/>
      <c r="FJC4" s="3407"/>
      <c r="FJD4" s="3407"/>
      <c r="FJE4" s="3407"/>
      <c r="FJF4" s="3407"/>
      <c r="FJG4" s="3407"/>
      <c r="FJH4" s="3407"/>
      <c r="FJI4" s="3407"/>
      <c r="FJJ4" s="3407"/>
      <c r="FJK4" s="3407"/>
      <c r="FJL4" s="3407"/>
      <c r="FJM4" s="3407"/>
      <c r="FJN4" s="3407"/>
      <c r="FJO4" s="3407"/>
      <c r="FJP4" s="3407"/>
      <c r="FJQ4" s="3407"/>
      <c r="FJR4" s="3407"/>
      <c r="FJS4" s="3407"/>
      <c r="FJT4" s="3407"/>
      <c r="FJU4" s="3407"/>
      <c r="FJV4" s="3407"/>
      <c r="FJW4" s="3407"/>
      <c r="FJX4" s="3407"/>
      <c r="FJY4" s="3407"/>
      <c r="FJZ4" s="3407"/>
      <c r="FKA4" s="3407"/>
      <c r="FKB4" s="3407"/>
      <c r="FKC4" s="3407"/>
      <c r="FKD4" s="3407"/>
      <c r="FKE4" s="3407"/>
      <c r="FKF4" s="3407"/>
      <c r="FKG4" s="3407"/>
      <c r="FKH4" s="3407"/>
      <c r="FKI4" s="3407"/>
      <c r="FKJ4" s="3407"/>
      <c r="FKK4" s="3407"/>
      <c r="FKL4" s="3407"/>
      <c r="FKM4" s="3407"/>
      <c r="FKN4" s="3407"/>
      <c r="FKO4" s="3407"/>
      <c r="FKP4" s="3407"/>
      <c r="FKQ4" s="3407"/>
      <c r="FKR4" s="3407"/>
      <c r="FKS4" s="3407"/>
      <c r="FKT4" s="3407"/>
      <c r="FKU4" s="3407"/>
      <c r="FKV4" s="3407"/>
      <c r="FKW4" s="3407"/>
      <c r="FKX4" s="3407"/>
      <c r="FKY4" s="3407"/>
      <c r="FKZ4" s="3407"/>
      <c r="FLA4" s="3407"/>
      <c r="FLB4" s="3407"/>
      <c r="FLC4" s="3407"/>
      <c r="FLD4" s="3407"/>
      <c r="FLE4" s="3407"/>
      <c r="FLF4" s="3407"/>
      <c r="FLG4" s="3407"/>
      <c r="FLH4" s="3407"/>
      <c r="FLI4" s="3407"/>
      <c r="FLJ4" s="3407"/>
      <c r="FLK4" s="3407"/>
      <c r="FLL4" s="3407"/>
      <c r="FLM4" s="3407"/>
      <c r="FLN4" s="3407"/>
      <c r="FLO4" s="3407"/>
      <c r="FLP4" s="3407"/>
      <c r="FLQ4" s="3407"/>
      <c r="FLR4" s="3407"/>
      <c r="FLS4" s="3407"/>
      <c r="FLT4" s="3407"/>
      <c r="FLU4" s="3407"/>
      <c r="FLV4" s="3407"/>
      <c r="FLW4" s="3407"/>
      <c r="FLX4" s="3407"/>
      <c r="FLY4" s="3407"/>
      <c r="FLZ4" s="3407"/>
      <c r="FMA4" s="3407"/>
      <c r="FMB4" s="3407"/>
      <c r="FMC4" s="3407"/>
      <c r="FMD4" s="3407"/>
      <c r="FME4" s="3407"/>
      <c r="FMF4" s="3407"/>
      <c r="FMG4" s="3407"/>
      <c r="FMH4" s="3407"/>
      <c r="FMI4" s="3407"/>
      <c r="FMJ4" s="3407"/>
      <c r="FMK4" s="3407"/>
      <c r="FML4" s="3407"/>
      <c r="FMM4" s="3407"/>
      <c r="FMN4" s="3407"/>
      <c r="FMO4" s="3407"/>
      <c r="FMP4" s="3407"/>
      <c r="FMQ4" s="3407"/>
      <c r="FMR4" s="3407"/>
      <c r="FMS4" s="3407"/>
      <c r="FMT4" s="3407"/>
      <c r="FMU4" s="3407"/>
      <c r="FMV4" s="3407"/>
      <c r="FMW4" s="3407"/>
      <c r="FMX4" s="3407"/>
      <c r="FMY4" s="3407"/>
      <c r="FMZ4" s="3407"/>
      <c r="FNA4" s="3407"/>
      <c r="FNB4" s="3407"/>
      <c r="FNC4" s="3407"/>
      <c r="FND4" s="3407"/>
      <c r="FNE4" s="3407"/>
      <c r="FNF4" s="3407"/>
      <c r="FNG4" s="3407"/>
      <c r="FNH4" s="3407"/>
      <c r="FNI4" s="3407"/>
      <c r="FNJ4" s="3407"/>
      <c r="FNK4" s="3407"/>
      <c r="FNL4" s="3407"/>
      <c r="FNM4" s="3407"/>
      <c r="FNN4" s="3407"/>
      <c r="FNO4" s="3407"/>
      <c r="FNP4" s="3407"/>
      <c r="FNQ4" s="3407"/>
      <c r="FNR4" s="3407"/>
      <c r="FNS4" s="3407"/>
      <c r="FNT4" s="3407"/>
      <c r="FNU4" s="3407"/>
      <c r="FNV4" s="3407"/>
      <c r="FNW4" s="3407"/>
      <c r="FNX4" s="3407"/>
      <c r="FNY4" s="3407"/>
      <c r="FNZ4" s="3407"/>
      <c r="FOA4" s="3407"/>
      <c r="FOB4" s="3407"/>
      <c r="FOC4" s="3407"/>
      <c r="FOD4" s="3407"/>
      <c r="FOE4" s="3407"/>
      <c r="FOF4" s="3407"/>
      <c r="FOG4" s="3407"/>
      <c r="FOH4" s="3407"/>
      <c r="FOI4" s="3407"/>
      <c r="FOJ4" s="3407"/>
      <c r="FOK4" s="3407"/>
      <c r="FOL4" s="3407"/>
      <c r="FOM4" s="3407"/>
      <c r="FON4" s="3407"/>
      <c r="FOO4" s="3407"/>
      <c r="FOP4" s="3407"/>
      <c r="FOQ4" s="3407"/>
      <c r="FOR4" s="3407"/>
      <c r="FOS4" s="3407"/>
      <c r="FOT4" s="3407"/>
      <c r="FOU4" s="3407"/>
      <c r="FOV4" s="3407"/>
      <c r="FOW4" s="3407"/>
      <c r="FOX4" s="3407"/>
      <c r="FOY4" s="3407"/>
      <c r="FOZ4" s="3407"/>
      <c r="FPA4" s="3407"/>
      <c r="FPB4" s="3407"/>
      <c r="FPC4" s="3407"/>
      <c r="FPD4" s="3407"/>
      <c r="FPE4" s="3407"/>
      <c r="FPF4" s="3407"/>
      <c r="FPG4" s="3407"/>
      <c r="FPH4" s="3407"/>
      <c r="FPI4" s="3407"/>
      <c r="FPJ4" s="3407"/>
      <c r="FPK4" s="3407"/>
      <c r="FPL4" s="3407"/>
      <c r="FPM4" s="3407"/>
      <c r="FPN4" s="3407"/>
      <c r="FPO4" s="3407"/>
      <c r="FPP4" s="3407"/>
      <c r="FPQ4" s="3407"/>
      <c r="FPR4" s="3407"/>
      <c r="FPS4" s="3407"/>
      <c r="FPT4" s="3407"/>
      <c r="FPU4" s="3407"/>
      <c r="FPV4" s="3407"/>
      <c r="FPW4" s="3407"/>
      <c r="FPX4" s="3407"/>
      <c r="FPY4" s="3407"/>
      <c r="FPZ4" s="3407"/>
      <c r="FQA4" s="3407"/>
      <c r="FQB4" s="3407"/>
      <c r="FQC4" s="3407"/>
      <c r="FQD4" s="3407"/>
      <c r="FQE4" s="3407"/>
      <c r="FQF4" s="3407"/>
      <c r="FQG4" s="3407"/>
      <c r="FQH4" s="3407"/>
      <c r="FQI4" s="3407"/>
      <c r="FQJ4" s="3407"/>
      <c r="FQK4" s="3407"/>
      <c r="FQL4" s="3407"/>
      <c r="FQM4" s="3407"/>
      <c r="FQN4" s="3407"/>
      <c r="FQO4" s="3407"/>
      <c r="FQP4" s="3407"/>
      <c r="FQQ4" s="3407"/>
      <c r="FQR4" s="3407"/>
      <c r="FQS4" s="3407"/>
      <c r="FQT4" s="3407"/>
      <c r="FQU4" s="3407"/>
      <c r="FQV4" s="3407"/>
      <c r="FQW4" s="3407"/>
      <c r="FQX4" s="3407"/>
      <c r="FQY4" s="3407"/>
      <c r="FQZ4" s="3407"/>
      <c r="FRA4" s="3407"/>
      <c r="FRB4" s="3407"/>
      <c r="FRC4" s="3407"/>
      <c r="FRD4" s="3407"/>
      <c r="FRE4" s="3407"/>
      <c r="FRF4" s="3407"/>
      <c r="FRG4" s="3407"/>
      <c r="FRH4" s="3407"/>
      <c r="FRI4" s="3407"/>
      <c r="FRJ4" s="3407"/>
      <c r="FRK4" s="3407"/>
      <c r="FRL4" s="3407"/>
      <c r="FRM4" s="3407"/>
      <c r="FRN4" s="3407"/>
      <c r="FRO4" s="3407"/>
      <c r="FRP4" s="3407"/>
      <c r="FRQ4" s="3407"/>
      <c r="FRR4" s="3407"/>
      <c r="FRS4" s="3407"/>
      <c r="FRT4" s="3407"/>
      <c r="FRU4" s="3407"/>
      <c r="FRV4" s="3407"/>
      <c r="FRW4" s="3407"/>
      <c r="FRX4" s="3407"/>
      <c r="FRY4" s="3407"/>
      <c r="FRZ4" s="3407"/>
      <c r="FSA4" s="3407"/>
      <c r="FSB4" s="3407"/>
      <c r="FSC4" s="3407"/>
      <c r="FSD4" s="3407"/>
      <c r="FSE4" s="3407"/>
      <c r="FSF4" s="3407"/>
      <c r="FSG4" s="3407"/>
      <c r="FSH4" s="3407"/>
      <c r="FSI4" s="3407"/>
      <c r="FSJ4" s="3407"/>
      <c r="FSK4" s="3407"/>
      <c r="FSL4" s="3407"/>
      <c r="FSM4" s="3407"/>
      <c r="FSN4" s="3407"/>
      <c r="FSO4" s="3407"/>
      <c r="FSP4" s="3407"/>
      <c r="FSQ4" s="3407"/>
      <c r="FSR4" s="3407"/>
      <c r="FSS4" s="3407"/>
      <c r="FST4" s="3407"/>
      <c r="FSU4" s="3407"/>
      <c r="FSV4" s="3407"/>
      <c r="FSW4" s="3407"/>
      <c r="FSX4" s="3407"/>
      <c r="FSY4" s="3407"/>
      <c r="FSZ4" s="3407"/>
      <c r="FTA4" s="3407"/>
      <c r="FTB4" s="3407"/>
      <c r="FTC4" s="3407"/>
      <c r="FTD4" s="3407"/>
      <c r="FTE4" s="3407"/>
      <c r="FTF4" s="3407"/>
      <c r="FTG4" s="3407"/>
      <c r="FTH4" s="3407"/>
      <c r="FTI4" s="3407"/>
      <c r="FTJ4" s="3407"/>
      <c r="FTK4" s="3407"/>
      <c r="FTL4" s="3407"/>
      <c r="FTM4" s="3407"/>
      <c r="FTN4" s="3407"/>
      <c r="FTO4" s="3407"/>
      <c r="FTP4" s="3407"/>
      <c r="FTQ4" s="3407"/>
      <c r="FTR4" s="3407"/>
      <c r="FTS4" s="3407"/>
      <c r="FTT4" s="3407"/>
      <c r="FTU4" s="3407"/>
      <c r="FTV4" s="3407"/>
      <c r="FTW4" s="3407"/>
      <c r="FTX4" s="3407"/>
      <c r="FTY4" s="3407"/>
      <c r="FTZ4" s="3407"/>
      <c r="FUA4" s="3407"/>
      <c r="FUB4" s="3407"/>
      <c r="FUC4" s="3407"/>
      <c r="FUD4" s="3407"/>
      <c r="FUE4" s="3407"/>
      <c r="FUF4" s="3407"/>
      <c r="FUG4" s="3407"/>
      <c r="FUH4" s="3407"/>
      <c r="FUI4" s="3407"/>
      <c r="FUJ4" s="3407"/>
      <c r="FUK4" s="3407"/>
      <c r="FUL4" s="3407"/>
      <c r="FUM4" s="3407"/>
      <c r="FUN4" s="3407"/>
      <c r="FUO4" s="3407"/>
      <c r="FUP4" s="3407"/>
      <c r="FUQ4" s="3407"/>
      <c r="FUR4" s="3407"/>
      <c r="FUS4" s="3407"/>
      <c r="FUT4" s="3407"/>
      <c r="FUU4" s="3407"/>
      <c r="FUV4" s="3407"/>
      <c r="FUW4" s="3407"/>
      <c r="FUX4" s="3407"/>
      <c r="FUY4" s="3407"/>
      <c r="FUZ4" s="3407"/>
      <c r="FVA4" s="3407"/>
      <c r="FVB4" s="3407"/>
      <c r="FVC4" s="3407"/>
      <c r="FVD4" s="3407"/>
      <c r="FVE4" s="3407"/>
      <c r="FVF4" s="3407"/>
      <c r="FVG4" s="3407"/>
      <c r="FVH4" s="3407"/>
      <c r="FVI4" s="3407"/>
      <c r="FVJ4" s="3407"/>
      <c r="FVK4" s="3407"/>
      <c r="FVL4" s="3407"/>
      <c r="FVM4" s="3407"/>
      <c r="FVN4" s="3407"/>
      <c r="FVO4" s="3407"/>
      <c r="FVP4" s="3407"/>
      <c r="FVQ4" s="3407"/>
      <c r="FVR4" s="3407"/>
      <c r="FVS4" s="3407"/>
      <c r="FVT4" s="3407"/>
      <c r="FVU4" s="3407"/>
      <c r="FVV4" s="3407"/>
      <c r="FVW4" s="3407"/>
      <c r="FVX4" s="3407"/>
      <c r="FVY4" s="3407"/>
      <c r="FVZ4" s="3407"/>
      <c r="FWA4" s="3407"/>
      <c r="FWB4" s="3407"/>
      <c r="FWC4" s="3407"/>
      <c r="FWD4" s="3407"/>
      <c r="FWE4" s="3407"/>
      <c r="FWF4" s="3407"/>
      <c r="FWG4" s="3407"/>
      <c r="FWH4" s="3407"/>
      <c r="FWI4" s="3407"/>
      <c r="FWJ4" s="3407"/>
      <c r="FWK4" s="3407"/>
      <c r="FWL4" s="3407"/>
      <c r="FWM4" s="3407"/>
      <c r="FWN4" s="3407"/>
      <c r="FWO4" s="3407"/>
      <c r="FWP4" s="3407"/>
      <c r="FWQ4" s="3407"/>
      <c r="FWR4" s="3407"/>
      <c r="FWS4" s="3407"/>
      <c r="FWT4" s="3407"/>
      <c r="FWU4" s="3407"/>
      <c r="FWV4" s="3407"/>
      <c r="FWW4" s="3407"/>
      <c r="FWX4" s="3407"/>
      <c r="FWY4" s="3407"/>
      <c r="FWZ4" s="3407"/>
      <c r="FXA4" s="3407"/>
      <c r="FXB4" s="3407"/>
      <c r="FXC4" s="3407"/>
      <c r="FXD4" s="3407"/>
      <c r="FXE4" s="3407"/>
      <c r="FXF4" s="3407"/>
      <c r="FXG4" s="3407"/>
      <c r="FXH4" s="3407"/>
      <c r="FXI4" s="3407"/>
      <c r="FXJ4" s="3407"/>
      <c r="FXK4" s="3407"/>
      <c r="FXL4" s="3407"/>
      <c r="FXM4" s="3407"/>
      <c r="FXN4" s="3407"/>
      <c r="FXO4" s="3407"/>
      <c r="FXP4" s="3407"/>
      <c r="FXQ4" s="3407"/>
      <c r="FXR4" s="3407"/>
      <c r="FXS4" s="3407"/>
      <c r="FXT4" s="3407"/>
      <c r="FXU4" s="3407"/>
      <c r="FXV4" s="3407"/>
      <c r="FXW4" s="3407"/>
      <c r="FXX4" s="3407"/>
      <c r="FXY4" s="3407"/>
      <c r="FXZ4" s="3407"/>
      <c r="FYA4" s="3407"/>
      <c r="FYB4" s="3407"/>
      <c r="FYC4" s="3407"/>
      <c r="FYD4" s="3407"/>
      <c r="FYE4" s="3407"/>
      <c r="FYF4" s="3407"/>
      <c r="FYG4" s="3407"/>
      <c r="FYH4" s="3407"/>
      <c r="FYI4" s="3407"/>
      <c r="FYJ4" s="3407"/>
      <c r="FYK4" s="3407"/>
      <c r="FYL4" s="3407"/>
      <c r="FYM4" s="3407"/>
      <c r="FYN4" s="3407"/>
      <c r="FYO4" s="3407"/>
      <c r="FYP4" s="3407"/>
      <c r="FYQ4" s="3407"/>
      <c r="FYR4" s="3407"/>
      <c r="FYS4" s="3407"/>
      <c r="FYT4" s="3407"/>
      <c r="FYU4" s="3407"/>
      <c r="FYV4" s="3407"/>
      <c r="FYW4" s="3407"/>
      <c r="FYX4" s="3407"/>
      <c r="FYY4" s="3407"/>
      <c r="FYZ4" s="3407"/>
      <c r="FZA4" s="3407"/>
      <c r="FZB4" s="3407"/>
      <c r="FZC4" s="3407"/>
      <c r="FZD4" s="3407"/>
      <c r="FZE4" s="3407"/>
      <c r="FZF4" s="3407"/>
      <c r="FZG4" s="3407"/>
      <c r="FZH4" s="3407"/>
      <c r="FZI4" s="3407"/>
      <c r="FZJ4" s="3407"/>
      <c r="FZK4" s="3407"/>
      <c r="FZL4" s="3407"/>
      <c r="FZM4" s="3407"/>
      <c r="FZN4" s="3407"/>
      <c r="FZO4" s="3407"/>
      <c r="FZP4" s="3407"/>
      <c r="FZQ4" s="3407"/>
      <c r="FZR4" s="3407"/>
      <c r="FZS4" s="3407"/>
      <c r="FZT4" s="3407"/>
      <c r="FZU4" s="3407"/>
      <c r="FZV4" s="3407"/>
      <c r="FZW4" s="3407"/>
      <c r="FZX4" s="3407"/>
      <c r="FZY4" s="3407"/>
      <c r="FZZ4" s="3407"/>
      <c r="GAA4" s="3407"/>
      <c r="GAB4" s="3407"/>
      <c r="GAC4" s="3407"/>
      <c r="GAD4" s="3407"/>
      <c r="GAE4" s="3407"/>
      <c r="GAF4" s="3407"/>
      <c r="GAG4" s="3407"/>
      <c r="GAH4" s="3407"/>
      <c r="GAI4" s="3407"/>
      <c r="GAJ4" s="3407"/>
      <c r="GAK4" s="3407"/>
      <c r="GAL4" s="3407"/>
      <c r="GAM4" s="3407"/>
      <c r="GAN4" s="3407"/>
      <c r="GAO4" s="3407"/>
      <c r="GAP4" s="3407"/>
      <c r="GAQ4" s="3407"/>
      <c r="GAR4" s="3407"/>
      <c r="GAS4" s="3407"/>
      <c r="GAT4" s="3407"/>
      <c r="GAU4" s="3407"/>
      <c r="GAV4" s="3407"/>
      <c r="GAW4" s="3407"/>
      <c r="GAX4" s="3407"/>
      <c r="GAY4" s="3407"/>
      <c r="GAZ4" s="3407"/>
      <c r="GBA4" s="3407"/>
      <c r="GBB4" s="3407"/>
      <c r="GBC4" s="3407"/>
      <c r="GBD4" s="3407"/>
      <c r="GBE4" s="3407"/>
      <c r="GBF4" s="3407"/>
      <c r="GBG4" s="3407"/>
      <c r="GBH4" s="3407"/>
      <c r="GBI4" s="3407"/>
      <c r="GBJ4" s="3407"/>
      <c r="GBK4" s="3407"/>
      <c r="GBL4" s="3407"/>
      <c r="GBM4" s="3407"/>
      <c r="GBN4" s="3407"/>
      <c r="GBO4" s="3407"/>
      <c r="GBP4" s="3407"/>
      <c r="GBQ4" s="3407"/>
      <c r="GBR4" s="3407"/>
      <c r="GBS4" s="3407"/>
      <c r="GBT4" s="3407"/>
      <c r="GBU4" s="3407"/>
      <c r="GBV4" s="3407"/>
      <c r="GBW4" s="3407"/>
      <c r="GBX4" s="3407"/>
      <c r="GBY4" s="3407"/>
      <c r="GBZ4" s="3407"/>
      <c r="GCA4" s="3407"/>
      <c r="GCB4" s="3407"/>
      <c r="GCC4" s="3407"/>
      <c r="GCD4" s="3407"/>
      <c r="GCE4" s="3407"/>
      <c r="GCF4" s="3407"/>
      <c r="GCG4" s="3407"/>
      <c r="GCH4" s="3407"/>
      <c r="GCI4" s="3407"/>
      <c r="GCJ4" s="3407"/>
      <c r="GCK4" s="3407"/>
      <c r="GCL4" s="3407"/>
      <c r="GCM4" s="3407"/>
      <c r="GCN4" s="3407"/>
      <c r="GCO4" s="3407"/>
      <c r="GCP4" s="3407"/>
      <c r="GCQ4" s="3407"/>
      <c r="GCR4" s="3407"/>
      <c r="GCS4" s="3407"/>
      <c r="GCT4" s="3407"/>
      <c r="GCU4" s="3407"/>
      <c r="GCV4" s="3407"/>
      <c r="GCW4" s="3407"/>
      <c r="GCX4" s="3407"/>
      <c r="GCY4" s="3407"/>
      <c r="GCZ4" s="3407"/>
      <c r="GDA4" s="3407"/>
      <c r="GDB4" s="3407"/>
      <c r="GDC4" s="3407"/>
      <c r="GDD4" s="3407"/>
      <c r="GDE4" s="3407"/>
      <c r="GDF4" s="3407"/>
      <c r="GDG4" s="3407"/>
      <c r="GDH4" s="3407"/>
      <c r="GDI4" s="3407"/>
      <c r="GDJ4" s="3407"/>
      <c r="GDK4" s="3407"/>
      <c r="GDL4" s="3407"/>
      <c r="GDM4" s="3407"/>
      <c r="GDN4" s="3407"/>
      <c r="GDO4" s="3407"/>
      <c r="GDP4" s="3407"/>
      <c r="GDQ4" s="3407"/>
      <c r="GDR4" s="3407"/>
      <c r="GDS4" s="3407"/>
      <c r="GDT4" s="3407"/>
      <c r="GDU4" s="3407"/>
      <c r="GDV4" s="3407"/>
      <c r="GDW4" s="3407"/>
      <c r="GDX4" s="3407"/>
      <c r="GDY4" s="3407"/>
      <c r="GDZ4" s="3407"/>
      <c r="GEA4" s="3407"/>
      <c r="GEB4" s="3407"/>
      <c r="GEC4" s="3407"/>
      <c r="GED4" s="3407"/>
      <c r="GEE4" s="3407"/>
      <c r="GEF4" s="3407"/>
      <c r="GEG4" s="3407"/>
      <c r="GEH4" s="3407"/>
      <c r="GEI4" s="3407"/>
      <c r="GEJ4" s="3407"/>
      <c r="GEK4" s="3407"/>
      <c r="GEL4" s="3407"/>
      <c r="GEM4" s="3407"/>
      <c r="GEN4" s="3407"/>
      <c r="GEO4" s="3407"/>
      <c r="GEP4" s="3407"/>
      <c r="GEQ4" s="3407"/>
      <c r="GER4" s="3407"/>
      <c r="GES4" s="3407"/>
      <c r="GET4" s="3407"/>
      <c r="GEU4" s="3407"/>
      <c r="GEV4" s="3407"/>
      <c r="GEW4" s="3407"/>
      <c r="GEX4" s="3407"/>
      <c r="GEY4" s="3407"/>
      <c r="GEZ4" s="3407"/>
      <c r="GFA4" s="3407"/>
      <c r="GFB4" s="3407"/>
      <c r="GFC4" s="3407"/>
      <c r="GFD4" s="3407"/>
      <c r="GFE4" s="3407"/>
      <c r="GFF4" s="3407"/>
      <c r="GFG4" s="3407"/>
      <c r="GFH4" s="3407"/>
      <c r="GFI4" s="3407"/>
      <c r="GFJ4" s="3407"/>
      <c r="GFK4" s="3407"/>
      <c r="GFL4" s="3407"/>
      <c r="GFM4" s="3407"/>
      <c r="GFN4" s="3407"/>
      <c r="GFO4" s="3407"/>
      <c r="GFP4" s="3407"/>
      <c r="GFQ4" s="3407"/>
      <c r="GFR4" s="3407"/>
      <c r="GFS4" s="3407"/>
      <c r="GFT4" s="3407"/>
      <c r="GFU4" s="3407"/>
      <c r="GFV4" s="3407"/>
      <c r="GFW4" s="3407"/>
      <c r="GFX4" s="3407"/>
      <c r="GFY4" s="3407"/>
      <c r="GFZ4" s="3407"/>
      <c r="GGA4" s="3407"/>
      <c r="GGB4" s="3407"/>
      <c r="GGC4" s="3407"/>
      <c r="GGD4" s="3407"/>
      <c r="GGE4" s="3407"/>
      <c r="GGF4" s="3407"/>
      <c r="GGG4" s="3407"/>
      <c r="GGH4" s="3407"/>
      <c r="GGI4" s="3407"/>
      <c r="GGJ4" s="3407"/>
      <c r="GGK4" s="3407"/>
      <c r="GGL4" s="3407"/>
      <c r="GGM4" s="3407"/>
      <c r="GGN4" s="3407"/>
      <c r="GGO4" s="3407"/>
      <c r="GGP4" s="3407"/>
      <c r="GGQ4" s="3407"/>
      <c r="GGR4" s="3407"/>
      <c r="GGS4" s="3407"/>
      <c r="GGT4" s="3407"/>
      <c r="GGU4" s="3407"/>
      <c r="GGV4" s="3407"/>
      <c r="GGW4" s="3407"/>
      <c r="GGX4" s="3407"/>
      <c r="GGY4" s="3407"/>
      <c r="GGZ4" s="3407"/>
      <c r="GHA4" s="3407"/>
      <c r="GHB4" s="3407"/>
      <c r="GHC4" s="3407"/>
      <c r="GHD4" s="3407"/>
      <c r="GHE4" s="3407"/>
      <c r="GHF4" s="3407"/>
      <c r="GHG4" s="3407"/>
      <c r="GHH4" s="3407"/>
      <c r="GHI4" s="3407"/>
      <c r="GHJ4" s="3407"/>
      <c r="GHK4" s="3407"/>
      <c r="GHL4" s="3407"/>
      <c r="GHM4" s="3407"/>
      <c r="GHN4" s="3407"/>
      <c r="GHO4" s="3407"/>
      <c r="GHP4" s="3407"/>
      <c r="GHQ4" s="3407"/>
      <c r="GHR4" s="3407"/>
      <c r="GHS4" s="3407"/>
      <c r="GHT4" s="3407"/>
      <c r="GHU4" s="3407"/>
      <c r="GHV4" s="3407"/>
      <c r="GHW4" s="3407"/>
      <c r="GHX4" s="3407"/>
      <c r="GHY4" s="3407"/>
      <c r="GHZ4" s="3407"/>
      <c r="GIA4" s="3407"/>
      <c r="GIB4" s="3407"/>
      <c r="GIC4" s="3407"/>
      <c r="GID4" s="3407"/>
      <c r="GIE4" s="3407"/>
      <c r="GIF4" s="3407"/>
      <c r="GIG4" s="3407"/>
      <c r="GIH4" s="3407"/>
      <c r="GII4" s="3407"/>
      <c r="GIJ4" s="3407"/>
      <c r="GIK4" s="3407"/>
      <c r="GIL4" s="3407"/>
      <c r="GIM4" s="3407"/>
      <c r="GIN4" s="3407"/>
      <c r="GIO4" s="3407"/>
      <c r="GIP4" s="3407"/>
      <c r="GIQ4" s="3407"/>
      <c r="GIR4" s="3407"/>
      <c r="GIS4" s="3407"/>
      <c r="GIT4" s="3407"/>
      <c r="GIU4" s="3407"/>
      <c r="GIV4" s="3407"/>
      <c r="GIW4" s="3407"/>
      <c r="GIX4" s="3407"/>
      <c r="GIY4" s="3407"/>
      <c r="GIZ4" s="3407"/>
      <c r="GJA4" s="3407"/>
      <c r="GJB4" s="3407"/>
      <c r="GJC4" s="3407"/>
      <c r="GJD4" s="3407"/>
      <c r="GJE4" s="3407"/>
      <c r="GJF4" s="3407"/>
      <c r="GJG4" s="3407"/>
      <c r="GJH4" s="3407"/>
      <c r="GJI4" s="3407"/>
      <c r="GJJ4" s="3407"/>
      <c r="GJK4" s="3407"/>
      <c r="GJL4" s="3407"/>
      <c r="GJM4" s="3407"/>
      <c r="GJN4" s="3407"/>
      <c r="GJO4" s="3407"/>
      <c r="GJP4" s="3407"/>
      <c r="GJQ4" s="3407"/>
      <c r="GJR4" s="3407"/>
      <c r="GJS4" s="3407"/>
      <c r="GJT4" s="3407"/>
      <c r="GJU4" s="3407"/>
      <c r="GJV4" s="3407"/>
      <c r="GJW4" s="3407"/>
      <c r="GJX4" s="3407"/>
      <c r="GJY4" s="3407"/>
      <c r="GJZ4" s="3407"/>
      <c r="GKA4" s="3407"/>
      <c r="GKB4" s="3407"/>
      <c r="GKC4" s="3407"/>
      <c r="GKD4" s="3407"/>
      <c r="GKE4" s="3407"/>
      <c r="GKF4" s="3407"/>
      <c r="GKG4" s="3407"/>
      <c r="GKH4" s="3407"/>
      <c r="GKI4" s="3407"/>
      <c r="GKJ4" s="3407"/>
      <c r="GKK4" s="3407"/>
      <c r="GKL4" s="3407"/>
      <c r="GKM4" s="3407"/>
      <c r="GKN4" s="3407"/>
      <c r="GKO4" s="3407"/>
      <c r="GKP4" s="3407"/>
      <c r="GKQ4" s="3407"/>
      <c r="GKR4" s="3407"/>
      <c r="GKS4" s="3407"/>
      <c r="GKT4" s="3407"/>
      <c r="GKU4" s="3407"/>
      <c r="GKV4" s="3407"/>
      <c r="GKW4" s="3407"/>
      <c r="GKX4" s="3407"/>
      <c r="GKY4" s="3407"/>
      <c r="GKZ4" s="3407"/>
      <c r="GLA4" s="3407"/>
      <c r="GLB4" s="3407"/>
      <c r="GLC4" s="3407"/>
      <c r="GLD4" s="3407"/>
      <c r="GLE4" s="3407"/>
      <c r="GLF4" s="3407"/>
      <c r="GLG4" s="3407"/>
      <c r="GLH4" s="3407"/>
      <c r="GLI4" s="3407"/>
      <c r="GLJ4" s="3407"/>
      <c r="GLK4" s="3407"/>
      <c r="GLL4" s="3407"/>
      <c r="GLM4" s="3407"/>
      <c r="GLN4" s="3407"/>
      <c r="GLO4" s="3407"/>
      <c r="GLP4" s="3407"/>
      <c r="GLQ4" s="3407"/>
      <c r="GLR4" s="3407"/>
      <c r="GLS4" s="3407"/>
      <c r="GLT4" s="3407"/>
      <c r="GLU4" s="3407"/>
      <c r="GLV4" s="3407"/>
      <c r="GLW4" s="3407"/>
      <c r="GLX4" s="3407"/>
      <c r="GLY4" s="3407"/>
      <c r="GLZ4" s="3407"/>
      <c r="GMA4" s="3407"/>
      <c r="GMB4" s="3407"/>
      <c r="GMC4" s="3407"/>
      <c r="GMD4" s="3407"/>
      <c r="GME4" s="3407"/>
      <c r="GMF4" s="3407"/>
      <c r="GMG4" s="3407"/>
      <c r="GMH4" s="3407"/>
      <c r="GMI4" s="3407"/>
      <c r="GMJ4" s="3407"/>
      <c r="GMK4" s="3407"/>
      <c r="GML4" s="3407"/>
      <c r="GMM4" s="3407"/>
      <c r="GMN4" s="3407"/>
      <c r="GMO4" s="3407"/>
      <c r="GMP4" s="3407"/>
      <c r="GMQ4" s="3407"/>
      <c r="GMR4" s="3407"/>
      <c r="GMS4" s="3407"/>
      <c r="GMT4" s="3407"/>
      <c r="GMU4" s="3407"/>
      <c r="GMV4" s="3407"/>
      <c r="GMW4" s="3407"/>
      <c r="GMX4" s="3407"/>
      <c r="GMY4" s="3407"/>
      <c r="GMZ4" s="3407"/>
      <c r="GNA4" s="3407"/>
      <c r="GNB4" s="3407"/>
      <c r="GNC4" s="3407"/>
      <c r="GND4" s="3407"/>
      <c r="GNE4" s="3407"/>
      <c r="GNF4" s="3407"/>
      <c r="GNG4" s="3407"/>
      <c r="GNH4" s="3407"/>
      <c r="GNI4" s="3407"/>
      <c r="GNJ4" s="3407"/>
      <c r="GNK4" s="3407"/>
      <c r="GNL4" s="3407"/>
      <c r="GNM4" s="3407"/>
      <c r="GNN4" s="3407"/>
      <c r="GNO4" s="3407"/>
      <c r="GNP4" s="3407"/>
      <c r="GNQ4" s="3407"/>
      <c r="GNR4" s="3407"/>
      <c r="GNS4" s="3407"/>
      <c r="GNT4" s="3407"/>
      <c r="GNU4" s="3407"/>
      <c r="GNV4" s="3407"/>
      <c r="GNW4" s="3407"/>
      <c r="GNX4" s="3407"/>
      <c r="GNY4" s="3407"/>
      <c r="GNZ4" s="3407"/>
      <c r="GOA4" s="3407"/>
      <c r="GOB4" s="3407"/>
      <c r="GOC4" s="3407"/>
      <c r="GOD4" s="3407"/>
      <c r="GOE4" s="3407"/>
      <c r="GOF4" s="3407"/>
      <c r="GOG4" s="3407"/>
      <c r="GOH4" s="3407"/>
      <c r="GOI4" s="3407"/>
      <c r="GOJ4" s="3407"/>
      <c r="GOK4" s="3407"/>
      <c r="GOL4" s="3407"/>
      <c r="GOM4" s="3407"/>
      <c r="GON4" s="3407"/>
      <c r="GOO4" s="3407"/>
      <c r="GOP4" s="3407"/>
      <c r="GOQ4" s="3407"/>
      <c r="GOR4" s="3407"/>
      <c r="GOS4" s="3407"/>
      <c r="GOT4" s="3407"/>
      <c r="GOU4" s="3407"/>
      <c r="GOV4" s="3407"/>
      <c r="GOW4" s="3407"/>
      <c r="GOX4" s="3407"/>
      <c r="GOY4" s="3407"/>
      <c r="GOZ4" s="3407"/>
      <c r="GPA4" s="3407"/>
      <c r="GPB4" s="3407"/>
      <c r="GPC4" s="3407"/>
      <c r="GPD4" s="3407"/>
      <c r="GPE4" s="3407"/>
      <c r="GPF4" s="3407"/>
      <c r="GPG4" s="3407"/>
      <c r="GPH4" s="3407"/>
      <c r="GPI4" s="3407"/>
      <c r="GPJ4" s="3407"/>
      <c r="GPK4" s="3407"/>
      <c r="GPL4" s="3407"/>
      <c r="GPM4" s="3407"/>
      <c r="GPN4" s="3407"/>
      <c r="GPO4" s="3407"/>
      <c r="GPP4" s="3407"/>
      <c r="GPQ4" s="3407"/>
      <c r="GPR4" s="3407"/>
      <c r="GPS4" s="3407"/>
      <c r="GPT4" s="3407"/>
      <c r="GPU4" s="3407"/>
      <c r="GPV4" s="3407"/>
      <c r="GPW4" s="3407"/>
      <c r="GPX4" s="3407"/>
      <c r="GPY4" s="3407"/>
      <c r="GPZ4" s="3407"/>
      <c r="GQA4" s="3407"/>
      <c r="GQB4" s="3407"/>
      <c r="GQC4" s="3407"/>
      <c r="GQD4" s="3407"/>
      <c r="GQE4" s="3407"/>
      <c r="GQF4" s="3407"/>
      <c r="GQG4" s="3407"/>
      <c r="GQH4" s="3407"/>
      <c r="GQI4" s="3407"/>
      <c r="GQJ4" s="3407"/>
      <c r="GQK4" s="3407"/>
      <c r="GQL4" s="3407"/>
      <c r="GQM4" s="3407"/>
      <c r="GQN4" s="3407"/>
      <c r="GQO4" s="3407"/>
      <c r="GQP4" s="3407"/>
      <c r="GQQ4" s="3407"/>
      <c r="GQR4" s="3407"/>
      <c r="GQS4" s="3407"/>
      <c r="GQT4" s="3407"/>
      <c r="GQU4" s="3407"/>
      <c r="GQV4" s="3407"/>
      <c r="GQW4" s="3407"/>
      <c r="GQX4" s="3407"/>
      <c r="GQY4" s="3407"/>
      <c r="GQZ4" s="3407"/>
      <c r="GRA4" s="3407"/>
      <c r="GRB4" s="3407"/>
      <c r="GRC4" s="3407"/>
      <c r="GRD4" s="3407"/>
      <c r="GRE4" s="3407"/>
      <c r="GRF4" s="3407"/>
      <c r="GRG4" s="3407"/>
      <c r="GRH4" s="3407"/>
      <c r="GRI4" s="3407"/>
      <c r="GRJ4" s="3407"/>
      <c r="GRK4" s="3407"/>
      <c r="GRL4" s="3407"/>
      <c r="GRM4" s="3407"/>
      <c r="GRN4" s="3407"/>
      <c r="GRO4" s="3407"/>
      <c r="GRP4" s="3407"/>
      <c r="GRQ4" s="3407"/>
      <c r="GRR4" s="3407"/>
      <c r="GRS4" s="3407"/>
      <c r="GRT4" s="3407"/>
      <c r="GRU4" s="3407"/>
      <c r="GRV4" s="3407"/>
      <c r="GRW4" s="3407"/>
      <c r="GRX4" s="3407"/>
      <c r="GRY4" s="3407"/>
      <c r="GRZ4" s="3407"/>
      <c r="GSA4" s="3407"/>
      <c r="GSB4" s="3407"/>
      <c r="GSC4" s="3407"/>
      <c r="GSD4" s="3407"/>
      <c r="GSE4" s="3407"/>
      <c r="GSF4" s="3407"/>
      <c r="GSG4" s="3407"/>
      <c r="GSH4" s="3407"/>
      <c r="GSI4" s="3407"/>
      <c r="GSJ4" s="3407"/>
      <c r="GSK4" s="3407"/>
      <c r="GSL4" s="3407"/>
      <c r="GSM4" s="3407"/>
      <c r="GSN4" s="3407"/>
      <c r="GSO4" s="3407"/>
      <c r="GSP4" s="3407"/>
      <c r="GSQ4" s="3407"/>
      <c r="GSR4" s="3407"/>
      <c r="GSS4" s="3407"/>
      <c r="GST4" s="3407"/>
      <c r="GSU4" s="3407"/>
      <c r="GSV4" s="3407"/>
      <c r="GSW4" s="3407"/>
      <c r="GSX4" s="3407"/>
      <c r="GSY4" s="3407"/>
      <c r="GSZ4" s="3407"/>
      <c r="GTA4" s="3407"/>
      <c r="GTB4" s="3407"/>
      <c r="GTC4" s="3407"/>
      <c r="GTD4" s="3407"/>
      <c r="GTE4" s="3407"/>
      <c r="GTF4" s="3407"/>
      <c r="GTG4" s="3407"/>
      <c r="GTH4" s="3407"/>
      <c r="GTI4" s="3407"/>
      <c r="GTJ4" s="3407"/>
      <c r="GTK4" s="3407"/>
      <c r="GTL4" s="3407"/>
      <c r="GTM4" s="3407"/>
      <c r="GTN4" s="3407"/>
      <c r="GTO4" s="3407"/>
      <c r="GTP4" s="3407"/>
      <c r="GTQ4" s="3407"/>
      <c r="GTR4" s="3407"/>
      <c r="GTS4" s="3407"/>
      <c r="GTT4" s="3407"/>
      <c r="GTU4" s="3407"/>
      <c r="GTV4" s="3407"/>
      <c r="GTW4" s="3407"/>
      <c r="GTX4" s="3407"/>
      <c r="GTY4" s="3407"/>
      <c r="GTZ4" s="3407"/>
      <c r="GUA4" s="3407"/>
      <c r="GUB4" s="3407"/>
      <c r="GUC4" s="3407"/>
      <c r="GUD4" s="3407"/>
      <c r="GUE4" s="3407"/>
      <c r="GUF4" s="3407"/>
      <c r="GUG4" s="3407"/>
      <c r="GUH4" s="3407"/>
      <c r="GUI4" s="3407"/>
      <c r="GUJ4" s="3407"/>
      <c r="GUK4" s="3407"/>
      <c r="GUL4" s="3407"/>
      <c r="GUM4" s="3407"/>
      <c r="GUN4" s="3407"/>
      <c r="GUO4" s="3407"/>
      <c r="GUP4" s="3407"/>
      <c r="GUQ4" s="3407"/>
      <c r="GUR4" s="3407"/>
      <c r="GUS4" s="3407"/>
      <c r="GUT4" s="3407"/>
      <c r="GUU4" s="3407"/>
      <c r="GUV4" s="3407"/>
      <c r="GUW4" s="3407"/>
      <c r="GUX4" s="3407"/>
      <c r="GUY4" s="3407"/>
      <c r="GUZ4" s="3407"/>
      <c r="GVA4" s="3407"/>
      <c r="GVB4" s="3407"/>
      <c r="GVC4" s="3407"/>
      <c r="GVD4" s="3407"/>
      <c r="GVE4" s="3407"/>
      <c r="GVF4" s="3407"/>
      <c r="GVG4" s="3407"/>
      <c r="GVH4" s="3407"/>
      <c r="GVI4" s="3407"/>
      <c r="GVJ4" s="3407"/>
      <c r="GVK4" s="3407"/>
      <c r="GVL4" s="3407"/>
      <c r="GVM4" s="3407"/>
      <c r="GVN4" s="3407"/>
      <c r="GVO4" s="3407"/>
      <c r="GVP4" s="3407"/>
      <c r="GVQ4" s="3407"/>
      <c r="GVR4" s="3407"/>
      <c r="GVS4" s="3407"/>
      <c r="GVT4" s="3407"/>
      <c r="GVU4" s="3407"/>
      <c r="GVV4" s="3407"/>
      <c r="GVW4" s="3407"/>
      <c r="GVX4" s="3407"/>
      <c r="GVY4" s="3407"/>
      <c r="GVZ4" s="3407"/>
      <c r="GWA4" s="3407"/>
      <c r="GWB4" s="3407"/>
      <c r="GWC4" s="3407"/>
      <c r="GWD4" s="3407"/>
      <c r="GWE4" s="3407"/>
      <c r="GWF4" s="3407"/>
      <c r="GWG4" s="3407"/>
      <c r="GWH4" s="3407"/>
      <c r="GWI4" s="3407"/>
      <c r="GWJ4" s="3407"/>
      <c r="GWK4" s="3407"/>
      <c r="GWL4" s="3407"/>
      <c r="GWM4" s="3407"/>
      <c r="GWN4" s="3407"/>
      <c r="GWO4" s="3407"/>
      <c r="GWP4" s="3407"/>
      <c r="GWQ4" s="3407"/>
      <c r="GWR4" s="3407"/>
      <c r="GWS4" s="3407"/>
      <c r="GWT4" s="3407"/>
      <c r="GWU4" s="3407"/>
      <c r="GWV4" s="3407"/>
      <c r="GWW4" s="3407"/>
      <c r="GWX4" s="3407"/>
      <c r="GWY4" s="3407"/>
      <c r="GWZ4" s="3407"/>
      <c r="GXA4" s="3407"/>
      <c r="GXB4" s="3407"/>
      <c r="GXC4" s="3407"/>
      <c r="GXD4" s="3407"/>
      <c r="GXE4" s="3407"/>
      <c r="GXF4" s="3407"/>
      <c r="GXG4" s="3407"/>
      <c r="GXH4" s="3407"/>
      <c r="GXI4" s="3407"/>
      <c r="GXJ4" s="3407"/>
      <c r="GXK4" s="3407"/>
      <c r="GXL4" s="3407"/>
      <c r="GXM4" s="3407"/>
      <c r="GXN4" s="3407"/>
      <c r="GXO4" s="3407"/>
      <c r="GXP4" s="3407"/>
      <c r="GXQ4" s="3407"/>
      <c r="GXR4" s="3407"/>
      <c r="GXS4" s="3407"/>
      <c r="GXT4" s="3407"/>
      <c r="GXU4" s="3407"/>
      <c r="GXV4" s="3407"/>
      <c r="GXW4" s="3407"/>
      <c r="GXX4" s="3407"/>
      <c r="GXY4" s="3407"/>
      <c r="GXZ4" s="3407"/>
      <c r="GYA4" s="3407"/>
      <c r="GYB4" s="3407"/>
      <c r="GYC4" s="3407"/>
      <c r="GYD4" s="3407"/>
      <c r="GYE4" s="3407"/>
      <c r="GYF4" s="3407"/>
      <c r="GYG4" s="3407"/>
      <c r="GYH4" s="3407"/>
      <c r="GYI4" s="3407"/>
      <c r="GYJ4" s="3407"/>
      <c r="GYK4" s="3407"/>
      <c r="GYL4" s="3407"/>
      <c r="GYM4" s="3407"/>
      <c r="GYN4" s="3407"/>
      <c r="GYO4" s="3407"/>
      <c r="GYP4" s="3407"/>
      <c r="GYQ4" s="3407"/>
      <c r="GYR4" s="3407"/>
      <c r="GYS4" s="3407"/>
      <c r="GYT4" s="3407"/>
      <c r="GYU4" s="3407"/>
      <c r="GYV4" s="3407"/>
      <c r="GYW4" s="3407"/>
      <c r="GYX4" s="3407"/>
      <c r="GYY4" s="3407"/>
      <c r="GYZ4" s="3407"/>
      <c r="GZA4" s="3407"/>
      <c r="GZB4" s="3407"/>
      <c r="GZC4" s="3407"/>
      <c r="GZD4" s="3407"/>
      <c r="GZE4" s="3407"/>
      <c r="GZF4" s="3407"/>
      <c r="GZG4" s="3407"/>
      <c r="GZH4" s="3407"/>
      <c r="GZI4" s="3407"/>
      <c r="GZJ4" s="3407"/>
      <c r="GZK4" s="3407"/>
      <c r="GZL4" s="3407"/>
      <c r="GZM4" s="3407"/>
      <c r="GZN4" s="3407"/>
      <c r="GZO4" s="3407"/>
      <c r="GZP4" s="3407"/>
      <c r="GZQ4" s="3407"/>
      <c r="GZR4" s="3407"/>
      <c r="GZS4" s="3407"/>
      <c r="GZT4" s="3407"/>
      <c r="GZU4" s="3407"/>
      <c r="GZV4" s="3407"/>
      <c r="GZW4" s="3407"/>
      <c r="GZX4" s="3407"/>
      <c r="GZY4" s="3407"/>
      <c r="GZZ4" s="3407"/>
      <c r="HAA4" s="3407"/>
      <c r="HAB4" s="3407"/>
      <c r="HAC4" s="3407"/>
      <c r="HAD4" s="3407"/>
      <c r="HAE4" s="3407"/>
      <c r="HAF4" s="3407"/>
      <c r="HAG4" s="3407"/>
      <c r="HAH4" s="3407"/>
      <c r="HAI4" s="3407"/>
      <c r="HAJ4" s="3407"/>
      <c r="HAK4" s="3407"/>
      <c r="HAL4" s="3407"/>
      <c r="HAM4" s="3407"/>
      <c r="HAN4" s="3407"/>
      <c r="HAO4" s="3407"/>
      <c r="HAP4" s="3407"/>
      <c r="HAQ4" s="3407"/>
      <c r="HAR4" s="3407"/>
      <c r="HAS4" s="3407"/>
      <c r="HAT4" s="3407"/>
      <c r="HAU4" s="3407"/>
      <c r="HAV4" s="3407"/>
      <c r="HAW4" s="3407"/>
      <c r="HAX4" s="3407"/>
      <c r="HAY4" s="3407"/>
      <c r="HAZ4" s="3407"/>
      <c r="HBA4" s="3407"/>
      <c r="HBB4" s="3407"/>
      <c r="HBC4" s="3407"/>
      <c r="HBD4" s="3407"/>
      <c r="HBE4" s="3407"/>
      <c r="HBF4" s="3407"/>
      <c r="HBG4" s="3407"/>
      <c r="HBH4" s="3407"/>
      <c r="HBI4" s="3407"/>
      <c r="HBJ4" s="3407"/>
      <c r="HBK4" s="3407"/>
      <c r="HBL4" s="3407"/>
      <c r="HBM4" s="3407"/>
      <c r="HBN4" s="3407"/>
      <c r="HBO4" s="3407"/>
      <c r="HBP4" s="3407"/>
      <c r="HBQ4" s="3407"/>
      <c r="HBR4" s="3407"/>
      <c r="HBS4" s="3407"/>
      <c r="HBT4" s="3407"/>
      <c r="HBU4" s="3407"/>
      <c r="HBV4" s="3407"/>
      <c r="HBW4" s="3407"/>
      <c r="HBX4" s="3407"/>
      <c r="HBY4" s="3407"/>
      <c r="HBZ4" s="3407"/>
      <c r="HCA4" s="3407"/>
      <c r="HCB4" s="3407"/>
      <c r="HCC4" s="3407"/>
      <c r="HCD4" s="3407"/>
      <c r="HCE4" s="3407"/>
      <c r="HCF4" s="3407"/>
      <c r="HCG4" s="3407"/>
      <c r="HCH4" s="3407"/>
      <c r="HCI4" s="3407"/>
      <c r="HCJ4" s="3407"/>
      <c r="HCK4" s="3407"/>
      <c r="HCL4" s="3407"/>
      <c r="HCM4" s="3407"/>
      <c r="HCN4" s="3407"/>
      <c r="HCO4" s="3407"/>
      <c r="HCP4" s="3407"/>
      <c r="HCQ4" s="3407"/>
      <c r="HCR4" s="3407"/>
      <c r="HCS4" s="3407"/>
      <c r="HCT4" s="3407"/>
      <c r="HCU4" s="3407"/>
      <c r="HCV4" s="3407"/>
      <c r="HCW4" s="3407"/>
      <c r="HCX4" s="3407"/>
      <c r="HCY4" s="3407"/>
      <c r="HCZ4" s="3407"/>
      <c r="HDA4" s="3407"/>
      <c r="HDB4" s="3407"/>
      <c r="HDC4" s="3407"/>
      <c r="HDD4" s="3407"/>
      <c r="HDE4" s="3407"/>
      <c r="HDF4" s="3407"/>
      <c r="HDG4" s="3407"/>
      <c r="HDH4" s="3407"/>
      <c r="HDI4" s="3407"/>
      <c r="HDJ4" s="3407"/>
      <c r="HDK4" s="3407"/>
      <c r="HDL4" s="3407"/>
      <c r="HDM4" s="3407"/>
      <c r="HDN4" s="3407"/>
      <c r="HDO4" s="3407"/>
      <c r="HDP4" s="3407"/>
      <c r="HDQ4" s="3407"/>
      <c r="HDR4" s="3407"/>
      <c r="HDS4" s="3407"/>
      <c r="HDT4" s="3407"/>
      <c r="HDU4" s="3407"/>
      <c r="HDV4" s="3407"/>
      <c r="HDW4" s="3407"/>
      <c r="HDX4" s="3407"/>
      <c r="HDY4" s="3407"/>
      <c r="HDZ4" s="3407"/>
      <c r="HEA4" s="3407"/>
      <c r="HEB4" s="3407"/>
      <c r="HEC4" s="3407"/>
      <c r="HED4" s="3407"/>
      <c r="HEE4" s="3407"/>
      <c r="HEF4" s="3407"/>
      <c r="HEG4" s="3407"/>
      <c r="HEH4" s="3407"/>
      <c r="HEI4" s="3407"/>
      <c r="HEJ4" s="3407"/>
      <c r="HEK4" s="3407"/>
      <c r="HEL4" s="3407"/>
      <c r="HEM4" s="3407"/>
      <c r="HEN4" s="3407"/>
      <c r="HEO4" s="3407"/>
      <c r="HEP4" s="3407"/>
      <c r="HEQ4" s="3407"/>
      <c r="HER4" s="3407"/>
      <c r="HES4" s="3407"/>
      <c r="HET4" s="3407"/>
      <c r="HEU4" s="3407"/>
      <c r="HEV4" s="3407"/>
      <c r="HEW4" s="3407"/>
      <c r="HEX4" s="3407"/>
      <c r="HEY4" s="3407"/>
      <c r="HEZ4" s="3407"/>
      <c r="HFA4" s="3407"/>
      <c r="HFB4" s="3407"/>
      <c r="HFC4" s="3407"/>
      <c r="HFD4" s="3407"/>
      <c r="HFE4" s="3407"/>
      <c r="HFF4" s="3407"/>
      <c r="HFG4" s="3407"/>
      <c r="HFH4" s="3407"/>
      <c r="HFI4" s="3407"/>
      <c r="HFJ4" s="3407"/>
      <c r="HFK4" s="3407"/>
      <c r="HFL4" s="3407"/>
      <c r="HFM4" s="3407"/>
      <c r="HFN4" s="3407"/>
      <c r="HFO4" s="3407"/>
      <c r="HFP4" s="3407"/>
      <c r="HFQ4" s="3407"/>
      <c r="HFR4" s="3407"/>
      <c r="HFS4" s="3407"/>
      <c r="HFT4" s="3407"/>
      <c r="HFU4" s="3407"/>
      <c r="HFV4" s="3407"/>
      <c r="HFW4" s="3407"/>
      <c r="HFX4" s="3407"/>
      <c r="HFY4" s="3407"/>
      <c r="HFZ4" s="3407"/>
      <c r="HGA4" s="3407"/>
      <c r="HGB4" s="3407"/>
      <c r="HGC4" s="3407"/>
      <c r="HGD4" s="3407"/>
      <c r="HGE4" s="3407"/>
      <c r="HGF4" s="3407"/>
      <c r="HGG4" s="3407"/>
      <c r="HGH4" s="3407"/>
      <c r="HGI4" s="3407"/>
      <c r="HGJ4" s="3407"/>
      <c r="HGK4" s="3407"/>
      <c r="HGL4" s="3407"/>
      <c r="HGM4" s="3407"/>
      <c r="HGN4" s="3407"/>
      <c r="HGO4" s="3407"/>
      <c r="HGP4" s="3407"/>
      <c r="HGQ4" s="3407"/>
      <c r="HGR4" s="3407"/>
      <c r="HGS4" s="3407"/>
      <c r="HGT4" s="3407"/>
      <c r="HGU4" s="3407"/>
      <c r="HGV4" s="3407"/>
      <c r="HGW4" s="3407"/>
      <c r="HGX4" s="3407"/>
      <c r="HGY4" s="3407"/>
      <c r="HGZ4" s="3407"/>
      <c r="HHA4" s="3407"/>
      <c r="HHB4" s="3407"/>
      <c r="HHC4" s="3407"/>
      <c r="HHD4" s="3407"/>
      <c r="HHE4" s="3407"/>
      <c r="HHF4" s="3407"/>
      <c r="HHG4" s="3407"/>
      <c r="HHH4" s="3407"/>
      <c r="HHI4" s="3407"/>
      <c r="HHJ4" s="3407"/>
      <c r="HHK4" s="3407"/>
      <c r="HHL4" s="3407"/>
      <c r="HHM4" s="3407"/>
      <c r="HHN4" s="3407"/>
      <c r="HHO4" s="3407"/>
      <c r="HHP4" s="3407"/>
      <c r="HHQ4" s="3407"/>
      <c r="HHR4" s="3407"/>
      <c r="HHS4" s="3407"/>
      <c r="HHT4" s="3407"/>
      <c r="HHU4" s="3407"/>
      <c r="HHV4" s="3407"/>
      <c r="HHW4" s="3407"/>
      <c r="HHX4" s="3407"/>
      <c r="HHY4" s="3407"/>
      <c r="HHZ4" s="3407"/>
      <c r="HIA4" s="3407"/>
      <c r="HIB4" s="3407"/>
      <c r="HIC4" s="3407"/>
      <c r="HID4" s="3407"/>
      <c r="HIE4" s="3407"/>
      <c r="HIF4" s="3407"/>
      <c r="HIG4" s="3407"/>
      <c r="HIH4" s="3407"/>
      <c r="HII4" s="3407"/>
      <c r="HIJ4" s="3407"/>
      <c r="HIK4" s="3407"/>
      <c r="HIL4" s="3407"/>
      <c r="HIM4" s="3407"/>
      <c r="HIN4" s="3407"/>
      <c r="HIO4" s="3407"/>
      <c r="HIP4" s="3407"/>
      <c r="HIQ4" s="3407"/>
      <c r="HIR4" s="3407"/>
      <c r="HIS4" s="3407"/>
      <c r="HIT4" s="3407"/>
      <c r="HIU4" s="3407"/>
      <c r="HIV4" s="3407"/>
      <c r="HIW4" s="3407"/>
      <c r="HIX4" s="3407"/>
      <c r="HIY4" s="3407"/>
      <c r="HIZ4" s="3407"/>
      <c r="HJA4" s="3407"/>
      <c r="HJB4" s="3407"/>
      <c r="HJC4" s="3407"/>
      <c r="HJD4" s="3407"/>
      <c r="HJE4" s="3407"/>
      <c r="HJF4" s="3407"/>
      <c r="HJG4" s="3407"/>
      <c r="HJH4" s="3407"/>
      <c r="HJI4" s="3407"/>
      <c r="HJJ4" s="3407"/>
      <c r="HJK4" s="3407"/>
      <c r="HJL4" s="3407"/>
      <c r="HJM4" s="3407"/>
      <c r="HJN4" s="3407"/>
      <c r="HJO4" s="3407"/>
      <c r="HJP4" s="3407"/>
      <c r="HJQ4" s="3407"/>
      <c r="HJR4" s="3407"/>
      <c r="HJS4" s="3407"/>
      <c r="HJT4" s="3407"/>
      <c r="HJU4" s="3407"/>
      <c r="HJV4" s="3407"/>
      <c r="HJW4" s="3407"/>
      <c r="HJX4" s="3407"/>
      <c r="HJY4" s="3407"/>
      <c r="HJZ4" s="3407"/>
      <c r="HKA4" s="3407"/>
      <c r="HKB4" s="3407"/>
      <c r="HKC4" s="3407"/>
      <c r="HKD4" s="3407"/>
      <c r="HKE4" s="3407"/>
      <c r="HKF4" s="3407"/>
      <c r="HKG4" s="3407"/>
      <c r="HKH4" s="3407"/>
      <c r="HKI4" s="3407"/>
      <c r="HKJ4" s="3407"/>
      <c r="HKK4" s="3407"/>
      <c r="HKL4" s="3407"/>
      <c r="HKM4" s="3407"/>
      <c r="HKN4" s="3407"/>
      <c r="HKO4" s="3407"/>
      <c r="HKP4" s="3407"/>
      <c r="HKQ4" s="3407"/>
      <c r="HKR4" s="3407"/>
      <c r="HKS4" s="3407"/>
      <c r="HKT4" s="3407"/>
      <c r="HKU4" s="3407"/>
      <c r="HKV4" s="3407"/>
      <c r="HKW4" s="3407"/>
      <c r="HKX4" s="3407"/>
      <c r="HKY4" s="3407"/>
      <c r="HKZ4" s="3407"/>
      <c r="HLA4" s="3407"/>
      <c r="HLB4" s="3407"/>
      <c r="HLC4" s="3407"/>
      <c r="HLD4" s="3407"/>
      <c r="HLE4" s="3407"/>
      <c r="HLF4" s="3407"/>
      <c r="HLG4" s="3407"/>
      <c r="HLH4" s="3407"/>
      <c r="HLI4" s="3407"/>
      <c r="HLJ4" s="3407"/>
      <c r="HLK4" s="3407"/>
      <c r="HLL4" s="3407"/>
      <c r="HLM4" s="3407"/>
      <c r="HLN4" s="3407"/>
      <c r="HLO4" s="3407"/>
      <c r="HLP4" s="3407"/>
      <c r="HLQ4" s="3407"/>
      <c r="HLR4" s="3407"/>
      <c r="HLS4" s="3407"/>
      <c r="HLT4" s="3407"/>
      <c r="HLU4" s="3407"/>
      <c r="HLV4" s="3407"/>
      <c r="HLW4" s="3407"/>
      <c r="HLX4" s="3407"/>
      <c r="HLY4" s="3407"/>
      <c r="HLZ4" s="3407"/>
      <c r="HMA4" s="3407"/>
      <c r="HMB4" s="3407"/>
      <c r="HMC4" s="3407"/>
      <c r="HMD4" s="3407"/>
      <c r="HME4" s="3407"/>
      <c r="HMF4" s="3407"/>
      <c r="HMG4" s="3407"/>
      <c r="HMH4" s="3407"/>
      <c r="HMI4" s="3407"/>
      <c r="HMJ4" s="3407"/>
      <c r="HMK4" s="3407"/>
      <c r="HML4" s="3407"/>
      <c r="HMM4" s="3407"/>
      <c r="HMN4" s="3407"/>
      <c r="HMO4" s="3407"/>
      <c r="HMP4" s="3407"/>
      <c r="HMQ4" s="3407"/>
      <c r="HMR4" s="3407"/>
      <c r="HMS4" s="3407"/>
      <c r="HMT4" s="3407"/>
      <c r="HMU4" s="3407"/>
      <c r="HMV4" s="3407"/>
      <c r="HMW4" s="3407"/>
      <c r="HMX4" s="3407"/>
      <c r="HMY4" s="3407"/>
      <c r="HMZ4" s="3407"/>
      <c r="HNA4" s="3407"/>
      <c r="HNB4" s="3407"/>
      <c r="HNC4" s="3407"/>
      <c r="HND4" s="3407"/>
      <c r="HNE4" s="3407"/>
      <c r="HNF4" s="3407"/>
      <c r="HNG4" s="3407"/>
      <c r="HNH4" s="3407"/>
      <c r="HNI4" s="3407"/>
      <c r="HNJ4" s="3407"/>
      <c r="HNK4" s="3407"/>
      <c r="HNL4" s="3407"/>
      <c r="HNM4" s="3407"/>
      <c r="HNN4" s="3407"/>
      <c r="HNO4" s="3407"/>
      <c r="HNP4" s="3407"/>
      <c r="HNQ4" s="3407"/>
      <c r="HNR4" s="3407"/>
      <c r="HNS4" s="3407"/>
      <c r="HNT4" s="3407"/>
      <c r="HNU4" s="3407"/>
      <c r="HNV4" s="3407"/>
      <c r="HNW4" s="3407"/>
      <c r="HNX4" s="3407"/>
      <c r="HNY4" s="3407"/>
      <c r="HNZ4" s="3407"/>
      <c r="HOA4" s="3407"/>
      <c r="HOB4" s="3407"/>
      <c r="HOC4" s="3407"/>
      <c r="HOD4" s="3407"/>
      <c r="HOE4" s="3407"/>
      <c r="HOF4" s="3407"/>
      <c r="HOG4" s="3407"/>
      <c r="HOH4" s="3407"/>
      <c r="HOI4" s="3407"/>
      <c r="HOJ4" s="3407"/>
      <c r="HOK4" s="3407"/>
      <c r="HOL4" s="3407"/>
      <c r="HOM4" s="3407"/>
      <c r="HON4" s="3407"/>
      <c r="HOO4" s="3407"/>
      <c r="HOP4" s="3407"/>
      <c r="HOQ4" s="3407"/>
      <c r="HOR4" s="3407"/>
      <c r="HOS4" s="3407"/>
      <c r="HOT4" s="3407"/>
      <c r="HOU4" s="3407"/>
      <c r="HOV4" s="3407"/>
      <c r="HOW4" s="3407"/>
      <c r="HOX4" s="3407"/>
      <c r="HOY4" s="3407"/>
      <c r="HOZ4" s="3407"/>
      <c r="HPA4" s="3407"/>
      <c r="HPB4" s="3407"/>
      <c r="HPC4" s="3407"/>
      <c r="HPD4" s="3407"/>
      <c r="HPE4" s="3407"/>
      <c r="HPF4" s="3407"/>
      <c r="HPG4" s="3407"/>
      <c r="HPH4" s="3407"/>
      <c r="HPI4" s="3407"/>
      <c r="HPJ4" s="3407"/>
      <c r="HPK4" s="3407"/>
      <c r="HPL4" s="3407"/>
      <c r="HPM4" s="3407"/>
      <c r="HPN4" s="3407"/>
      <c r="HPO4" s="3407"/>
      <c r="HPP4" s="3407"/>
      <c r="HPQ4" s="3407"/>
      <c r="HPR4" s="3407"/>
      <c r="HPS4" s="3407"/>
      <c r="HPT4" s="3407"/>
      <c r="HPU4" s="3407"/>
      <c r="HPV4" s="3407"/>
      <c r="HPW4" s="3407"/>
      <c r="HPX4" s="3407"/>
      <c r="HPY4" s="3407"/>
      <c r="HPZ4" s="3407"/>
      <c r="HQA4" s="3407"/>
      <c r="HQB4" s="3407"/>
      <c r="HQC4" s="3407"/>
      <c r="HQD4" s="3407"/>
      <c r="HQE4" s="3407"/>
      <c r="HQF4" s="3407"/>
      <c r="HQG4" s="3407"/>
      <c r="HQH4" s="3407"/>
      <c r="HQI4" s="3407"/>
      <c r="HQJ4" s="3407"/>
      <c r="HQK4" s="3407"/>
      <c r="HQL4" s="3407"/>
      <c r="HQM4" s="3407"/>
      <c r="HQN4" s="3407"/>
      <c r="HQO4" s="3407"/>
      <c r="HQP4" s="3407"/>
      <c r="HQQ4" s="3407"/>
      <c r="HQR4" s="3407"/>
      <c r="HQS4" s="3407"/>
      <c r="HQT4" s="3407"/>
      <c r="HQU4" s="3407"/>
      <c r="HQV4" s="3407"/>
      <c r="HQW4" s="3407"/>
      <c r="HQX4" s="3407"/>
      <c r="HQY4" s="3407"/>
      <c r="HQZ4" s="3407"/>
      <c r="HRA4" s="3407"/>
      <c r="HRB4" s="3407"/>
      <c r="HRC4" s="3407"/>
      <c r="HRD4" s="3407"/>
      <c r="HRE4" s="3407"/>
      <c r="HRF4" s="3407"/>
      <c r="HRG4" s="3407"/>
      <c r="HRH4" s="3407"/>
      <c r="HRI4" s="3407"/>
      <c r="HRJ4" s="3407"/>
      <c r="HRK4" s="3407"/>
      <c r="HRL4" s="3407"/>
      <c r="HRM4" s="3407"/>
      <c r="HRN4" s="3407"/>
      <c r="HRO4" s="3407"/>
      <c r="HRP4" s="3407"/>
      <c r="HRQ4" s="3407"/>
      <c r="HRR4" s="3407"/>
      <c r="HRS4" s="3407"/>
      <c r="HRT4" s="3407"/>
      <c r="HRU4" s="3407"/>
      <c r="HRV4" s="3407"/>
      <c r="HRW4" s="3407"/>
      <c r="HRX4" s="3407"/>
      <c r="HRY4" s="3407"/>
      <c r="HRZ4" s="3407"/>
      <c r="HSA4" s="3407"/>
      <c r="HSB4" s="3407"/>
      <c r="HSC4" s="3407"/>
      <c r="HSD4" s="3407"/>
      <c r="HSE4" s="3407"/>
      <c r="HSF4" s="3407"/>
      <c r="HSG4" s="3407"/>
      <c r="HSH4" s="3407"/>
      <c r="HSI4" s="3407"/>
      <c r="HSJ4" s="3407"/>
      <c r="HSK4" s="3407"/>
      <c r="HSL4" s="3407"/>
      <c r="HSM4" s="3407"/>
      <c r="HSN4" s="3407"/>
      <c r="HSO4" s="3407"/>
      <c r="HSP4" s="3407"/>
      <c r="HSQ4" s="3407"/>
      <c r="HSR4" s="3407"/>
      <c r="HSS4" s="3407"/>
      <c r="HST4" s="3407"/>
      <c r="HSU4" s="3407"/>
      <c r="HSV4" s="3407"/>
      <c r="HSW4" s="3407"/>
      <c r="HSX4" s="3407"/>
      <c r="HSY4" s="3407"/>
      <c r="HSZ4" s="3407"/>
      <c r="HTA4" s="3407"/>
      <c r="HTB4" s="3407"/>
      <c r="HTC4" s="3407"/>
      <c r="HTD4" s="3407"/>
      <c r="HTE4" s="3407"/>
      <c r="HTF4" s="3407"/>
      <c r="HTG4" s="3407"/>
      <c r="HTH4" s="3407"/>
      <c r="HTI4" s="3407"/>
      <c r="HTJ4" s="3407"/>
      <c r="HTK4" s="3407"/>
      <c r="HTL4" s="3407"/>
      <c r="HTM4" s="3407"/>
      <c r="HTN4" s="3407"/>
      <c r="HTO4" s="3407"/>
      <c r="HTP4" s="3407"/>
      <c r="HTQ4" s="3407"/>
      <c r="HTR4" s="3407"/>
      <c r="HTS4" s="3407"/>
      <c r="HTT4" s="3407"/>
      <c r="HTU4" s="3407"/>
      <c r="HTV4" s="3407"/>
      <c r="HTW4" s="3407"/>
      <c r="HTX4" s="3407"/>
      <c r="HTY4" s="3407"/>
      <c r="HTZ4" s="3407"/>
      <c r="HUA4" s="3407"/>
      <c r="HUB4" s="3407"/>
      <c r="HUC4" s="3407"/>
      <c r="HUD4" s="3407"/>
      <c r="HUE4" s="3407"/>
      <c r="HUF4" s="3407"/>
      <c r="HUG4" s="3407"/>
      <c r="HUH4" s="3407"/>
      <c r="HUI4" s="3407"/>
      <c r="HUJ4" s="3407"/>
      <c r="HUK4" s="3407"/>
      <c r="HUL4" s="3407"/>
      <c r="HUM4" s="3407"/>
      <c r="HUN4" s="3407"/>
      <c r="HUO4" s="3407"/>
      <c r="HUP4" s="3407"/>
      <c r="HUQ4" s="3407"/>
      <c r="HUR4" s="3407"/>
      <c r="HUS4" s="3407"/>
      <c r="HUT4" s="3407"/>
      <c r="HUU4" s="3407"/>
      <c r="HUV4" s="3407"/>
      <c r="HUW4" s="3407"/>
      <c r="HUX4" s="3407"/>
      <c r="HUY4" s="3407"/>
      <c r="HUZ4" s="3407"/>
      <c r="HVA4" s="3407"/>
      <c r="HVB4" s="3407"/>
      <c r="HVC4" s="3407"/>
      <c r="HVD4" s="3407"/>
      <c r="HVE4" s="3407"/>
      <c r="HVF4" s="3407"/>
      <c r="HVG4" s="3407"/>
      <c r="HVH4" s="3407"/>
      <c r="HVI4" s="3407"/>
      <c r="HVJ4" s="3407"/>
      <c r="HVK4" s="3407"/>
      <c r="HVL4" s="3407"/>
      <c r="HVM4" s="3407"/>
      <c r="HVN4" s="3407"/>
      <c r="HVO4" s="3407"/>
      <c r="HVP4" s="3407"/>
      <c r="HVQ4" s="3407"/>
      <c r="HVR4" s="3407"/>
      <c r="HVS4" s="3407"/>
      <c r="HVT4" s="3407"/>
      <c r="HVU4" s="3407"/>
      <c r="HVV4" s="3407"/>
      <c r="HVW4" s="3407"/>
      <c r="HVX4" s="3407"/>
      <c r="HVY4" s="3407"/>
      <c r="HVZ4" s="3407"/>
      <c r="HWA4" s="3407"/>
      <c r="HWB4" s="3407"/>
      <c r="HWC4" s="3407"/>
      <c r="HWD4" s="3407"/>
      <c r="HWE4" s="3407"/>
      <c r="HWF4" s="3407"/>
      <c r="HWG4" s="3407"/>
      <c r="HWH4" s="3407"/>
      <c r="HWI4" s="3407"/>
      <c r="HWJ4" s="3407"/>
      <c r="HWK4" s="3407"/>
      <c r="HWL4" s="3407"/>
      <c r="HWM4" s="3407"/>
      <c r="HWN4" s="3407"/>
      <c r="HWO4" s="3407"/>
      <c r="HWP4" s="3407"/>
      <c r="HWQ4" s="3407"/>
      <c r="HWR4" s="3407"/>
      <c r="HWS4" s="3407"/>
      <c r="HWT4" s="3407"/>
      <c r="HWU4" s="3407"/>
      <c r="HWV4" s="3407"/>
      <c r="HWW4" s="3407"/>
      <c r="HWX4" s="3407"/>
      <c r="HWY4" s="3407"/>
      <c r="HWZ4" s="3407"/>
      <c r="HXA4" s="3407"/>
      <c r="HXB4" s="3407"/>
      <c r="HXC4" s="3407"/>
      <c r="HXD4" s="3407"/>
      <c r="HXE4" s="3407"/>
      <c r="HXF4" s="3407"/>
      <c r="HXG4" s="3407"/>
      <c r="HXH4" s="3407"/>
      <c r="HXI4" s="3407"/>
      <c r="HXJ4" s="3407"/>
      <c r="HXK4" s="3407"/>
      <c r="HXL4" s="3407"/>
      <c r="HXM4" s="3407"/>
      <c r="HXN4" s="3407"/>
      <c r="HXO4" s="3407"/>
      <c r="HXP4" s="3407"/>
      <c r="HXQ4" s="3407"/>
      <c r="HXR4" s="3407"/>
      <c r="HXS4" s="3407"/>
      <c r="HXT4" s="3407"/>
      <c r="HXU4" s="3407"/>
      <c r="HXV4" s="3407"/>
      <c r="HXW4" s="3407"/>
      <c r="HXX4" s="3407"/>
      <c r="HXY4" s="3407"/>
      <c r="HXZ4" s="3407"/>
      <c r="HYA4" s="3407"/>
      <c r="HYB4" s="3407"/>
      <c r="HYC4" s="3407"/>
      <c r="HYD4" s="3407"/>
      <c r="HYE4" s="3407"/>
      <c r="HYF4" s="3407"/>
      <c r="HYG4" s="3407"/>
      <c r="HYH4" s="3407"/>
      <c r="HYI4" s="3407"/>
      <c r="HYJ4" s="3407"/>
      <c r="HYK4" s="3407"/>
      <c r="HYL4" s="3407"/>
      <c r="HYM4" s="3407"/>
      <c r="HYN4" s="3407"/>
      <c r="HYO4" s="3407"/>
      <c r="HYP4" s="3407"/>
      <c r="HYQ4" s="3407"/>
      <c r="HYR4" s="3407"/>
      <c r="HYS4" s="3407"/>
      <c r="HYT4" s="3407"/>
      <c r="HYU4" s="3407"/>
      <c r="HYV4" s="3407"/>
      <c r="HYW4" s="3407"/>
      <c r="HYX4" s="3407"/>
      <c r="HYY4" s="3407"/>
      <c r="HYZ4" s="3407"/>
      <c r="HZA4" s="3407"/>
      <c r="HZB4" s="3407"/>
      <c r="HZC4" s="3407"/>
      <c r="HZD4" s="3407"/>
      <c r="HZE4" s="3407"/>
      <c r="HZF4" s="3407"/>
      <c r="HZG4" s="3407"/>
      <c r="HZH4" s="3407"/>
      <c r="HZI4" s="3407"/>
      <c r="HZJ4" s="3407"/>
      <c r="HZK4" s="3407"/>
      <c r="HZL4" s="3407"/>
      <c r="HZM4" s="3407"/>
      <c r="HZN4" s="3407"/>
      <c r="HZO4" s="3407"/>
      <c r="HZP4" s="3407"/>
      <c r="HZQ4" s="3407"/>
      <c r="HZR4" s="3407"/>
      <c r="HZS4" s="3407"/>
      <c r="HZT4" s="3407"/>
      <c r="HZU4" s="3407"/>
      <c r="HZV4" s="3407"/>
      <c r="HZW4" s="3407"/>
      <c r="HZX4" s="3407"/>
      <c r="HZY4" s="3407"/>
      <c r="HZZ4" s="3407"/>
      <c r="IAA4" s="3407"/>
      <c r="IAB4" s="3407"/>
      <c r="IAC4" s="3407"/>
      <c r="IAD4" s="3407"/>
      <c r="IAE4" s="3407"/>
      <c r="IAF4" s="3407"/>
      <c r="IAG4" s="3407"/>
      <c r="IAH4" s="3407"/>
      <c r="IAI4" s="3407"/>
      <c r="IAJ4" s="3407"/>
      <c r="IAK4" s="3407"/>
      <c r="IAL4" s="3407"/>
      <c r="IAM4" s="3407"/>
      <c r="IAN4" s="3407"/>
      <c r="IAO4" s="3407"/>
      <c r="IAP4" s="3407"/>
      <c r="IAQ4" s="3407"/>
      <c r="IAR4" s="3407"/>
      <c r="IAS4" s="3407"/>
      <c r="IAT4" s="3407"/>
      <c r="IAU4" s="3407"/>
      <c r="IAV4" s="3407"/>
      <c r="IAW4" s="3407"/>
      <c r="IAX4" s="3407"/>
      <c r="IAY4" s="3407"/>
      <c r="IAZ4" s="3407"/>
      <c r="IBA4" s="3407"/>
      <c r="IBB4" s="3407"/>
      <c r="IBC4" s="3407"/>
      <c r="IBD4" s="3407"/>
      <c r="IBE4" s="3407"/>
      <c r="IBF4" s="3407"/>
      <c r="IBG4" s="3407"/>
      <c r="IBH4" s="3407"/>
      <c r="IBI4" s="3407"/>
      <c r="IBJ4" s="3407"/>
      <c r="IBK4" s="3407"/>
      <c r="IBL4" s="3407"/>
      <c r="IBM4" s="3407"/>
      <c r="IBN4" s="3407"/>
      <c r="IBO4" s="3407"/>
      <c r="IBP4" s="3407"/>
      <c r="IBQ4" s="3407"/>
      <c r="IBR4" s="3407"/>
      <c r="IBS4" s="3407"/>
      <c r="IBT4" s="3407"/>
      <c r="IBU4" s="3407"/>
      <c r="IBV4" s="3407"/>
      <c r="IBW4" s="3407"/>
      <c r="IBX4" s="3407"/>
      <c r="IBY4" s="3407"/>
      <c r="IBZ4" s="3407"/>
      <c r="ICA4" s="3407"/>
      <c r="ICB4" s="3407"/>
      <c r="ICC4" s="3407"/>
      <c r="ICD4" s="3407"/>
      <c r="ICE4" s="3407"/>
      <c r="ICF4" s="3407"/>
      <c r="ICG4" s="3407"/>
      <c r="ICH4" s="3407"/>
      <c r="ICI4" s="3407"/>
      <c r="ICJ4" s="3407"/>
      <c r="ICK4" s="3407"/>
      <c r="ICL4" s="3407"/>
      <c r="ICM4" s="3407"/>
      <c r="ICN4" s="3407"/>
      <c r="ICO4" s="3407"/>
      <c r="ICP4" s="3407"/>
      <c r="ICQ4" s="3407"/>
      <c r="ICR4" s="3407"/>
      <c r="ICS4" s="3407"/>
      <c r="ICT4" s="3407"/>
      <c r="ICU4" s="3407"/>
      <c r="ICV4" s="3407"/>
      <c r="ICW4" s="3407"/>
      <c r="ICX4" s="3407"/>
      <c r="ICY4" s="3407"/>
      <c r="ICZ4" s="3407"/>
      <c r="IDA4" s="3407"/>
      <c r="IDB4" s="3407"/>
      <c r="IDC4" s="3407"/>
      <c r="IDD4" s="3407"/>
      <c r="IDE4" s="3407"/>
      <c r="IDF4" s="3407"/>
      <c r="IDG4" s="3407"/>
      <c r="IDH4" s="3407"/>
      <c r="IDI4" s="3407"/>
      <c r="IDJ4" s="3407"/>
      <c r="IDK4" s="3407"/>
      <c r="IDL4" s="3407"/>
      <c r="IDM4" s="3407"/>
      <c r="IDN4" s="3407"/>
      <c r="IDO4" s="3407"/>
      <c r="IDP4" s="3407"/>
      <c r="IDQ4" s="3407"/>
      <c r="IDR4" s="3407"/>
      <c r="IDS4" s="3407"/>
      <c r="IDT4" s="3407"/>
      <c r="IDU4" s="3407"/>
      <c r="IDV4" s="3407"/>
      <c r="IDW4" s="3407"/>
      <c r="IDX4" s="3407"/>
      <c r="IDY4" s="3407"/>
      <c r="IDZ4" s="3407"/>
      <c r="IEA4" s="3407"/>
      <c r="IEB4" s="3407"/>
      <c r="IEC4" s="3407"/>
      <c r="IED4" s="3407"/>
      <c r="IEE4" s="3407"/>
      <c r="IEF4" s="3407"/>
      <c r="IEG4" s="3407"/>
      <c r="IEH4" s="3407"/>
      <c r="IEI4" s="3407"/>
      <c r="IEJ4" s="3407"/>
      <c r="IEK4" s="3407"/>
      <c r="IEL4" s="3407"/>
      <c r="IEM4" s="3407"/>
      <c r="IEN4" s="3407"/>
      <c r="IEO4" s="3407"/>
      <c r="IEP4" s="3407"/>
      <c r="IEQ4" s="3407"/>
      <c r="IER4" s="3407"/>
      <c r="IES4" s="3407"/>
      <c r="IET4" s="3407"/>
      <c r="IEU4" s="3407"/>
      <c r="IEV4" s="3407"/>
      <c r="IEW4" s="3407"/>
      <c r="IEX4" s="3407"/>
      <c r="IEY4" s="3407"/>
      <c r="IEZ4" s="3407"/>
      <c r="IFA4" s="3407"/>
      <c r="IFB4" s="3407"/>
      <c r="IFC4" s="3407"/>
      <c r="IFD4" s="3407"/>
      <c r="IFE4" s="3407"/>
      <c r="IFF4" s="3407"/>
      <c r="IFG4" s="3407"/>
      <c r="IFH4" s="3407"/>
      <c r="IFI4" s="3407"/>
      <c r="IFJ4" s="3407"/>
      <c r="IFK4" s="3407"/>
      <c r="IFL4" s="3407"/>
      <c r="IFM4" s="3407"/>
      <c r="IFN4" s="3407"/>
      <c r="IFO4" s="3407"/>
      <c r="IFP4" s="3407"/>
      <c r="IFQ4" s="3407"/>
      <c r="IFR4" s="3407"/>
      <c r="IFS4" s="3407"/>
      <c r="IFT4" s="3407"/>
      <c r="IFU4" s="3407"/>
      <c r="IFV4" s="3407"/>
      <c r="IFW4" s="3407"/>
      <c r="IFX4" s="3407"/>
      <c r="IFY4" s="3407"/>
      <c r="IFZ4" s="3407"/>
      <c r="IGA4" s="3407"/>
      <c r="IGB4" s="3407"/>
      <c r="IGC4" s="3407"/>
      <c r="IGD4" s="3407"/>
      <c r="IGE4" s="3407"/>
      <c r="IGF4" s="3407"/>
      <c r="IGG4" s="3407"/>
      <c r="IGH4" s="3407"/>
      <c r="IGI4" s="3407"/>
      <c r="IGJ4" s="3407"/>
      <c r="IGK4" s="3407"/>
      <c r="IGL4" s="3407"/>
      <c r="IGM4" s="3407"/>
      <c r="IGN4" s="3407"/>
      <c r="IGO4" s="3407"/>
      <c r="IGP4" s="3407"/>
      <c r="IGQ4" s="3407"/>
      <c r="IGR4" s="3407"/>
      <c r="IGS4" s="3407"/>
      <c r="IGT4" s="3407"/>
      <c r="IGU4" s="3407"/>
      <c r="IGV4" s="3407"/>
      <c r="IGW4" s="3407"/>
      <c r="IGX4" s="3407"/>
      <c r="IGY4" s="3407"/>
      <c r="IGZ4" s="3407"/>
      <c r="IHA4" s="3407"/>
      <c r="IHB4" s="3407"/>
      <c r="IHC4" s="3407"/>
      <c r="IHD4" s="3407"/>
      <c r="IHE4" s="3407"/>
      <c r="IHF4" s="3407"/>
      <c r="IHG4" s="3407"/>
      <c r="IHH4" s="3407"/>
      <c r="IHI4" s="3407"/>
      <c r="IHJ4" s="3407"/>
      <c r="IHK4" s="3407"/>
      <c r="IHL4" s="3407"/>
      <c r="IHM4" s="3407"/>
      <c r="IHN4" s="3407"/>
      <c r="IHO4" s="3407"/>
      <c r="IHP4" s="3407"/>
      <c r="IHQ4" s="3407"/>
      <c r="IHR4" s="3407"/>
      <c r="IHS4" s="3407"/>
      <c r="IHT4" s="3407"/>
      <c r="IHU4" s="3407"/>
      <c r="IHV4" s="3407"/>
      <c r="IHW4" s="3407"/>
      <c r="IHX4" s="3407"/>
      <c r="IHY4" s="3407"/>
      <c r="IHZ4" s="3407"/>
      <c r="IIA4" s="3407"/>
      <c r="IIB4" s="3407"/>
      <c r="IIC4" s="3407"/>
      <c r="IID4" s="3407"/>
      <c r="IIE4" s="3407"/>
      <c r="IIF4" s="3407"/>
      <c r="IIG4" s="3407"/>
      <c r="IIH4" s="3407"/>
      <c r="III4" s="3407"/>
      <c r="IIJ4" s="3407"/>
      <c r="IIK4" s="3407"/>
      <c r="IIL4" s="3407"/>
      <c r="IIM4" s="3407"/>
      <c r="IIN4" s="3407"/>
      <c r="IIO4" s="3407"/>
      <c r="IIP4" s="3407"/>
      <c r="IIQ4" s="3407"/>
      <c r="IIR4" s="3407"/>
      <c r="IIS4" s="3407"/>
      <c r="IIT4" s="3407"/>
      <c r="IIU4" s="3407"/>
      <c r="IIV4" s="3407"/>
      <c r="IIW4" s="3407"/>
      <c r="IIX4" s="3407"/>
      <c r="IIY4" s="3407"/>
      <c r="IIZ4" s="3407"/>
      <c r="IJA4" s="3407"/>
      <c r="IJB4" s="3407"/>
      <c r="IJC4" s="3407"/>
      <c r="IJD4" s="3407"/>
      <c r="IJE4" s="3407"/>
      <c r="IJF4" s="3407"/>
      <c r="IJG4" s="3407"/>
      <c r="IJH4" s="3407"/>
      <c r="IJI4" s="3407"/>
      <c r="IJJ4" s="3407"/>
      <c r="IJK4" s="3407"/>
      <c r="IJL4" s="3407"/>
      <c r="IJM4" s="3407"/>
      <c r="IJN4" s="3407"/>
      <c r="IJO4" s="3407"/>
      <c r="IJP4" s="3407"/>
      <c r="IJQ4" s="3407"/>
      <c r="IJR4" s="3407"/>
      <c r="IJS4" s="3407"/>
      <c r="IJT4" s="3407"/>
      <c r="IJU4" s="3407"/>
      <c r="IJV4" s="3407"/>
      <c r="IJW4" s="3407"/>
      <c r="IJX4" s="3407"/>
      <c r="IJY4" s="3407"/>
      <c r="IJZ4" s="3407"/>
      <c r="IKA4" s="3407"/>
      <c r="IKB4" s="3407"/>
      <c r="IKC4" s="3407"/>
      <c r="IKD4" s="3407"/>
      <c r="IKE4" s="3407"/>
      <c r="IKF4" s="3407"/>
      <c r="IKG4" s="3407"/>
      <c r="IKH4" s="3407"/>
      <c r="IKI4" s="3407"/>
      <c r="IKJ4" s="3407"/>
      <c r="IKK4" s="3407"/>
      <c r="IKL4" s="3407"/>
      <c r="IKM4" s="3407"/>
      <c r="IKN4" s="3407"/>
      <c r="IKO4" s="3407"/>
      <c r="IKP4" s="3407"/>
      <c r="IKQ4" s="3407"/>
      <c r="IKR4" s="3407"/>
      <c r="IKS4" s="3407"/>
      <c r="IKT4" s="3407"/>
      <c r="IKU4" s="3407"/>
      <c r="IKV4" s="3407"/>
      <c r="IKW4" s="3407"/>
      <c r="IKX4" s="3407"/>
      <c r="IKY4" s="3407"/>
      <c r="IKZ4" s="3407"/>
      <c r="ILA4" s="3407"/>
      <c r="ILB4" s="3407"/>
      <c r="ILC4" s="3407"/>
      <c r="ILD4" s="3407"/>
      <c r="ILE4" s="3407"/>
      <c r="ILF4" s="3407"/>
      <c r="ILG4" s="3407"/>
      <c r="ILH4" s="3407"/>
      <c r="ILI4" s="3407"/>
      <c r="ILJ4" s="3407"/>
      <c r="ILK4" s="3407"/>
      <c r="ILL4" s="3407"/>
      <c r="ILM4" s="3407"/>
      <c r="ILN4" s="3407"/>
      <c r="ILO4" s="3407"/>
      <c r="ILP4" s="3407"/>
      <c r="ILQ4" s="3407"/>
      <c r="ILR4" s="3407"/>
      <c r="ILS4" s="3407"/>
      <c r="ILT4" s="3407"/>
      <c r="ILU4" s="3407"/>
      <c r="ILV4" s="3407"/>
      <c r="ILW4" s="3407"/>
      <c r="ILX4" s="3407"/>
      <c r="ILY4" s="3407"/>
      <c r="ILZ4" s="3407"/>
      <c r="IMA4" s="3407"/>
      <c r="IMB4" s="3407"/>
      <c r="IMC4" s="3407"/>
      <c r="IMD4" s="3407"/>
      <c r="IME4" s="3407"/>
      <c r="IMF4" s="3407"/>
      <c r="IMG4" s="3407"/>
      <c r="IMH4" s="3407"/>
      <c r="IMI4" s="3407"/>
      <c r="IMJ4" s="3407"/>
      <c r="IMK4" s="3407"/>
      <c r="IML4" s="3407"/>
      <c r="IMM4" s="3407"/>
      <c r="IMN4" s="3407"/>
      <c r="IMO4" s="3407"/>
      <c r="IMP4" s="3407"/>
      <c r="IMQ4" s="3407"/>
      <c r="IMR4" s="3407"/>
      <c r="IMS4" s="3407"/>
      <c r="IMT4" s="3407"/>
      <c r="IMU4" s="3407"/>
      <c r="IMV4" s="3407"/>
      <c r="IMW4" s="3407"/>
      <c r="IMX4" s="3407"/>
      <c r="IMY4" s="3407"/>
      <c r="IMZ4" s="3407"/>
      <c r="INA4" s="3407"/>
      <c r="INB4" s="3407"/>
      <c r="INC4" s="3407"/>
      <c r="IND4" s="3407"/>
      <c r="INE4" s="3407"/>
      <c r="INF4" s="3407"/>
      <c r="ING4" s="3407"/>
      <c r="INH4" s="3407"/>
      <c r="INI4" s="3407"/>
      <c r="INJ4" s="3407"/>
      <c r="INK4" s="3407"/>
      <c r="INL4" s="3407"/>
      <c r="INM4" s="3407"/>
      <c r="INN4" s="3407"/>
      <c r="INO4" s="3407"/>
      <c r="INP4" s="3407"/>
      <c r="INQ4" s="3407"/>
      <c r="INR4" s="3407"/>
      <c r="INS4" s="3407"/>
      <c r="INT4" s="3407"/>
      <c r="INU4" s="3407"/>
      <c r="INV4" s="3407"/>
      <c r="INW4" s="3407"/>
      <c r="INX4" s="3407"/>
      <c r="INY4" s="3407"/>
      <c r="INZ4" s="3407"/>
      <c r="IOA4" s="3407"/>
      <c r="IOB4" s="3407"/>
      <c r="IOC4" s="3407"/>
      <c r="IOD4" s="3407"/>
      <c r="IOE4" s="3407"/>
      <c r="IOF4" s="3407"/>
      <c r="IOG4" s="3407"/>
      <c r="IOH4" s="3407"/>
      <c r="IOI4" s="3407"/>
      <c r="IOJ4" s="3407"/>
      <c r="IOK4" s="3407"/>
      <c r="IOL4" s="3407"/>
      <c r="IOM4" s="3407"/>
      <c r="ION4" s="3407"/>
      <c r="IOO4" s="3407"/>
      <c r="IOP4" s="3407"/>
      <c r="IOQ4" s="3407"/>
      <c r="IOR4" s="3407"/>
      <c r="IOS4" s="3407"/>
      <c r="IOT4" s="3407"/>
      <c r="IOU4" s="3407"/>
      <c r="IOV4" s="3407"/>
      <c r="IOW4" s="3407"/>
      <c r="IOX4" s="3407"/>
      <c r="IOY4" s="3407"/>
      <c r="IOZ4" s="3407"/>
      <c r="IPA4" s="3407"/>
      <c r="IPB4" s="3407"/>
      <c r="IPC4" s="3407"/>
      <c r="IPD4" s="3407"/>
      <c r="IPE4" s="3407"/>
      <c r="IPF4" s="3407"/>
      <c r="IPG4" s="3407"/>
      <c r="IPH4" s="3407"/>
      <c r="IPI4" s="3407"/>
      <c r="IPJ4" s="3407"/>
      <c r="IPK4" s="3407"/>
      <c r="IPL4" s="3407"/>
      <c r="IPM4" s="3407"/>
      <c r="IPN4" s="3407"/>
      <c r="IPO4" s="3407"/>
      <c r="IPP4" s="3407"/>
      <c r="IPQ4" s="3407"/>
      <c r="IPR4" s="3407"/>
      <c r="IPS4" s="3407"/>
      <c r="IPT4" s="3407"/>
      <c r="IPU4" s="3407"/>
      <c r="IPV4" s="3407"/>
      <c r="IPW4" s="3407"/>
      <c r="IPX4" s="3407"/>
      <c r="IPY4" s="3407"/>
      <c r="IPZ4" s="3407"/>
      <c r="IQA4" s="3407"/>
      <c r="IQB4" s="3407"/>
      <c r="IQC4" s="3407"/>
      <c r="IQD4" s="3407"/>
      <c r="IQE4" s="3407"/>
      <c r="IQF4" s="3407"/>
      <c r="IQG4" s="3407"/>
      <c r="IQH4" s="3407"/>
      <c r="IQI4" s="3407"/>
      <c r="IQJ4" s="3407"/>
      <c r="IQK4" s="3407"/>
      <c r="IQL4" s="3407"/>
      <c r="IQM4" s="3407"/>
      <c r="IQN4" s="3407"/>
      <c r="IQO4" s="3407"/>
      <c r="IQP4" s="3407"/>
      <c r="IQQ4" s="3407"/>
      <c r="IQR4" s="3407"/>
      <c r="IQS4" s="3407"/>
      <c r="IQT4" s="3407"/>
      <c r="IQU4" s="3407"/>
      <c r="IQV4" s="3407"/>
      <c r="IQW4" s="3407"/>
      <c r="IQX4" s="3407"/>
      <c r="IQY4" s="3407"/>
      <c r="IQZ4" s="3407"/>
      <c r="IRA4" s="3407"/>
      <c r="IRB4" s="3407"/>
      <c r="IRC4" s="3407"/>
      <c r="IRD4" s="3407"/>
      <c r="IRE4" s="3407"/>
      <c r="IRF4" s="3407"/>
      <c r="IRG4" s="3407"/>
      <c r="IRH4" s="3407"/>
      <c r="IRI4" s="3407"/>
      <c r="IRJ4" s="3407"/>
      <c r="IRK4" s="3407"/>
      <c r="IRL4" s="3407"/>
      <c r="IRM4" s="3407"/>
      <c r="IRN4" s="3407"/>
      <c r="IRO4" s="3407"/>
      <c r="IRP4" s="3407"/>
      <c r="IRQ4" s="3407"/>
      <c r="IRR4" s="3407"/>
      <c r="IRS4" s="3407"/>
      <c r="IRT4" s="3407"/>
      <c r="IRU4" s="3407"/>
      <c r="IRV4" s="3407"/>
      <c r="IRW4" s="3407"/>
      <c r="IRX4" s="3407"/>
      <c r="IRY4" s="3407"/>
      <c r="IRZ4" s="3407"/>
      <c r="ISA4" s="3407"/>
      <c r="ISB4" s="3407"/>
      <c r="ISC4" s="3407"/>
      <c r="ISD4" s="3407"/>
      <c r="ISE4" s="3407"/>
      <c r="ISF4" s="3407"/>
      <c r="ISG4" s="3407"/>
      <c r="ISH4" s="3407"/>
      <c r="ISI4" s="3407"/>
      <c r="ISJ4" s="3407"/>
      <c r="ISK4" s="3407"/>
      <c r="ISL4" s="3407"/>
      <c r="ISM4" s="3407"/>
      <c r="ISN4" s="3407"/>
      <c r="ISO4" s="3407"/>
      <c r="ISP4" s="3407"/>
      <c r="ISQ4" s="3407"/>
      <c r="ISR4" s="3407"/>
      <c r="ISS4" s="3407"/>
      <c r="IST4" s="3407"/>
      <c r="ISU4" s="3407"/>
      <c r="ISV4" s="3407"/>
      <c r="ISW4" s="3407"/>
      <c r="ISX4" s="3407"/>
      <c r="ISY4" s="3407"/>
      <c r="ISZ4" s="3407"/>
      <c r="ITA4" s="3407"/>
      <c r="ITB4" s="3407"/>
      <c r="ITC4" s="3407"/>
      <c r="ITD4" s="3407"/>
      <c r="ITE4" s="3407"/>
      <c r="ITF4" s="3407"/>
      <c r="ITG4" s="3407"/>
      <c r="ITH4" s="3407"/>
      <c r="ITI4" s="3407"/>
      <c r="ITJ4" s="3407"/>
      <c r="ITK4" s="3407"/>
      <c r="ITL4" s="3407"/>
      <c r="ITM4" s="3407"/>
      <c r="ITN4" s="3407"/>
      <c r="ITO4" s="3407"/>
      <c r="ITP4" s="3407"/>
      <c r="ITQ4" s="3407"/>
      <c r="ITR4" s="3407"/>
      <c r="ITS4" s="3407"/>
      <c r="ITT4" s="3407"/>
      <c r="ITU4" s="3407"/>
      <c r="ITV4" s="3407"/>
      <c r="ITW4" s="3407"/>
      <c r="ITX4" s="3407"/>
      <c r="ITY4" s="3407"/>
      <c r="ITZ4" s="3407"/>
      <c r="IUA4" s="3407"/>
      <c r="IUB4" s="3407"/>
      <c r="IUC4" s="3407"/>
      <c r="IUD4" s="3407"/>
      <c r="IUE4" s="3407"/>
      <c r="IUF4" s="3407"/>
      <c r="IUG4" s="3407"/>
      <c r="IUH4" s="3407"/>
      <c r="IUI4" s="3407"/>
      <c r="IUJ4" s="3407"/>
      <c r="IUK4" s="3407"/>
      <c r="IUL4" s="3407"/>
      <c r="IUM4" s="3407"/>
      <c r="IUN4" s="3407"/>
      <c r="IUO4" s="3407"/>
      <c r="IUP4" s="3407"/>
      <c r="IUQ4" s="3407"/>
      <c r="IUR4" s="3407"/>
      <c r="IUS4" s="3407"/>
      <c r="IUT4" s="3407"/>
      <c r="IUU4" s="3407"/>
      <c r="IUV4" s="3407"/>
      <c r="IUW4" s="3407"/>
      <c r="IUX4" s="3407"/>
      <c r="IUY4" s="3407"/>
      <c r="IUZ4" s="3407"/>
      <c r="IVA4" s="3407"/>
      <c r="IVB4" s="3407"/>
      <c r="IVC4" s="3407"/>
      <c r="IVD4" s="3407"/>
      <c r="IVE4" s="3407"/>
      <c r="IVF4" s="3407"/>
      <c r="IVG4" s="3407"/>
      <c r="IVH4" s="3407"/>
      <c r="IVI4" s="3407"/>
      <c r="IVJ4" s="3407"/>
      <c r="IVK4" s="3407"/>
      <c r="IVL4" s="3407"/>
      <c r="IVM4" s="3407"/>
      <c r="IVN4" s="3407"/>
      <c r="IVO4" s="3407"/>
      <c r="IVP4" s="3407"/>
      <c r="IVQ4" s="3407"/>
      <c r="IVR4" s="3407"/>
      <c r="IVS4" s="3407"/>
      <c r="IVT4" s="3407"/>
      <c r="IVU4" s="3407"/>
      <c r="IVV4" s="3407"/>
      <c r="IVW4" s="3407"/>
      <c r="IVX4" s="3407"/>
      <c r="IVY4" s="3407"/>
      <c r="IVZ4" s="3407"/>
      <c r="IWA4" s="3407"/>
      <c r="IWB4" s="3407"/>
      <c r="IWC4" s="3407"/>
      <c r="IWD4" s="3407"/>
      <c r="IWE4" s="3407"/>
      <c r="IWF4" s="3407"/>
      <c r="IWG4" s="3407"/>
      <c r="IWH4" s="3407"/>
      <c r="IWI4" s="3407"/>
      <c r="IWJ4" s="3407"/>
      <c r="IWK4" s="3407"/>
      <c r="IWL4" s="3407"/>
      <c r="IWM4" s="3407"/>
      <c r="IWN4" s="3407"/>
      <c r="IWO4" s="3407"/>
      <c r="IWP4" s="3407"/>
      <c r="IWQ4" s="3407"/>
      <c r="IWR4" s="3407"/>
      <c r="IWS4" s="3407"/>
      <c r="IWT4" s="3407"/>
      <c r="IWU4" s="3407"/>
      <c r="IWV4" s="3407"/>
      <c r="IWW4" s="3407"/>
      <c r="IWX4" s="3407"/>
      <c r="IWY4" s="3407"/>
      <c r="IWZ4" s="3407"/>
      <c r="IXA4" s="3407"/>
      <c r="IXB4" s="3407"/>
      <c r="IXC4" s="3407"/>
      <c r="IXD4" s="3407"/>
      <c r="IXE4" s="3407"/>
      <c r="IXF4" s="3407"/>
      <c r="IXG4" s="3407"/>
      <c r="IXH4" s="3407"/>
      <c r="IXI4" s="3407"/>
      <c r="IXJ4" s="3407"/>
      <c r="IXK4" s="3407"/>
      <c r="IXL4" s="3407"/>
      <c r="IXM4" s="3407"/>
      <c r="IXN4" s="3407"/>
      <c r="IXO4" s="3407"/>
      <c r="IXP4" s="3407"/>
      <c r="IXQ4" s="3407"/>
      <c r="IXR4" s="3407"/>
      <c r="IXS4" s="3407"/>
      <c r="IXT4" s="3407"/>
      <c r="IXU4" s="3407"/>
      <c r="IXV4" s="3407"/>
      <c r="IXW4" s="3407"/>
      <c r="IXX4" s="3407"/>
      <c r="IXY4" s="3407"/>
      <c r="IXZ4" s="3407"/>
      <c r="IYA4" s="3407"/>
      <c r="IYB4" s="3407"/>
      <c r="IYC4" s="3407"/>
      <c r="IYD4" s="3407"/>
      <c r="IYE4" s="3407"/>
      <c r="IYF4" s="3407"/>
      <c r="IYG4" s="3407"/>
      <c r="IYH4" s="3407"/>
      <c r="IYI4" s="3407"/>
      <c r="IYJ4" s="3407"/>
      <c r="IYK4" s="3407"/>
      <c r="IYL4" s="3407"/>
      <c r="IYM4" s="3407"/>
      <c r="IYN4" s="3407"/>
      <c r="IYO4" s="3407"/>
      <c r="IYP4" s="3407"/>
      <c r="IYQ4" s="3407"/>
      <c r="IYR4" s="3407"/>
      <c r="IYS4" s="3407"/>
      <c r="IYT4" s="3407"/>
      <c r="IYU4" s="3407"/>
      <c r="IYV4" s="3407"/>
      <c r="IYW4" s="3407"/>
      <c r="IYX4" s="3407"/>
      <c r="IYY4" s="3407"/>
      <c r="IYZ4" s="3407"/>
      <c r="IZA4" s="3407"/>
      <c r="IZB4" s="3407"/>
      <c r="IZC4" s="3407"/>
      <c r="IZD4" s="3407"/>
      <c r="IZE4" s="3407"/>
      <c r="IZF4" s="3407"/>
      <c r="IZG4" s="3407"/>
      <c r="IZH4" s="3407"/>
      <c r="IZI4" s="3407"/>
      <c r="IZJ4" s="3407"/>
      <c r="IZK4" s="3407"/>
      <c r="IZL4" s="3407"/>
      <c r="IZM4" s="3407"/>
      <c r="IZN4" s="3407"/>
      <c r="IZO4" s="3407"/>
      <c r="IZP4" s="3407"/>
      <c r="IZQ4" s="3407"/>
      <c r="IZR4" s="3407"/>
      <c r="IZS4" s="3407"/>
      <c r="IZT4" s="3407"/>
      <c r="IZU4" s="3407"/>
      <c r="IZV4" s="3407"/>
      <c r="IZW4" s="3407"/>
      <c r="IZX4" s="3407"/>
      <c r="IZY4" s="3407"/>
      <c r="IZZ4" s="3407"/>
      <c r="JAA4" s="3407"/>
      <c r="JAB4" s="3407"/>
      <c r="JAC4" s="3407"/>
      <c r="JAD4" s="3407"/>
      <c r="JAE4" s="3407"/>
      <c r="JAF4" s="3407"/>
      <c r="JAG4" s="3407"/>
      <c r="JAH4" s="3407"/>
      <c r="JAI4" s="3407"/>
      <c r="JAJ4" s="3407"/>
      <c r="JAK4" s="3407"/>
      <c r="JAL4" s="3407"/>
      <c r="JAM4" s="3407"/>
      <c r="JAN4" s="3407"/>
      <c r="JAO4" s="3407"/>
      <c r="JAP4" s="3407"/>
      <c r="JAQ4" s="3407"/>
      <c r="JAR4" s="3407"/>
      <c r="JAS4" s="3407"/>
      <c r="JAT4" s="3407"/>
      <c r="JAU4" s="3407"/>
      <c r="JAV4" s="3407"/>
      <c r="JAW4" s="3407"/>
      <c r="JAX4" s="3407"/>
      <c r="JAY4" s="3407"/>
      <c r="JAZ4" s="3407"/>
      <c r="JBA4" s="3407"/>
      <c r="JBB4" s="3407"/>
      <c r="JBC4" s="3407"/>
      <c r="JBD4" s="3407"/>
      <c r="JBE4" s="3407"/>
      <c r="JBF4" s="3407"/>
      <c r="JBG4" s="3407"/>
      <c r="JBH4" s="3407"/>
      <c r="JBI4" s="3407"/>
      <c r="JBJ4" s="3407"/>
      <c r="JBK4" s="3407"/>
      <c r="JBL4" s="3407"/>
      <c r="JBM4" s="3407"/>
      <c r="JBN4" s="3407"/>
      <c r="JBO4" s="3407"/>
      <c r="JBP4" s="3407"/>
      <c r="JBQ4" s="3407"/>
      <c r="JBR4" s="3407"/>
      <c r="JBS4" s="3407"/>
      <c r="JBT4" s="3407"/>
      <c r="JBU4" s="3407"/>
      <c r="JBV4" s="3407"/>
      <c r="JBW4" s="3407"/>
      <c r="JBX4" s="3407"/>
      <c r="JBY4" s="3407"/>
      <c r="JBZ4" s="3407"/>
      <c r="JCA4" s="3407"/>
      <c r="JCB4" s="3407"/>
      <c r="JCC4" s="3407"/>
      <c r="JCD4" s="3407"/>
      <c r="JCE4" s="3407"/>
      <c r="JCF4" s="3407"/>
      <c r="JCG4" s="3407"/>
      <c r="JCH4" s="3407"/>
      <c r="JCI4" s="3407"/>
      <c r="JCJ4" s="3407"/>
      <c r="JCK4" s="3407"/>
      <c r="JCL4" s="3407"/>
      <c r="JCM4" s="3407"/>
      <c r="JCN4" s="3407"/>
      <c r="JCO4" s="3407"/>
      <c r="JCP4" s="3407"/>
      <c r="JCQ4" s="3407"/>
      <c r="JCR4" s="3407"/>
      <c r="JCS4" s="3407"/>
      <c r="JCT4" s="3407"/>
      <c r="JCU4" s="3407"/>
      <c r="JCV4" s="3407"/>
      <c r="JCW4" s="3407"/>
      <c r="JCX4" s="3407"/>
      <c r="JCY4" s="3407"/>
      <c r="JCZ4" s="3407"/>
      <c r="JDA4" s="3407"/>
      <c r="JDB4" s="3407"/>
      <c r="JDC4" s="3407"/>
      <c r="JDD4" s="3407"/>
      <c r="JDE4" s="3407"/>
      <c r="JDF4" s="3407"/>
      <c r="JDG4" s="3407"/>
      <c r="JDH4" s="3407"/>
      <c r="JDI4" s="3407"/>
      <c r="JDJ4" s="3407"/>
      <c r="JDK4" s="3407"/>
      <c r="JDL4" s="3407"/>
      <c r="JDM4" s="3407"/>
      <c r="JDN4" s="3407"/>
      <c r="JDO4" s="3407"/>
      <c r="JDP4" s="3407"/>
      <c r="JDQ4" s="3407"/>
      <c r="JDR4" s="3407"/>
      <c r="JDS4" s="3407"/>
      <c r="JDT4" s="3407"/>
      <c r="JDU4" s="3407"/>
      <c r="JDV4" s="3407"/>
      <c r="JDW4" s="3407"/>
      <c r="JDX4" s="3407"/>
      <c r="JDY4" s="3407"/>
      <c r="JDZ4" s="3407"/>
      <c r="JEA4" s="3407"/>
      <c r="JEB4" s="3407"/>
      <c r="JEC4" s="3407"/>
      <c r="JED4" s="3407"/>
      <c r="JEE4" s="3407"/>
      <c r="JEF4" s="3407"/>
      <c r="JEG4" s="3407"/>
      <c r="JEH4" s="3407"/>
      <c r="JEI4" s="3407"/>
      <c r="JEJ4" s="3407"/>
      <c r="JEK4" s="3407"/>
      <c r="JEL4" s="3407"/>
      <c r="JEM4" s="3407"/>
      <c r="JEN4" s="3407"/>
      <c r="JEO4" s="3407"/>
      <c r="JEP4" s="3407"/>
      <c r="JEQ4" s="3407"/>
      <c r="JER4" s="3407"/>
      <c r="JES4" s="3407"/>
      <c r="JET4" s="3407"/>
      <c r="JEU4" s="3407"/>
      <c r="JEV4" s="3407"/>
      <c r="JEW4" s="3407"/>
      <c r="JEX4" s="3407"/>
      <c r="JEY4" s="3407"/>
      <c r="JEZ4" s="3407"/>
      <c r="JFA4" s="3407"/>
      <c r="JFB4" s="3407"/>
      <c r="JFC4" s="3407"/>
      <c r="JFD4" s="3407"/>
      <c r="JFE4" s="3407"/>
      <c r="JFF4" s="3407"/>
      <c r="JFG4" s="3407"/>
      <c r="JFH4" s="3407"/>
      <c r="JFI4" s="3407"/>
      <c r="JFJ4" s="3407"/>
      <c r="JFK4" s="3407"/>
      <c r="JFL4" s="3407"/>
      <c r="JFM4" s="3407"/>
      <c r="JFN4" s="3407"/>
      <c r="JFO4" s="3407"/>
      <c r="JFP4" s="3407"/>
      <c r="JFQ4" s="3407"/>
      <c r="JFR4" s="3407"/>
      <c r="JFS4" s="3407"/>
      <c r="JFT4" s="3407"/>
      <c r="JFU4" s="3407"/>
      <c r="JFV4" s="3407"/>
      <c r="JFW4" s="3407"/>
      <c r="JFX4" s="3407"/>
      <c r="JFY4" s="3407"/>
      <c r="JFZ4" s="3407"/>
      <c r="JGA4" s="3407"/>
      <c r="JGB4" s="3407"/>
      <c r="JGC4" s="3407"/>
      <c r="JGD4" s="3407"/>
      <c r="JGE4" s="3407"/>
      <c r="JGF4" s="3407"/>
      <c r="JGG4" s="3407"/>
      <c r="JGH4" s="3407"/>
      <c r="JGI4" s="3407"/>
      <c r="JGJ4" s="3407"/>
      <c r="JGK4" s="3407"/>
      <c r="JGL4" s="3407"/>
      <c r="JGM4" s="3407"/>
      <c r="JGN4" s="3407"/>
      <c r="JGO4" s="3407"/>
      <c r="JGP4" s="3407"/>
      <c r="JGQ4" s="3407"/>
      <c r="JGR4" s="3407"/>
      <c r="JGS4" s="3407"/>
      <c r="JGT4" s="3407"/>
      <c r="JGU4" s="3407"/>
      <c r="JGV4" s="3407"/>
      <c r="JGW4" s="3407"/>
      <c r="JGX4" s="3407"/>
      <c r="JGY4" s="3407"/>
      <c r="JGZ4" s="3407"/>
      <c r="JHA4" s="3407"/>
      <c r="JHB4" s="3407"/>
      <c r="JHC4" s="3407"/>
      <c r="JHD4" s="3407"/>
      <c r="JHE4" s="3407"/>
      <c r="JHF4" s="3407"/>
      <c r="JHG4" s="3407"/>
      <c r="JHH4" s="3407"/>
      <c r="JHI4" s="3407"/>
      <c r="JHJ4" s="3407"/>
      <c r="JHK4" s="3407"/>
      <c r="JHL4" s="3407"/>
      <c r="JHM4" s="3407"/>
      <c r="JHN4" s="3407"/>
      <c r="JHO4" s="3407"/>
      <c r="JHP4" s="3407"/>
      <c r="JHQ4" s="3407"/>
      <c r="JHR4" s="3407"/>
      <c r="JHS4" s="3407"/>
      <c r="JHT4" s="3407"/>
      <c r="JHU4" s="3407"/>
      <c r="JHV4" s="3407"/>
      <c r="JHW4" s="3407"/>
      <c r="JHX4" s="3407"/>
      <c r="JHY4" s="3407"/>
      <c r="JHZ4" s="3407"/>
      <c r="JIA4" s="3407"/>
      <c r="JIB4" s="3407"/>
      <c r="JIC4" s="3407"/>
      <c r="JID4" s="3407"/>
      <c r="JIE4" s="3407"/>
      <c r="JIF4" s="3407"/>
      <c r="JIG4" s="3407"/>
      <c r="JIH4" s="3407"/>
      <c r="JII4" s="3407"/>
      <c r="JIJ4" s="3407"/>
      <c r="JIK4" s="3407"/>
      <c r="JIL4" s="3407"/>
      <c r="JIM4" s="3407"/>
      <c r="JIN4" s="3407"/>
      <c r="JIO4" s="3407"/>
      <c r="JIP4" s="3407"/>
      <c r="JIQ4" s="3407"/>
      <c r="JIR4" s="3407"/>
      <c r="JIS4" s="3407"/>
      <c r="JIT4" s="3407"/>
      <c r="JIU4" s="3407"/>
      <c r="JIV4" s="3407"/>
      <c r="JIW4" s="3407"/>
      <c r="JIX4" s="3407"/>
      <c r="JIY4" s="3407"/>
      <c r="JIZ4" s="3407"/>
      <c r="JJA4" s="3407"/>
      <c r="JJB4" s="3407"/>
      <c r="JJC4" s="3407"/>
      <c r="JJD4" s="3407"/>
      <c r="JJE4" s="3407"/>
      <c r="JJF4" s="3407"/>
      <c r="JJG4" s="3407"/>
      <c r="JJH4" s="3407"/>
      <c r="JJI4" s="3407"/>
      <c r="JJJ4" s="3407"/>
      <c r="JJK4" s="3407"/>
      <c r="JJL4" s="3407"/>
      <c r="JJM4" s="3407"/>
      <c r="JJN4" s="3407"/>
      <c r="JJO4" s="3407"/>
      <c r="JJP4" s="3407"/>
      <c r="JJQ4" s="3407"/>
      <c r="JJR4" s="3407"/>
      <c r="JJS4" s="3407"/>
      <c r="JJT4" s="3407"/>
      <c r="JJU4" s="3407"/>
      <c r="JJV4" s="3407"/>
      <c r="JJW4" s="3407"/>
      <c r="JJX4" s="3407"/>
      <c r="JJY4" s="3407"/>
      <c r="JJZ4" s="3407"/>
      <c r="JKA4" s="3407"/>
      <c r="JKB4" s="3407"/>
      <c r="JKC4" s="3407"/>
      <c r="JKD4" s="3407"/>
      <c r="JKE4" s="3407"/>
      <c r="JKF4" s="3407"/>
      <c r="JKG4" s="3407"/>
      <c r="JKH4" s="3407"/>
      <c r="JKI4" s="3407"/>
      <c r="JKJ4" s="3407"/>
      <c r="JKK4" s="3407"/>
      <c r="JKL4" s="3407"/>
      <c r="JKM4" s="3407"/>
      <c r="JKN4" s="3407"/>
      <c r="JKO4" s="3407"/>
      <c r="JKP4" s="3407"/>
      <c r="JKQ4" s="3407"/>
      <c r="JKR4" s="3407"/>
      <c r="JKS4" s="3407"/>
      <c r="JKT4" s="3407"/>
      <c r="JKU4" s="3407"/>
      <c r="JKV4" s="3407"/>
      <c r="JKW4" s="3407"/>
      <c r="JKX4" s="3407"/>
      <c r="JKY4" s="3407"/>
      <c r="JKZ4" s="3407"/>
      <c r="JLA4" s="3407"/>
      <c r="JLB4" s="3407"/>
      <c r="JLC4" s="3407"/>
      <c r="JLD4" s="3407"/>
      <c r="JLE4" s="3407"/>
      <c r="JLF4" s="3407"/>
      <c r="JLG4" s="3407"/>
      <c r="JLH4" s="3407"/>
      <c r="JLI4" s="3407"/>
      <c r="JLJ4" s="3407"/>
      <c r="JLK4" s="3407"/>
      <c r="JLL4" s="3407"/>
      <c r="JLM4" s="3407"/>
      <c r="JLN4" s="3407"/>
      <c r="JLO4" s="3407"/>
      <c r="JLP4" s="3407"/>
      <c r="JLQ4" s="3407"/>
      <c r="JLR4" s="3407"/>
      <c r="JLS4" s="3407"/>
      <c r="JLT4" s="3407"/>
      <c r="JLU4" s="3407"/>
      <c r="JLV4" s="3407"/>
      <c r="JLW4" s="3407"/>
      <c r="JLX4" s="3407"/>
      <c r="JLY4" s="3407"/>
      <c r="JLZ4" s="3407"/>
      <c r="JMA4" s="3407"/>
      <c r="JMB4" s="3407"/>
      <c r="JMC4" s="3407"/>
      <c r="JMD4" s="3407"/>
      <c r="JME4" s="3407"/>
      <c r="JMF4" s="3407"/>
      <c r="JMG4" s="3407"/>
      <c r="JMH4" s="3407"/>
      <c r="JMI4" s="3407"/>
      <c r="JMJ4" s="3407"/>
      <c r="JMK4" s="3407"/>
      <c r="JML4" s="3407"/>
      <c r="JMM4" s="3407"/>
      <c r="JMN4" s="3407"/>
      <c r="JMO4" s="3407"/>
      <c r="JMP4" s="3407"/>
      <c r="JMQ4" s="3407"/>
      <c r="JMR4" s="3407"/>
      <c r="JMS4" s="3407"/>
      <c r="JMT4" s="3407"/>
      <c r="JMU4" s="3407"/>
      <c r="JMV4" s="3407"/>
      <c r="JMW4" s="3407"/>
      <c r="JMX4" s="3407"/>
      <c r="JMY4" s="3407"/>
      <c r="JMZ4" s="3407"/>
      <c r="JNA4" s="3407"/>
      <c r="JNB4" s="3407"/>
      <c r="JNC4" s="3407"/>
      <c r="JND4" s="3407"/>
      <c r="JNE4" s="3407"/>
      <c r="JNF4" s="3407"/>
      <c r="JNG4" s="3407"/>
      <c r="JNH4" s="3407"/>
      <c r="JNI4" s="3407"/>
      <c r="JNJ4" s="3407"/>
      <c r="JNK4" s="3407"/>
      <c r="JNL4" s="3407"/>
      <c r="JNM4" s="3407"/>
      <c r="JNN4" s="3407"/>
      <c r="JNO4" s="3407"/>
      <c r="JNP4" s="3407"/>
      <c r="JNQ4" s="3407"/>
      <c r="JNR4" s="3407"/>
      <c r="JNS4" s="3407"/>
      <c r="JNT4" s="3407"/>
      <c r="JNU4" s="3407"/>
      <c r="JNV4" s="3407"/>
      <c r="JNW4" s="3407"/>
      <c r="JNX4" s="3407"/>
      <c r="JNY4" s="3407"/>
      <c r="JNZ4" s="3407"/>
      <c r="JOA4" s="3407"/>
      <c r="JOB4" s="3407"/>
      <c r="JOC4" s="3407"/>
      <c r="JOD4" s="3407"/>
      <c r="JOE4" s="3407"/>
      <c r="JOF4" s="3407"/>
      <c r="JOG4" s="3407"/>
      <c r="JOH4" s="3407"/>
      <c r="JOI4" s="3407"/>
      <c r="JOJ4" s="3407"/>
      <c r="JOK4" s="3407"/>
      <c r="JOL4" s="3407"/>
      <c r="JOM4" s="3407"/>
      <c r="JON4" s="3407"/>
      <c r="JOO4" s="3407"/>
      <c r="JOP4" s="3407"/>
      <c r="JOQ4" s="3407"/>
      <c r="JOR4" s="3407"/>
      <c r="JOS4" s="3407"/>
      <c r="JOT4" s="3407"/>
      <c r="JOU4" s="3407"/>
      <c r="JOV4" s="3407"/>
      <c r="JOW4" s="3407"/>
      <c r="JOX4" s="3407"/>
      <c r="JOY4" s="3407"/>
      <c r="JOZ4" s="3407"/>
      <c r="JPA4" s="3407"/>
      <c r="JPB4" s="3407"/>
      <c r="JPC4" s="3407"/>
      <c r="JPD4" s="3407"/>
      <c r="JPE4" s="3407"/>
      <c r="JPF4" s="3407"/>
      <c r="JPG4" s="3407"/>
      <c r="JPH4" s="3407"/>
      <c r="JPI4" s="3407"/>
      <c r="JPJ4" s="3407"/>
      <c r="JPK4" s="3407"/>
      <c r="JPL4" s="3407"/>
      <c r="JPM4" s="3407"/>
      <c r="JPN4" s="3407"/>
      <c r="JPO4" s="3407"/>
      <c r="JPP4" s="3407"/>
      <c r="JPQ4" s="3407"/>
      <c r="JPR4" s="3407"/>
      <c r="JPS4" s="3407"/>
      <c r="JPT4" s="3407"/>
      <c r="JPU4" s="3407"/>
      <c r="JPV4" s="3407"/>
      <c r="JPW4" s="3407"/>
      <c r="JPX4" s="3407"/>
      <c r="JPY4" s="3407"/>
      <c r="JPZ4" s="3407"/>
      <c r="JQA4" s="3407"/>
      <c r="JQB4" s="3407"/>
      <c r="JQC4" s="3407"/>
      <c r="JQD4" s="3407"/>
      <c r="JQE4" s="3407"/>
      <c r="JQF4" s="3407"/>
      <c r="JQG4" s="3407"/>
      <c r="JQH4" s="3407"/>
      <c r="JQI4" s="3407"/>
      <c r="JQJ4" s="3407"/>
      <c r="JQK4" s="3407"/>
      <c r="JQL4" s="3407"/>
      <c r="JQM4" s="3407"/>
      <c r="JQN4" s="3407"/>
      <c r="JQO4" s="3407"/>
      <c r="JQP4" s="3407"/>
      <c r="JQQ4" s="3407"/>
      <c r="JQR4" s="3407"/>
      <c r="JQS4" s="3407"/>
      <c r="JQT4" s="3407"/>
      <c r="JQU4" s="3407"/>
      <c r="JQV4" s="3407"/>
      <c r="JQW4" s="3407"/>
      <c r="JQX4" s="3407"/>
      <c r="JQY4" s="3407"/>
      <c r="JQZ4" s="3407"/>
      <c r="JRA4" s="3407"/>
      <c r="JRB4" s="3407"/>
      <c r="JRC4" s="3407"/>
      <c r="JRD4" s="3407"/>
      <c r="JRE4" s="3407"/>
      <c r="JRF4" s="3407"/>
      <c r="JRG4" s="3407"/>
      <c r="JRH4" s="3407"/>
      <c r="JRI4" s="3407"/>
      <c r="JRJ4" s="3407"/>
      <c r="JRK4" s="3407"/>
      <c r="JRL4" s="3407"/>
      <c r="JRM4" s="3407"/>
      <c r="JRN4" s="3407"/>
      <c r="JRO4" s="3407"/>
      <c r="JRP4" s="3407"/>
      <c r="JRQ4" s="3407"/>
      <c r="JRR4" s="3407"/>
      <c r="JRS4" s="3407"/>
      <c r="JRT4" s="3407"/>
      <c r="JRU4" s="3407"/>
      <c r="JRV4" s="3407"/>
      <c r="JRW4" s="3407"/>
      <c r="JRX4" s="3407"/>
      <c r="JRY4" s="3407"/>
      <c r="JRZ4" s="3407"/>
      <c r="JSA4" s="3407"/>
      <c r="JSB4" s="3407"/>
      <c r="JSC4" s="3407"/>
      <c r="JSD4" s="3407"/>
      <c r="JSE4" s="3407"/>
      <c r="JSF4" s="3407"/>
      <c r="JSG4" s="3407"/>
      <c r="JSH4" s="3407"/>
      <c r="JSI4" s="3407"/>
      <c r="JSJ4" s="3407"/>
      <c r="JSK4" s="3407"/>
      <c r="JSL4" s="3407"/>
      <c r="JSM4" s="3407"/>
      <c r="JSN4" s="3407"/>
      <c r="JSO4" s="3407"/>
      <c r="JSP4" s="3407"/>
      <c r="JSQ4" s="3407"/>
      <c r="JSR4" s="3407"/>
      <c r="JSS4" s="3407"/>
      <c r="JST4" s="3407"/>
      <c r="JSU4" s="3407"/>
      <c r="JSV4" s="3407"/>
      <c r="JSW4" s="3407"/>
      <c r="JSX4" s="3407"/>
      <c r="JSY4" s="3407"/>
      <c r="JSZ4" s="3407"/>
      <c r="JTA4" s="3407"/>
      <c r="JTB4" s="3407"/>
      <c r="JTC4" s="3407"/>
      <c r="JTD4" s="3407"/>
      <c r="JTE4" s="3407"/>
      <c r="JTF4" s="3407"/>
      <c r="JTG4" s="3407"/>
      <c r="JTH4" s="3407"/>
      <c r="JTI4" s="3407"/>
      <c r="JTJ4" s="3407"/>
      <c r="JTK4" s="3407"/>
      <c r="JTL4" s="3407"/>
      <c r="JTM4" s="3407"/>
      <c r="JTN4" s="3407"/>
      <c r="JTO4" s="3407"/>
      <c r="JTP4" s="3407"/>
      <c r="JTQ4" s="3407"/>
      <c r="JTR4" s="3407"/>
      <c r="JTS4" s="3407"/>
      <c r="JTT4" s="3407"/>
      <c r="JTU4" s="3407"/>
      <c r="JTV4" s="3407"/>
      <c r="JTW4" s="3407"/>
      <c r="JTX4" s="3407"/>
      <c r="JTY4" s="3407"/>
      <c r="JTZ4" s="3407"/>
      <c r="JUA4" s="3407"/>
      <c r="JUB4" s="3407"/>
      <c r="JUC4" s="3407"/>
      <c r="JUD4" s="3407"/>
      <c r="JUE4" s="3407"/>
      <c r="JUF4" s="3407"/>
      <c r="JUG4" s="3407"/>
      <c r="JUH4" s="3407"/>
      <c r="JUI4" s="3407"/>
      <c r="JUJ4" s="3407"/>
      <c r="JUK4" s="3407"/>
      <c r="JUL4" s="3407"/>
      <c r="JUM4" s="3407"/>
      <c r="JUN4" s="3407"/>
      <c r="JUO4" s="3407"/>
      <c r="JUP4" s="3407"/>
      <c r="JUQ4" s="3407"/>
      <c r="JUR4" s="3407"/>
      <c r="JUS4" s="3407"/>
      <c r="JUT4" s="3407"/>
      <c r="JUU4" s="3407"/>
      <c r="JUV4" s="3407"/>
      <c r="JUW4" s="3407"/>
      <c r="JUX4" s="3407"/>
      <c r="JUY4" s="3407"/>
      <c r="JUZ4" s="3407"/>
      <c r="JVA4" s="3407"/>
      <c r="JVB4" s="3407"/>
      <c r="JVC4" s="3407"/>
      <c r="JVD4" s="3407"/>
      <c r="JVE4" s="3407"/>
      <c r="JVF4" s="3407"/>
      <c r="JVG4" s="3407"/>
      <c r="JVH4" s="3407"/>
      <c r="JVI4" s="3407"/>
      <c r="JVJ4" s="3407"/>
      <c r="JVK4" s="3407"/>
      <c r="JVL4" s="3407"/>
      <c r="JVM4" s="3407"/>
      <c r="JVN4" s="3407"/>
      <c r="JVO4" s="3407"/>
      <c r="JVP4" s="3407"/>
      <c r="JVQ4" s="3407"/>
      <c r="JVR4" s="3407"/>
      <c r="JVS4" s="3407"/>
      <c r="JVT4" s="3407"/>
      <c r="JVU4" s="3407"/>
      <c r="JVV4" s="3407"/>
      <c r="JVW4" s="3407"/>
      <c r="JVX4" s="3407"/>
      <c r="JVY4" s="3407"/>
      <c r="JVZ4" s="3407"/>
      <c r="JWA4" s="3407"/>
      <c r="JWB4" s="3407"/>
      <c r="JWC4" s="3407"/>
      <c r="JWD4" s="3407"/>
      <c r="JWE4" s="3407"/>
      <c r="JWF4" s="3407"/>
      <c r="JWG4" s="3407"/>
      <c r="JWH4" s="3407"/>
      <c r="JWI4" s="3407"/>
      <c r="JWJ4" s="3407"/>
      <c r="JWK4" s="3407"/>
      <c r="JWL4" s="3407"/>
      <c r="JWM4" s="3407"/>
      <c r="JWN4" s="3407"/>
      <c r="JWO4" s="3407"/>
      <c r="JWP4" s="3407"/>
      <c r="JWQ4" s="3407"/>
      <c r="JWR4" s="3407"/>
      <c r="JWS4" s="3407"/>
      <c r="JWT4" s="3407"/>
      <c r="JWU4" s="3407"/>
      <c r="JWV4" s="3407"/>
      <c r="JWW4" s="3407"/>
      <c r="JWX4" s="3407"/>
      <c r="JWY4" s="3407"/>
      <c r="JWZ4" s="3407"/>
      <c r="JXA4" s="3407"/>
      <c r="JXB4" s="3407"/>
      <c r="JXC4" s="3407"/>
      <c r="JXD4" s="3407"/>
      <c r="JXE4" s="3407"/>
      <c r="JXF4" s="3407"/>
      <c r="JXG4" s="3407"/>
      <c r="JXH4" s="3407"/>
      <c r="JXI4" s="3407"/>
      <c r="JXJ4" s="3407"/>
      <c r="JXK4" s="3407"/>
      <c r="JXL4" s="3407"/>
      <c r="JXM4" s="3407"/>
      <c r="JXN4" s="3407"/>
      <c r="JXO4" s="3407"/>
      <c r="JXP4" s="3407"/>
      <c r="JXQ4" s="3407"/>
      <c r="JXR4" s="3407"/>
      <c r="JXS4" s="3407"/>
      <c r="JXT4" s="3407"/>
      <c r="JXU4" s="3407"/>
      <c r="JXV4" s="3407"/>
      <c r="JXW4" s="3407"/>
      <c r="JXX4" s="3407"/>
      <c r="JXY4" s="3407"/>
      <c r="JXZ4" s="3407"/>
      <c r="JYA4" s="3407"/>
      <c r="JYB4" s="3407"/>
      <c r="JYC4" s="3407"/>
      <c r="JYD4" s="3407"/>
      <c r="JYE4" s="3407"/>
      <c r="JYF4" s="3407"/>
      <c r="JYG4" s="3407"/>
      <c r="JYH4" s="3407"/>
      <c r="JYI4" s="3407"/>
      <c r="JYJ4" s="3407"/>
      <c r="JYK4" s="3407"/>
      <c r="JYL4" s="3407"/>
      <c r="JYM4" s="3407"/>
      <c r="JYN4" s="3407"/>
      <c r="JYO4" s="3407"/>
      <c r="JYP4" s="3407"/>
      <c r="JYQ4" s="3407"/>
      <c r="JYR4" s="3407"/>
      <c r="JYS4" s="3407"/>
      <c r="JYT4" s="3407"/>
      <c r="JYU4" s="3407"/>
      <c r="JYV4" s="3407"/>
      <c r="JYW4" s="3407"/>
      <c r="JYX4" s="3407"/>
      <c r="JYY4" s="3407"/>
      <c r="JYZ4" s="3407"/>
      <c r="JZA4" s="3407"/>
      <c r="JZB4" s="3407"/>
      <c r="JZC4" s="3407"/>
      <c r="JZD4" s="3407"/>
      <c r="JZE4" s="3407"/>
      <c r="JZF4" s="3407"/>
      <c r="JZG4" s="3407"/>
      <c r="JZH4" s="3407"/>
      <c r="JZI4" s="3407"/>
      <c r="JZJ4" s="3407"/>
      <c r="JZK4" s="3407"/>
      <c r="JZL4" s="3407"/>
      <c r="JZM4" s="3407"/>
      <c r="JZN4" s="3407"/>
      <c r="JZO4" s="3407"/>
      <c r="JZP4" s="3407"/>
      <c r="JZQ4" s="3407"/>
      <c r="JZR4" s="3407"/>
      <c r="JZS4" s="3407"/>
      <c r="JZT4" s="3407"/>
      <c r="JZU4" s="3407"/>
      <c r="JZV4" s="3407"/>
      <c r="JZW4" s="3407"/>
      <c r="JZX4" s="3407"/>
      <c r="JZY4" s="3407"/>
      <c r="JZZ4" s="3407"/>
      <c r="KAA4" s="3407"/>
      <c r="KAB4" s="3407"/>
      <c r="KAC4" s="3407"/>
      <c r="KAD4" s="3407"/>
      <c r="KAE4" s="3407"/>
      <c r="KAF4" s="3407"/>
      <c r="KAG4" s="3407"/>
      <c r="KAH4" s="3407"/>
      <c r="KAI4" s="3407"/>
      <c r="KAJ4" s="3407"/>
      <c r="KAK4" s="3407"/>
      <c r="KAL4" s="3407"/>
      <c r="KAM4" s="3407"/>
      <c r="KAN4" s="3407"/>
      <c r="KAO4" s="3407"/>
      <c r="KAP4" s="3407"/>
      <c r="KAQ4" s="3407"/>
      <c r="KAR4" s="3407"/>
      <c r="KAS4" s="3407"/>
      <c r="KAT4" s="3407"/>
      <c r="KAU4" s="3407"/>
      <c r="KAV4" s="3407"/>
      <c r="KAW4" s="3407"/>
      <c r="KAX4" s="3407"/>
      <c r="KAY4" s="3407"/>
      <c r="KAZ4" s="3407"/>
      <c r="KBA4" s="3407"/>
      <c r="KBB4" s="3407"/>
      <c r="KBC4" s="3407"/>
      <c r="KBD4" s="3407"/>
      <c r="KBE4" s="3407"/>
      <c r="KBF4" s="3407"/>
      <c r="KBG4" s="3407"/>
      <c r="KBH4" s="3407"/>
      <c r="KBI4" s="3407"/>
      <c r="KBJ4" s="3407"/>
      <c r="KBK4" s="3407"/>
      <c r="KBL4" s="3407"/>
      <c r="KBM4" s="3407"/>
      <c r="KBN4" s="3407"/>
      <c r="KBO4" s="3407"/>
      <c r="KBP4" s="3407"/>
      <c r="KBQ4" s="3407"/>
      <c r="KBR4" s="3407"/>
      <c r="KBS4" s="3407"/>
      <c r="KBT4" s="3407"/>
      <c r="KBU4" s="3407"/>
      <c r="KBV4" s="3407"/>
      <c r="KBW4" s="3407"/>
      <c r="KBX4" s="3407"/>
      <c r="KBY4" s="3407"/>
      <c r="KBZ4" s="3407"/>
      <c r="KCA4" s="3407"/>
      <c r="KCB4" s="3407"/>
      <c r="KCC4" s="3407"/>
      <c r="KCD4" s="3407"/>
      <c r="KCE4" s="3407"/>
      <c r="KCF4" s="3407"/>
      <c r="KCG4" s="3407"/>
      <c r="KCH4" s="3407"/>
      <c r="KCI4" s="3407"/>
      <c r="KCJ4" s="3407"/>
      <c r="KCK4" s="3407"/>
      <c r="KCL4" s="3407"/>
      <c r="KCM4" s="3407"/>
      <c r="KCN4" s="3407"/>
      <c r="KCO4" s="3407"/>
      <c r="KCP4" s="3407"/>
      <c r="KCQ4" s="3407"/>
      <c r="KCR4" s="3407"/>
      <c r="KCS4" s="3407"/>
      <c r="KCT4" s="3407"/>
      <c r="KCU4" s="3407"/>
      <c r="KCV4" s="3407"/>
      <c r="KCW4" s="3407"/>
      <c r="KCX4" s="3407"/>
      <c r="KCY4" s="3407"/>
      <c r="KCZ4" s="3407"/>
      <c r="KDA4" s="3407"/>
      <c r="KDB4" s="3407"/>
      <c r="KDC4" s="3407"/>
      <c r="KDD4" s="3407"/>
      <c r="KDE4" s="3407"/>
      <c r="KDF4" s="3407"/>
      <c r="KDG4" s="3407"/>
      <c r="KDH4" s="3407"/>
      <c r="KDI4" s="3407"/>
      <c r="KDJ4" s="3407"/>
      <c r="KDK4" s="3407"/>
      <c r="KDL4" s="3407"/>
      <c r="KDM4" s="3407"/>
      <c r="KDN4" s="3407"/>
      <c r="KDO4" s="3407"/>
      <c r="KDP4" s="3407"/>
      <c r="KDQ4" s="3407"/>
      <c r="KDR4" s="3407"/>
      <c r="KDS4" s="3407"/>
      <c r="KDT4" s="3407"/>
      <c r="KDU4" s="3407"/>
      <c r="KDV4" s="3407"/>
      <c r="KDW4" s="3407"/>
      <c r="KDX4" s="3407"/>
      <c r="KDY4" s="3407"/>
      <c r="KDZ4" s="3407"/>
      <c r="KEA4" s="3407"/>
      <c r="KEB4" s="3407"/>
      <c r="KEC4" s="3407"/>
      <c r="KED4" s="3407"/>
      <c r="KEE4" s="3407"/>
      <c r="KEF4" s="3407"/>
      <c r="KEG4" s="3407"/>
      <c r="KEH4" s="3407"/>
      <c r="KEI4" s="3407"/>
      <c r="KEJ4" s="3407"/>
      <c r="KEK4" s="3407"/>
      <c r="KEL4" s="3407"/>
      <c r="KEM4" s="3407"/>
      <c r="KEN4" s="3407"/>
      <c r="KEO4" s="3407"/>
      <c r="KEP4" s="3407"/>
      <c r="KEQ4" s="3407"/>
      <c r="KER4" s="3407"/>
      <c r="KES4" s="3407"/>
      <c r="KET4" s="3407"/>
      <c r="KEU4" s="3407"/>
      <c r="KEV4" s="3407"/>
      <c r="KEW4" s="3407"/>
      <c r="KEX4" s="3407"/>
      <c r="KEY4" s="3407"/>
      <c r="KEZ4" s="3407"/>
      <c r="KFA4" s="3407"/>
      <c r="KFB4" s="3407"/>
      <c r="KFC4" s="3407"/>
      <c r="KFD4" s="3407"/>
      <c r="KFE4" s="3407"/>
      <c r="KFF4" s="3407"/>
      <c r="KFG4" s="3407"/>
      <c r="KFH4" s="3407"/>
      <c r="KFI4" s="3407"/>
      <c r="KFJ4" s="3407"/>
      <c r="KFK4" s="3407"/>
      <c r="KFL4" s="3407"/>
      <c r="KFM4" s="3407"/>
      <c r="KFN4" s="3407"/>
      <c r="KFO4" s="3407"/>
      <c r="KFP4" s="3407"/>
      <c r="KFQ4" s="3407"/>
      <c r="KFR4" s="3407"/>
      <c r="KFS4" s="3407"/>
      <c r="KFT4" s="3407"/>
      <c r="KFU4" s="3407"/>
      <c r="KFV4" s="3407"/>
      <c r="KFW4" s="3407"/>
      <c r="KFX4" s="3407"/>
      <c r="KFY4" s="3407"/>
      <c r="KFZ4" s="3407"/>
      <c r="KGA4" s="3407"/>
      <c r="KGB4" s="3407"/>
      <c r="KGC4" s="3407"/>
      <c r="KGD4" s="3407"/>
      <c r="KGE4" s="3407"/>
      <c r="KGF4" s="3407"/>
      <c r="KGG4" s="3407"/>
      <c r="KGH4" s="3407"/>
      <c r="KGI4" s="3407"/>
      <c r="KGJ4" s="3407"/>
      <c r="KGK4" s="3407"/>
      <c r="KGL4" s="3407"/>
      <c r="KGM4" s="3407"/>
      <c r="KGN4" s="3407"/>
      <c r="KGO4" s="3407"/>
      <c r="KGP4" s="3407"/>
      <c r="KGQ4" s="3407"/>
      <c r="KGR4" s="3407"/>
      <c r="KGS4" s="3407"/>
      <c r="KGT4" s="3407"/>
      <c r="KGU4" s="3407"/>
      <c r="KGV4" s="3407"/>
      <c r="KGW4" s="3407"/>
      <c r="KGX4" s="3407"/>
      <c r="KGY4" s="3407"/>
      <c r="KGZ4" s="3407"/>
      <c r="KHA4" s="3407"/>
      <c r="KHB4" s="3407"/>
      <c r="KHC4" s="3407"/>
      <c r="KHD4" s="3407"/>
      <c r="KHE4" s="3407"/>
      <c r="KHF4" s="3407"/>
      <c r="KHG4" s="3407"/>
      <c r="KHH4" s="3407"/>
      <c r="KHI4" s="3407"/>
      <c r="KHJ4" s="3407"/>
      <c r="KHK4" s="3407"/>
      <c r="KHL4" s="3407"/>
      <c r="KHM4" s="3407"/>
      <c r="KHN4" s="3407"/>
      <c r="KHO4" s="3407"/>
      <c r="KHP4" s="3407"/>
      <c r="KHQ4" s="3407"/>
      <c r="KHR4" s="3407"/>
      <c r="KHS4" s="3407"/>
      <c r="KHT4" s="3407"/>
      <c r="KHU4" s="3407"/>
      <c r="KHV4" s="3407"/>
      <c r="KHW4" s="3407"/>
      <c r="KHX4" s="3407"/>
      <c r="KHY4" s="3407"/>
      <c r="KHZ4" s="3407"/>
      <c r="KIA4" s="3407"/>
      <c r="KIB4" s="3407"/>
      <c r="KIC4" s="3407"/>
      <c r="KID4" s="3407"/>
      <c r="KIE4" s="3407"/>
      <c r="KIF4" s="3407"/>
      <c r="KIG4" s="3407"/>
      <c r="KIH4" s="3407"/>
      <c r="KII4" s="3407"/>
      <c r="KIJ4" s="3407"/>
      <c r="KIK4" s="3407"/>
      <c r="KIL4" s="3407"/>
      <c r="KIM4" s="3407"/>
      <c r="KIN4" s="3407"/>
      <c r="KIO4" s="3407"/>
      <c r="KIP4" s="3407"/>
      <c r="KIQ4" s="3407"/>
      <c r="KIR4" s="3407"/>
      <c r="KIS4" s="3407"/>
      <c r="KIT4" s="3407"/>
      <c r="KIU4" s="3407"/>
      <c r="KIV4" s="3407"/>
      <c r="KIW4" s="3407"/>
      <c r="KIX4" s="3407"/>
      <c r="KIY4" s="3407"/>
      <c r="KIZ4" s="3407"/>
      <c r="KJA4" s="3407"/>
      <c r="KJB4" s="3407"/>
      <c r="KJC4" s="3407"/>
      <c r="KJD4" s="3407"/>
      <c r="KJE4" s="3407"/>
      <c r="KJF4" s="3407"/>
      <c r="KJG4" s="3407"/>
      <c r="KJH4" s="3407"/>
      <c r="KJI4" s="3407"/>
      <c r="KJJ4" s="3407"/>
      <c r="KJK4" s="3407"/>
      <c r="KJL4" s="3407"/>
      <c r="KJM4" s="3407"/>
      <c r="KJN4" s="3407"/>
      <c r="KJO4" s="3407"/>
      <c r="KJP4" s="3407"/>
      <c r="KJQ4" s="3407"/>
      <c r="KJR4" s="3407"/>
      <c r="KJS4" s="3407"/>
      <c r="KJT4" s="3407"/>
      <c r="KJU4" s="3407"/>
      <c r="KJV4" s="3407"/>
      <c r="KJW4" s="3407"/>
      <c r="KJX4" s="3407"/>
      <c r="KJY4" s="3407"/>
      <c r="KJZ4" s="3407"/>
      <c r="KKA4" s="3407"/>
      <c r="KKB4" s="3407"/>
      <c r="KKC4" s="3407"/>
      <c r="KKD4" s="3407"/>
      <c r="KKE4" s="3407"/>
      <c r="KKF4" s="3407"/>
      <c r="KKG4" s="3407"/>
      <c r="KKH4" s="3407"/>
      <c r="KKI4" s="3407"/>
      <c r="KKJ4" s="3407"/>
      <c r="KKK4" s="3407"/>
      <c r="KKL4" s="3407"/>
      <c r="KKM4" s="3407"/>
      <c r="KKN4" s="3407"/>
      <c r="KKO4" s="3407"/>
      <c r="KKP4" s="3407"/>
      <c r="KKQ4" s="3407"/>
      <c r="KKR4" s="3407"/>
      <c r="KKS4" s="3407"/>
      <c r="KKT4" s="3407"/>
      <c r="KKU4" s="3407"/>
      <c r="KKV4" s="3407"/>
      <c r="KKW4" s="3407"/>
      <c r="KKX4" s="3407"/>
      <c r="KKY4" s="3407"/>
      <c r="KKZ4" s="3407"/>
      <c r="KLA4" s="3407"/>
      <c r="KLB4" s="3407"/>
      <c r="KLC4" s="3407"/>
      <c r="KLD4" s="3407"/>
      <c r="KLE4" s="3407"/>
      <c r="KLF4" s="3407"/>
      <c r="KLG4" s="3407"/>
      <c r="KLH4" s="3407"/>
      <c r="KLI4" s="3407"/>
      <c r="KLJ4" s="3407"/>
      <c r="KLK4" s="3407"/>
      <c r="KLL4" s="3407"/>
      <c r="KLM4" s="3407"/>
      <c r="KLN4" s="3407"/>
      <c r="KLO4" s="3407"/>
      <c r="KLP4" s="3407"/>
      <c r="KLQ4" s="3407"/>
      <c r="KLR4" s="3407"/>
      <c r="KLS4" s="3407"/>
      <c r="KLT4" s="3407"/>
      <c r="KLU4" s="3407"/>
      <c r="KLV4" s="3407"/>
      <c r="KLW4" s="3407"/>
      <c r="KLX4" s="3407"/>
      <c r="KLY4" s="3407"/>
      <c r="KLZ4" s="3407"/>
      <c r="KMA4" s="3407"/>
      <c r="KMB4" s="3407"/>
      <c r="KMC4" s="3407"/>
      <c r="KMD4" s="3407"/>
      <c r="KME4" s="3407"/>
      <c r="KMF4" s="3407"/>
      <c r="KMG4" s="3407"/>
      <c r="KMH4" s="3407"/>
      <c r="KMI4" s="3407"/>
      <c r="KMJ4" s="3407"/>
      <c r="KMK4" s="3407"/>
      <c r="KML4" s="3407"/>
      <c r="KMM4" s="3407"/>
      <c r="KMN4" s="3407"/>
      <c r="KMO4" s="3407"/>
      <c r="KMP4" s="3407"/>
      <c r="KMQ4" s="3407"/>
      <c r="KMR4" s="3407"/>
      <c r="KMS4" s="3407"/>
      <c r="KMT4" s="3407"/>
      <c r="KMU4" s="3407"/>
      <c r="KMV4" s="3407"/>
      <c r="KMW4" s="3407"/>
      <c r="KMX4" s="3407"/>
      <c r="KMY4" s="3407"/>
      <c r="KMZ4" s="3407"/>
      <c r="KNA4" s="3407"/>
      <c r="KNB4" s="3407"/>
      <c r="KNC4" s="3407"/>
      <c r="KND4" s="3407"/>
      <c r="KNE4" s="3407"/>
      <c r="KNF4" s="3407"/>
      <c r="KNG4" s="3407"/>
      <c r="KNH4" s="3407"/>
      <c r="KNI4" s="3407"/>
      <c r="KNJ4" s="3407"/>
      <c r="KNK4" s="3407"/>
      <c r="KNL4" s="3407"/>
      <c r="KNM4" s="3407"/>
      <c r="KNN4" s="3407"/>
      <c r="KNO4" s="3407"/>
      <c r="KNP4" s="3407"/>
      <c r="KNQ4" s="3407"/>
      <c r="KNR4" s="3407"/>
      <c r="KNS4" s="3407"/>
      <c r="KNT4" s="3407"/>
      <c r="KNU4" s="3407"/>
      <c r="KNV4" s="3407"/>
      <c r="KNW4" s="3407"/>
      <c r="KNX4" s="3407"/>
      <c r="KNY4" s="3407"/>
      <c r="KNZ4" s="3407"/>
      <c r="KOA4" s="3407"/>
      <c r="KOB4" s="3407"/>
      <c r="KOC4" s="3407"/>
      <c r="KOD4" s="3407"/>
      <c r="KOE4" s="3407"/>
      <c r="KOF4" s="3407"/>
      <c r="KOG4" s="3407"/>
      <c r="KOH4" s="3407"/>
      <c r="KOI4" s="3407"/>
      <c r="KOJ4" s="3407"/>
      <c r="KOK4" s="3407"/>
      <c r="KOL4" s="3407"/>
      <c r="KOM4" s="3407"/>
      <c r="KON4" s="3407"/>
      <c r="KOO4" s="3407"/>
      <c r="KOP4" s="3407"/>
      <c r="KOQ4" s="3407"/>
      <c r="KOR4" s="3407"/>
      <c r="KOS4" s="3407"/>
      <c r="KOT4" s="3407"/>
      <c r="KOU4" s="3407"/>
      <c r="KOV4" s="3407"/>
      <c r="KOW4" s="3407"/>
      <c r="KOX4" s="3407"/>
      <c r="KOY4" s="3407"/>
      <c r="KOZ4" s="3407"/>
      <c r="KPA4" s="3407"/>
      <c r="KPB4" s="3407"/>
      <c r="KPC4" s="3407"/>
      <c r="KPD4" s="3407"/>
      <c r="KPE4" s="3407"/>
      <c r="KPF4" s="3407"/>
      <c r="KPG4" s="3407"/>
      <c r="KPH4" s="3407"/>
      <c r="KPI4" s="3407"/>
      <c r="KPJ4" s="3407"/>
      <c r="KPK4" s="3407"/>
      <c r="KPL4" s="3407"/>
      <c r="KPM4" s="3407"/>
      <c r="KPN4" s="3407"/>
      <c r="KPO4" s="3407"/>
      <c r="KPP4" s="3407"/>
      <c r="KPQ4" s="3407"/>
      <c r="KPR4" s="3407"/>
      <c r="KPS4" s="3407"/>
      <c r="KPT4" s="3407"/>
      <c r="KPU4" s="3407"/>
      <c r="KPV4" s="3407"/>
      <c r="KPW4" s="3407"/>
      <c r="KPX4" s="3407"/>
      <c r="KPY4" s="3407"/>
      <c r="KPZ4" s="3407"/>
      <c r="KQA4" s="3407"/>
      <c r="KQB4" s="3407"/>
      <c r="KQC4" s="3407"/>
      <c r="KQD4" s="3407"/>
      <c r="KQE4" s="3407"/>
      <c r="KQF4" s="3407"/>
      <c r="KQG4" s="3407"/>
      <c r="KQH4" s="3407"/>
      <c r="KQI4" s="3407"/>
      <c r="KQJ4" s="3407"/>
      <c r="KQK4" s="3407"/>
      <c r="KQL4" s="3407"/>
      <c r="KQM4" s="3407"/>
      <c r="KQN4" s="3407"/>
      <c r="KQO4" s="3407"/>
      <c r="KQP4" s="3407"/>
      <c r="KQQ4" s="3407"/>
      <c r="KQR4" s="3407"/>
      <c r="KQS4" s="3407"/>
      <c r="KQT4" s="3407"/>
      <c r="KQU4" s="3407"/>
      <c r="KQV4" s="3407"/>
      <c r="KQW4" s="3407"/>
      <c r="KQX4" s="3407"/>
      <c r="KQY4" s="3407"/>
      <c r="KQZ4" s="3407"/>
      <c r="KRA4" s="3407"/>
      <c r="KRB4" s="3407"/>
      <c r="KRC4" s="3407"/>
      <c r="KRD4" s="3407"/>
      <c r="KRE4" s="3407"/>
      <c r="KRF4" s="3407"/>
      <c r="KRG4" s="3407"/>
      <c r="KRH4" s="3407"/>
      <c r="KRI4" s="3407"/>
      <c r="KRJ4" s="3407"/>
      <c r="KRK4" s="3407"/>
      <c r="KRL4" s="3407"/>
      <c r="KRM4" s="3407"/>
      <c r="KRN4" s="3407"/>
      <c r="KRO4" s="3407"/>
      <c r="KRP4" s="3407"/>
      <c r="KRQ4" s="3407"/>
      <c r="KRR4" s="3407"/>
      <c r="KRS4" s="3407"/>
      <c r="KRT4" s="3407"/>
      <c r="KRU4" s="3407"/>
      <c r="KRV4" s="3407"/>
      <c r="KRW4" s="3407"/>
      <c r="KRX4" s="3407"/>
      <c r="KRY4" s="3407"/>
      <c r="KRZ4" s="3407"/>
      <c r="KSA4" s="3407"/>
      <c r="KSB4" s="3407"/>
      <c r="KSC4" s="3407"/>
      <c r="KSD4" s="3407"/>
      <c r="KSE4" s="3407"/>
      <c r="KSF4" s="3407"/>
      <c r="KSG4" s="3407"/>
      <c r="KSH4" s="3407"/>
      <c r="KSI4" s="3407"/>
      <c r="KSJ4" s="3407"/>
      <c r="KSK4" s="3407"/>
      <c r="KSL4" s="3407"/>
      <c r="KSM4" s="3407"/>
      <c r="KSN4" s="3407"/>
      <c r="KSO4" s="3407"/>
      <c r="KSP4" s="3407"/>
      <c r="KSQ4" s="3407"/>
      <c r="KSR4" s="3407"/>
      <c r="KSS4" s="3407"/>
      <c r="KST4" s="3407"/>
      <c r="KSU4" s="3407"/>
      <c r="KSV4" s="3407"/>
      <c r="KSW4" s="3407"/>
      <c r="KSX4" s="3407"/>
      <c r="KSY4" s="3407"/>
      <c r="KSZ4" s="3407"/>
      <c r="KTA4" s="3407"/>
      <c r="KTB4" s="3407"/>
      <c r="KTC4" s="3407"/>
      <c r="KTD4" s="3407"/>
      <c r="KTE4" s="3407"/>
      <c r="KTF4" s="3407"/>
      <c r="KTG4" s="3407"/>
      <c r="KTH4" s="3407"/>
      <c r="KTI4" s="3407"/>
      <c r="KTJ4" s="3407"/>
      <c r="KTK4" s="3407"/>
      <c r="KTL4" s="3407"/>
      <c r="KTM4" s="3407"/>
      <c r="KTN4" s="3407"/>
      <c r="KTO4" s="3407"/>
      <c r="KTP4" s="3407"/>
      <c r="KTQ4" s="3407"/>
      <c r="KTR4" s="3407"/>
      <c r="KTS4" s="3407"/>
      <c r="KTT4" s="3407"/>
      <c r="KTU4" s="3407"/>
      <c r="KTV4" s="3407"/>
      <c r="KTW4" s="3407"/>
      <c r="KTX4" s="3407"/>
      <c r="KTY4" s="3407"/>
      <c r="KTZ4" s="3407"/>
      <c r="KUA4" s="3407"/>
      <c r="KUB4" s="3407"/>
      <c r="KUC4" s="3407"/>
      <c r="KUD4" s="3407"/>
      <c r="KUE4" s="3407"/>
      <c r="KUF4" s="3407"/>
      <c r="KUG4" s="3407"/>
      <c r="KUH4" s="3407"/>
      <c r="KUI4" s="3407"/>
      <c r="KUJ4" s="3407"/>
      <c r="KUK4" s="3407"/>
      <c r="KUL4" s="3407"/>
      <c r="KUM4" s="3407"/>
      <c r="KUN4" s="3407"/>
      <c r="KUO4" s="3407"/>
      <c r="KUP4" s="3407"/>
      <c r="KUQ4" s="3407"/>
      <c r="KUR4" s="3407"/>
      <c r="KUS4" s="3407"/>
      <c r="KUT4" s="3407"/>
      <c r="KUU4" s="3407"/>
      <c r="KUV4" s="3407"/>
      <c r="KUW4" s="3407"/>
      <c r="KUX4" s="3407"/>
      <c r="KUY4" s="3407"/>
      <c r="KUZ4" s="3407"/>
      <c r="KVA4" s="3407"/>
      <c r="KVB4" s="3407"/>
      <c r="KVC4" s="3407"/>
      <c r="KVD4" s="3407"/>
      <c r="KVE4" s="3407"/>
      <c r="KVF4" s="3407"/>
      <c r="KVG4" s="3407"/>
      <c r="KVH4" s="3407"/>
      <c r="KVI4" s="3407"/>
      <c r="KVJ4" s="3407"/>
      <c r="KVK4" s="3407"/>
      <c r="KVL4" s="3407"/>
      <c r="KVM4" s="3407"/>
      <c r="KVN4" s="3407"/>
      <c r="KVO4" s="3407"/>
      <c r="KVP4" s="3407"/>
      <c r="KVQ4" s="3407"/>
      <c r="KVR4" s="3407"/>
      <c r="KVS4" s="3407"/>
      <c r="KVT4" s="3407"/>
      <c r="KVU4" s="3407"/>
      <c r="KVV4" s="3407"/>
      <c r="KVW4" s="3407"/>
      <c r="KVX4" s="3407"/>
      <c r="KVY4" s="3407"/>
      <c r="KVZ4" s="3407"/>
      <c r="KWA4" s="3407"/>
      <c r="KWB4" s="3407"/>
      <c r="KWC4" s="3407"/>
      <c r="KWD4" s="3407"/>
      <c r="KWE4" s="3407"/>
      <c r="KWF4" s="3407"/>
      <c r="KWG4" s="3407"/>
      <c r="KWH4" s="3407"/>
      <c r="KWI4" s="3407"/>
      <c r="KWJ4" s="3407"/>
      <c r="KWK4" s="3407"/>
      <c r="KWL4" s="3407"/>
      <c r="KWM4" s="3407"/>
      <c r="KWN4" s="3407"/>
      <c r="KWO4" s="3407"/>
      <c r="KWP4" s="3407"/>
      <c r="KWQ4" s="3407"/>
      <c r="KWR4" s="3407"/>
      <c r="KWS4" s="3407"/>
      <c r="KWT4" s="3407"/>
      <c r="KWU4" s="3407"/>
      <c r="KWV4" s="3407"/>
      <c r="KWW4" s="3407"/>
      <c r="KWX4" s="3407"/>
      <c r="KWY4" s="3407"/>
      <c r="KWZ4" s="3407"/>
      <c r="KXA4" s="3407"/>
      <c r="KXB4" s="3407"/>
      <c r="KXC4" s="3407"/>
      <c r="KXD4" s="3407"/>
      <c r="KXE4" s="3407"/>
      <c r="KXF4" s="3407"/>
      <c r="KXG4" s="3407"/>
      <c r="KXH4" s="3407"/>
      <c r="KXI4" s="3407"/>
      <c r="KXJ4" s="3407"/>
      <c r="KXK4" s="3407"/>
      <c r="KXL4" s="3407"/>
      <c r="KXM4" s="3407"/>
      <c r="KXN4" s="3407"/>
      <c r="KXO4" s="3407"/>
      <c r="KXP4" s="3407"/>
      <c r="KXQ4" s="3407"/>
      <c r="KXR4" s="3407"/>
      <c r="KXS4" s="3407"/>
      <c r="KXT4" s="3407"/>
      <c r="KXU4" s="3407"/>
      <c r="KXV4" s="3407"/>
      <c r="KXW4" s="3407"/>
      <c r="KXX4" s="3407"/>
      <c r="KXY4" s="3407"/>
      <c r="KXZ4" s="3407"/>
      <c r="KYA4" s="3407"/>
      <c r="KYB4" s="3407"/>
      <c r="KYC4" s="3407"/>
      <c r="KYD4" s="3407"/>
      <c r="KYE4" s="3407"/>
      <c r="KYF4" s="3407"/>
      <c r="KYG4" s="3407"/>
      <c r="KYH4" s="3407"/>
      <c r="KYI4" s="3407"/>
      <c r="KYJ4" s="3407"/>
      <c r="KYK4" s="3407"/>
      <c r="KYL4" s="3407"/>
      <c r="KYM4" s="3407"/>
      <c r="KYN4" s="3407"/>
      <c r="KYO4" s="3407"/>
      <c r="KYP4" s="3407"/>
      <c r="KYQ4" s="3407"/>
      <c r="KYR4" s="3407"/>
      <c r="KYS4" s="3407"/>
      <c r="KYT4" s="3407"/>
      <c r="KYU4" s="3407"/>
      <c r="KYV4" s="3407"/>
      <c r="KYW4" s="3407"/>
      <c r="KYX4" s="3407"/>
      <c r="KYY4" s="3407"/>
      <c r="KYZ4" s="3407"/>
      <c r="KZA4" s="3407"/>
      <c r="KZB4" s="3407"/>
      <c r="KZC4" s="3407"/>
      <c r="KZD4" s="3407"/>
      <c r="KZE4" s="3407"/>
      <c r="KZF4" s="3407"/>
      <c r="KZG4" s="3407"/>
      <c r="KZH4" s="3407"/>
      <c r="KZI4" s="3407"/>
      <c r="KZJ4" s="3407"/>
      <c r="KZK4" s="3407"/>
      <c r="KZL4" s="3407"/>
      <c r="KZM4" s="3407"/>
      <c r="KZN4" s="3407"/>
      <c r="KZO4" s="3407"/>
      <c r="KZP4" s="3407"/>
      <c r="KZQ4" s="3407"/>
      <c r="KZR4" s="3407"/>
      <c r="KZS4" s="3407"/>
      <c r="KZT4" s="3407"/>
      <c r="KZU4" s="3407"/>
      <c r="KZV4" s="3407"/>
      <c r="KZW4" s="3407"/>
      <c r="KZX4" s="3407"/>
      <c r="KZY4" s="3407"/>
      <c r="KZZ4" s="3407"/>
      <c r="LAA4" s="3407"/>
      <c r="LAB4" s="3407"/>
      <c r="LAC4" s="3407"/>
      <c r="LAD4" s="3407"/>
      <c r="LAE4" s="3407"/>
      <c r="LAF4" s="3407"/>
      <c r="LAG4" s="3407"/>
      <c r="LAH4" s="3407"/>
      <c r="LAI4" s="3407"/>
      <c r="LAJ4" s="3407"/>
      <c r="LAK4" s="3407"/>
      <c r="LAL4" s="3407"/>
      <c r="LAM4" s="3407"/>
      <c r="LAN4" s="3407"/>
      <c r="LAO4" s="3407"/>
      <c r="LAP4" s="3407"/>
      <c r="LAQ4" s="3407"/>
      <c r="LAR4" s="3407"/>
      <c r="LAS4" s="3407"/>
      <c r="LAT4" s="3407"/>
      <c r="LAU4" s="3407"/>
      <c r="LAV4" s="3407"/>
      <c r="LAW4" s="3407"/>
      <c r="LAX4" s="3407"/>
      <c r="LAY4" s="3407"/>
      <c r="LAZ4" s="3407"/>
      <c r="LBA4" s="3407"/>
      <c r="LBB4" s="3407"/>
      <c r="LBC4" s="3407"/>
      <c r="LBD4" s="3407"/>
      <c r="LBE4" s="3407"/>
      <c r="LBF4" s="3407"/>
      <c r="LBG4" s="3407"/>
      <c r="LBH4" s="3407"/>
      <c r="LBI4" s="3407"/>
      <c r="LBJ4" s="3407"/>
      <c r="LBK4" s="3407"/>
      <c r="LBL4" s="3407"/>
      <c r="LBM4" s="3407"/>
      <c r="LBN4" s="3407"/>
      <c r="LBO4" s="3407"/>
      <c r="LBP4" s="3407"/>
      <c r="LBQ4" s="3407"/>
      <c r="LBR4" s="3407"/>
      <c r="LBS4" s="3407"/>
      <c r="LBT4" s="3407"/>
      <c r="LBU4" s="3407"/>
      <c r="LBV4" s="3407"/>
      <c r="LBW4" s="3407"/>
      <c r="LBX4" s="3407"/>
      <c r="LBY4" s="3407"/>
      <c r="LBZ4" s="3407"/>
      <c r="LCA4" s="3407"/>
      <c r="LCB4" s="3407"/>
      <c r="LCC4" s="3407"/>
      <c r="LCD4" s="3407"/>
      <c r="LCE4" s="3407"/>
      <c r="LCF4" s="3407"/>
      <c r="LCG4" s="3407"/>
      <c r="LCH4" s="3407"/>
      <c r="LCI4" s="3407"/>
      <c r="LCJ4" s="3407"/>
      <c r="LCK4" s="3407"/>
      <c r="LCL4" s="3407"/>
      <c r="LCM4" s="3407"/>
      <c r="LCN4" s="3407"/>
      <c r="LCO4" s="3407"/>
      <c r="LCP4" s="3407"/>
      <c r="LCQ4" s="3407"/>
      <c r="LCR4" s="3407"/>
      <c r="LCS4" s="3407"/>
      <c r="LCT4" s="3407"/>
      <c r="LCU4" s="3407"/>
      <c r="LCV4" s="3407"/>
      <c r="LCW4" s="3407"/>
      <c r="LCX4" s="3407"/>
      <c r="LCY4" s="3407"/>
      <c r="LCZ4" s="3407"/>
      <c r="LDA4" s="3407"/>
      <c r="LDB4" s="3407"/>
      <c r="LDC4" s="3407"/>
      <c r="LDD4" s="3407"/>
      <c r="LDE4" s="3407"/>
      <c r="LDF4" s="3407"/>
      <c r="LDG4" s="3407"/>
      <c r="LDH4" s="3407"/>
      <c r="LDI4" s="3407"/>
      <c r="LDJ4" s="3407"/>
      <c r="LDK4" s="3407"/>
      <c r="LDL4" s="3407"/>
      <c r="LDM4" s="3407"/>
      <c r="LDN4" s="3407"/>
      <c r="LDO4" s="3407"/>
      <c r="LDP4" s="3407"/>
      <c r="LDQ4" s="3407"/>
      <c r="LDR4" s="3407"/>
      <c r="LDS4" s="3407"/>
      <c r="LDT4" s="3407"/>
      <c r="LDU4" s="3407"/>
      <c r="LDV4" s="3407"/>
      <c r="LDW4" s="3407"/>
      <c r="LDX4" s="3407"/>
      <c r="LDY4" s="3407"/>
      <c r="LDZ4" s="3407"/>
      <c r="LEA4" s="3407"/>
      <c r="LEB4" s="3407"/>
      <c r="LEC4" s="3407"/>
      <c r="LED4" s="3407"/>
      <c r="LEE4" s="3407"/>
      <c r="LEF4" s="3407"/>
      <c r="LEG4" s="3407"/>
      <c r="LEH4" s="3407"/>
      <c r="LEI4" s="3407"/>
      <c r="LEJ4" s="3407"/>
      <c r="LEK4" s="3407"/>
      <c r="LEL4" s="3407"/>
      <c r="LEM4" s="3407"/>
      <c r="LEN4" s="3407"/>
      <c r="LEO4" s="3407"/>
      <c r="LEP4" s="3407"/>
      <c r="LEQ4" s="3407"/>
      <c r="LER4" s="3407"/>
      <c r="LES4" s="3407"/>
      <c r="LET4" s="3407"/>
      <c r="LEU4" s="3407"/>
      <c r="LEV4" s="3407"/>
      <c r="LEW4" s="3407"/>
      <c r="LEX4" s="3407"/>
      <c r="LEY4" s="3407"/>
      <c r="LEZ4" s="3407"/>
      <c r="LFA4" s="3407"/>
      <c r="LFB4" s="3407"/>
      <c r="LFC4" s="3407"/>
      <c r="LFD4" s="3407"/>
      <c r="LFE4" s="3407"/>
      <c r="LFF4" s="3407"/>
      <c r="LFG4" s="3407"/>
      <c r="LFH4" s="3407"/>
      <c r="LFI4" s="3407"/>
      <c r="LFJ4" s="3407"/>
      <c r="LFK4" s="3407"/>
      <c r="LFL4" s="3407"/>
      <c r="LFM4" s="3407"/>
      <c r="LFN4" s="3407"/>
      <c r="LFO4" s="3407"/>
      <c r="LFP4" s="3407"/>
      <c r="LFQ4" s="3407"/>
      <c r="LFR4" s="3407"/>
      <c r="LFS4" s="3407"/>
      <c r="LFT4" s="3407"/>
      <c r="LFU4" s="3407"/>
      <c r="LFV4" s="3407"/>
      <c r="LFW4" s="3407"/>
      <c r="LFX4" s="3407"/>
      <c r="LFY4" s="3407"/>
      <c r="LFZ4" s="3407"/>
      <c r="LGA4" s="3407"/>
      <c r="LGB4" s="3407"/>
      <c r="LGC4" s="3407"/>
      <c r="LGD4" s="3407"/>
      <c r="LGE4" s="3407"/>
      <c r="LGF4" s="3407"/>
      <c r="LGG4" s="3407"/>
      <c r="LGH4" s="3407"/>
      <c r="LGI4" s="3407"/>
      <c r="LGJ4" s="3407"/>
      <c r="LGK4" s="3407"/>
      <c r="LGL4" s="3407"/>
      <c r="LGM4" s="3407"/>
      <c r="LGN4" s="3407"/>
      <c r="LGO4" s="3407"/>
      <c r="LGP4" s="3407"/>
      <c r="LGQ4" s="3407"/>
      <c r="LGR4" s="3407"/>
      <c r="LGS4" s="3407"/>
      <c r="LGT4" s="3407"/>
      <c r="LGU4" s="3407"/>
      <c r="LGV4" s="3407"/>
      <c r="LGW4" s="3407"/>
      <c r="LGX4" s="3407"/>
      <c r="LGY4" s="3407"/>
      <c r="LGZ4" s="3407"/>
      <c r="LHA4" s="3407"/>
      <c r="LHB4" s="3407"/>
      <c r="LHC4" s="3407"/>
      <c r="LHD4" s="3407"/>
      <c r="LHE4" s="3407"/>
      <c r="LHF4" s="3407"/>
      <c r="LHG4" s="3407"/>
      <c r="LHH4" s="3407"/>
      <c r="LHI4" s="3407"/>
      <c r="LHJ4" s="3407"/>
      <c r="LHK4" s="3407"/>
      <c r="LHL4" s="3407"/>
      <c r="LHM4" s="3407"/>
      <c r="LHN4" s="3407"/>
      <c r="LHO4" s="3407"/>
      <c r="LHP4" s="3407"/>
      <c r="LHQ4" s="3407"/>
      <c r="LHR4" s="3407"/>
      <c r="LHS4" s="3407"/>
      <c r="LHT4" s="3407"/>
      <c r="LHU4" s="3407"/>
      <c r="LHV4" s="3407"/>
      <c r="LHW4" s="3407"/>
      <c r="LHX4" s="3407"/>
      <c r="LHY4" s="3407"/>
      <c r="LHZ4" s="3407"/>
      <c r="LIA4" s="3407"/>
      <c r="LIB4" s="3407"/>
      <c r="LIC4" s="3407"/>
      <c r="LID4" s="3407"/>
      <c r="LIE4" s="3407"/>
      <c r="LIF4" s="3407"/>
      <c r="LIG4" s="3407"/>
      <c r="LIH4" s="3407"/>
      <c r="LII4" s="3407"/>
      <c r="LIJ4" s="3407"/>
      <c r="LIK4" s="3407"/>
      <c r="LIL4" s="3407"/>
      <c r="LIM4" s="3407"/>
      <c r="LIN4" s="3407"/>
      <c r="LIO4" s="3407"/>
      <c r="LIP4" s="3407"/>
      <c r="LIQ4" s="3407"/>
      <c r="LIR4" s="3407"/>
      <c r="LIS4" s="3407"/>
      <c r="LIT4" s="3407"/>
      <c r="LIU4" s="3407"/>
      <c r="LIV4" s="3407"/>
      <c r="LIW4" s="3407"/>
      <c r="LIX4" s="3407"/>
      <c r="LIY4" s="3407"/>
      <c r="LIZ4" s="3407"/>
      <c r="LJA4" s="3407"/>
      <c r="LJB4" s="3407"/>
      <c r="LJC4" s="3407"/>
      <c r="LJD4" s="3407"/>
      <c r="LJE4" s="3407"/>
      <c r="LJF4" s="3407"/>
      <c r="LJG4" s="3407"/>
      <c r="LJH4" s="3407"/>
      <c r="LJI4" s="3407"/>
      <c r="LJJ4" s="3407"/>
      <c r="LJK4" s="3407"/>
      <c r="LJL4" s="3407"/>
      <c r="LJM4" s="3407"/>
      <c r="LJN4" s="3407"/>
      <c r="LJO4" s="3407"/>
      <c r="LJP4" s="3407"/>
      <c r="LJQ4" s="3407"/>
      <c r="LJR4" s="3407"/>
      <c r="LJS4" s="3407"/>
      <c r="LJT4" s="3407"/>
      <c r="LJU4" s="3407"/>
      <c r="LJV4" s="3407"/>
      <c r="LJW4" s="3407"/>
      <c r="LJX4" s="3407"/>
      <c r="LJY4" s="3407"/>
      <c r="LJZ4" s="3407"/>
      <c r="LKA4" s="3407"/>
      <c r="LKB4" s="3407"/>
      <c r="LKC4" s="3407"/>
      <c r="LKD4" s="3407"/>
      <c r="LKE4" s="3407"/>
      <c r="LKF4" s="3407"/>
      <c r="LKG4" s="3407"/>
      <c r="LKH4" s="3407"/>
      <c r="LKI4" s="3407"/>
      <c r="LKJ4" s="3407"/>
      <c r="LKK4" s="3407"/>
      <c r="LKL4" s="3407"/>
      <c r="LKM4" s="3407"/>
      <c r="LKN4" s="3407"/>
      <c r="LKO4" s="3407"/>
      <c r="LKP4" s="3407"/>
      <c r="LKQ4" s="3407"/>
      <c r="LKR4" s="3407"/>
      <c r="LKS4" s="3407"/>
      <c r="LKT4" s="3407"/>
      <c r="LKU4" s="3407"/>
      <c r="LKV4" s="3407"/>
      <c r="LKW4" s="3407"/>
      <c r="LKX4" s="3407"/>
      <c r="LKY4" s="3407"/>
      <c r="LKZ4" s="3407"/>
      <c r="LLA4" s="3407"/>
      <c r="LLB4" s="3407"/>
      <c r="LLC4" s="3407"/>
      <c r="LLD4" s="3407"/>
      <c r="LLE4" s="3407"/>
      <c r="LLF4" s="3407"/>
      <c r="LLG4" s="3407"/>
      <c r="LLH4" s="3407"/>
      <c r="LLI4" s="3407"/>
      <c r="LLJ4" s="3407"/>
      <c r="LLK4" s="3407"/>
      <c r="LLL4" s="3407"/>
      <c r="LLM4" s="3407"/>
      <c r="LLN4" s="3407"/>
      <c r="LLO4" s="3407"/>
      <c r="LLP4" s="3407"/>
      <c r="LLQ4" s="3407"/>
      <c r="LLR4" s="3407"/>
      <c r="LLS4" s="3407"/>
      <c r="LLT4" s="3407"/>
      <c r="LLU4" s="3407"/>
      <c r="LLV4" s="3407"/>
      <c r="LLW4" s="3407"/>
      <c r="LLX4" s="3407"/>
      <c r="LLY4" s="3407"/>
      <c r="LLZ4" s="3407"/>
      <c r="LMA4" s="3407"/>
      <c r="LMB4" s="3407"/>
      <c r="LMC4" s="3407"/>
      <c r="LMD4" s="3407"/>
      <c r="LME4" s="3407"/>
      <c r="LMF4" s="3407"/>
      <c r="LMG4" s="3407"/>
      <c r="LMH4" s="3407"/>
      <c r="LMI4" s="3407"/>
      <c r="LMJ4" s="3407"/>
      <c r="LMK4" s="3407"/>
      <c r="LML4" s="3407"/>
      <c r="LMM4" s="3407"/>
      <c r="LMN4" s="3407"/>
      <c r="LMO4" s="3407"/>
      <c r="LMP4" s="3407"/>
      <c r="LMQ4" s="3407"/>
      <c r="LMR4" s="3407"/>
      <c r="LMS4" s="3407"/>
      <c r="LMT4" s="3407"/>
      <c r="LMU4" s="3407"/>
      <c r="LMV4" s="3407"/>
      <c r="LMW4" s="3407"/>
      <c r="LMX4" s="3407"/>
      <c r="LMY4" s="3407"/>
      <c r="LMZ4" s="3407"/>
      <c r="LNA4" s="3407"/>
      <c r="LNB4" s="3407"/>
      <c r="LNC4" s="3407"/>
      <c r="LND4" s="3407"/>
      <c r="LNE4" s="3407"/>
      <c r="LNF4" s="3407"/>
      <c r="LNG4" s="3407"/>
      <c r="LNH4" s="3407"/>
      <c r="LNI4" s="3407"/>
      <c r="LNJ4" s="3407"/>
      <c r="LNK4" s="3407"/>
      <c r="LNL4" s="3407"/>
      <c r="LNM4" s="3407"/>
      <c r="LNN4" s="3407"/>
      <c r="LNO4" s="3407"/>
      <c r="LNP4" s="3407"/>
      <c r="LNQ4" s="3407"/>
      <c r="LNR4" s="3407"/>
      <c r="LNS4" s="3407"/>
      <c r="LNT4" s="3407"/>
      <c r="LNU4" s="3407"/>
      <c r="LNV4" s="3407"/>
      <c r="LNW4" s="3407"/>
      <c r="LNX4" s="3407"/>
      <c r="LNY4" s="3407"/>
      <c r="LNZ4" s="3407"/>
      <c r="LOA4" s="3407"/>
      <c r="LOB4" s="3407"/>
      <c r="LOC4" s="3407"/>
      <c r="LOD4" s="3407"/>
      <c r="LOE4" s="3407"/>
      <c r="LOF4" s="3407"/>
      <c r="LOG4" s="3407"/>
      <c r="LOH4" s="3407"/>
      <c r="LOI4" s="3407"/>
      <c r="LOJ4" s="3407"/>
      <c r="LOK4" s="3407"/>
      <c r="LOL4" s="3407"/>
      <c r="LOM4" s="3407"/>
      <c r="LON4" s="3407"/>
      <c r="LOO4" s="3407"/>
      <c r="LOP4" s="3407"/>
      <c r="LOQ4" s="3407"/>
      <c r="LOR4" s="3407"/>
      <c r="LOS4" s="3407"/>
      <c r="LOT4" s="3407"/>
      <c r="LOU4" s="3407"/>
      <c r="LOV4" s="3407"/>
      <c r="LOW4" s="3407"/>
      <c r="LOX4" s="3407"/>
      <c r="LOY4" s="3407"/>
      <c r="LOZ4" s="3407"/>
      <c r="LPA4" s="3407"/>
      <c r="LPB4" s="3407"/>
      <c r="LPC4" s="3407"/>
      <c r="LPD4" s="3407"/>
      <c r="LPE4" s="3407"/>
      <c r="LPF4" s="3407"/>
      <c r="LPG4" s="3407"/>
      <c r="LPH4" s="3407"/>
      <c r="LPI4" s="3407"/>
      <c r="LPJ4" s="3407"/>
      <c r="LPK4" s="3407"/>
      <c r="LPL4" s="3407"/>
      <c r="LPM4" s="3407"/>
      <c r="LPN4" s="3407"/>
      <c r="LPO4" s="3407"/>
      <c r="LPP4" s="3407"/>
      <c r="LPQ4" s="3407"/>
      <c r="LPR4" s="3407"/>
      <c r="LPS4" s="3407"/>
      <c r="LPT4" s="3407"/>
      <c r="LPU4" s="3407"/>
      <c r="LPV4" s="3407"/>
      <c r="LPW4" s="3407"/>
      <c r="LPX4" s="3407"/>
      <c r="LPY4" s="3407"/>
      <c r="LPZ4" s="3407"/>
      <c r="LQA4" s="3407"/>
      <c r="LQB4" s="3407"/>
      <c r="LQC4" s="3407"/>
      <c r="LQD4" s="3407"/>
      <c r="LQE4" s="3407"/>
      <c r="LQF4" s="3407"/>
      <c r="LQG4" s="3407"/>
      <c r="LQH4" s="3407"/>
      <c r="LQI4" s="3407"/>
      <c r="LQJ4" s="3407"/>
      <c r="LQK4" s="3407"/>
      <c r="LQL4" s="3407"/>
      <c r="LQM4" s="3407"/>
      <c r="LQN4" s="3407"/>
      <c r="LQO4" s="3407"/>
      <c r="LQP4" s="3407"/>
      <c r="LQQ4" s="3407"/>
      <c r="LQR4" s="3407"/>
      <c r="LQS4" s="3407"/>
      <c r="LQT4" s="3407"/>
      <c r="LQU4" s="3407"/>
      <c r="LQV4" s="3407"/>
      <c r="LQW4" s="3407"/>
      <c r="LQX4" s="3407"/>
      <c r="LQY4" s="3407"/>
      <c r="LQZ4" s="3407"/>
      <c r="LRA4" s="3407"/>
      <c r="LRB4" s="3407"/>
      <c r="LRC4" s="3407"/>
      <c r="LRD4" s="3407"/>
      <c r="LRE4" s="3407"/>
      <c r="LRF4" s="3407"/>
      <c r="LRG4" s="3407"/>
      <c r="LRH4" s="3407"/>
      <c r="LRI4" s="3407"/>
      <c r="LRJ4" s="3407"/>
      <c r="LRK4" s="3407"/>
      <c r="LRL4" s="3407"/>
      <c r="LRM4" s="3407"/>
      <c r="LRN4" s="3407"/>
      <c r="LRO4" s="3407"/>
      <c r="LRP4" s="3407"/>
      <c r="LRQ4" s="3407"/>
      <c r="LRR4" s="3407"/>
      <c r="LRS4" s="3407"/>
      <c r="LRT4" s="3407"/>
      <c r="LRU4" s="3407"/>
      <c r="LRV4" s="3407"/>
      <c r="LRW4" s="3407"/>
      <c r="LRX4" s="3407"/>
      <c r="LRY4" s="3407"/>
      <c r="LRZ4" s="3407"/>
      <c r="LSA4" s="3407"/>
      <c r="LSB4" s="3407"/>
      <c r="LSC4" s="3407"/>
      <c r="LSD4" s="3407"/>
      <c r="LSE4" s="3407"/>
      <c r="LSF4" s="3407"/>
      <c r="LSG4" s="3407"/>
      <c r="LSH4" s="3407"/>
      <c r="LSI4" s="3407"/>
      <c r="LSJ4" s="3407"/>
      <c r="LSK4" s="3407"/>
      <c r="LSL4" s="3407"/>
      <c r="LSM4" s="3407"/>
      <c r="LSN4" s="3407"/>
      <c r="LSO4" s="3407"/>
      <c r="LSP4" s="3407"/>
      <c r="LSQ4" s="3407"/>
      <c r="LSR4" s="3407"/>
      <c r="LSS4" s="3407"/>
      <c r="LST4" s="3407"/>
      <c r="LSU4" s="3407"/>
      <c r="LSV4" s="3407"/>
      <c r="LSW4" s="3407"/>
      <c r="LSX4" s="3407"/>
      <c r="LSY4" s="3407"/>
      <c r="LSZ4" s="3407"/>
      <c r="LTA4" s="3407"/>
      <c r="LTB4" s="3407"/>
      <c r="LTC4" s="3407"/>
      <c r="LTD4" s="3407"/>
      <c r="LTE4" s="3407"/>
      <c r="LTF4" s="3407"/>
      <c r="LTG4" s="3407"/>
      <c r="LTH4" s="3407"/>
      <c r="LTI4" s="3407"/>
      <c r="LTJ4" s="3407"/>
      <c r="LTK4" s="3407"/>
      <c r="LTL4" s="3407"/>
      <c r="LTM4" s="3407"/>
      <c r="LTN4" s="3407"/>
      <c r="LTO4" s="3407"/>
      <c r="LTP4" s="3407"/>
      <c r="LTQ4" s="3407"/>
      <c r="LTR4" s="3407"/>
      <c r="LTS4" s="3407"/>
      <c r="LTT4" s="3407"/>
      <c r="LTU4" s="3407"/>
      <c r="LTV4" s="3407"/>
      <c r="LTW4" s="3407"/>
      <c r="LTX4" s="3407"/>
      <c r="LTY4" s="3407"/>
      <c r="LTZ4" s="3407"/>
      <c r="LUA4" s="3407"/>
      <c r="LUB4" s="3407"/>
      <c r="LUC4" s="3407"/>
      <c r="LUD4" s="3407"/>
      <c r="LUE4" s="3407"/>
      <c r="LUF4" s="3407"/>
      <c r="LUG4" s="3407"/>
      <c r="LUH4" s="3407"/>
      <c r="LUI4" s="3407"/>
      <c r="LUJ4" s="3407"/>
      <c r="LUK4" s="3407"/>
      <c r="LUL4" s="3407"/>
      <c r="LUM4" s="3407"/>
      <c r="LUN4" s="3407"/>
      <c r="LUO4" s="3407"/>
      <c r="LUP4" s="3407"/>
      <c r="LUQ4" s="3407"/>
      <c r="LUR4" s="3407"/>
      <c r="LUS4" s="3407"/>
      <c r="LUT4" s="3407"/>
      <c r="LUU4" s="3407"/>
      <c r="LUV4" s="3407"/>
      <c r="LUW4" s="3407"/>
      <c r="LUX4" s="3407"/>
      <c r="LUY4" s="3407"/>
      <c r="LUZ4" s="3407"/>
      <c r="LVA4" s="3407"/>
      <c r="LVB4" s="3407"/>
      <c r="LVC4" s="3407"/>
      <c r="LVD4" s="3407"/>
      <c r="LVE4" s="3407"/>
      <c r="LVF4" s="3407"/>
      <c r="LVG4" s="3407"/>
      <c r="LVH4" s="3407"/>
      <c r="LVI4" s="3407"/>
      <c r="LVJ4" s="3407"/>
      <c r="LVK4" s="3407"/>
      <c r="LVL4" s="3407"/>
      <c r="LVM4" s="3407"/>
      <c r="LVN4" s="3407"/>
      <c r="LVO4" s="3407"/>
      <c r="LVP4" s="3407"/>
      <c r="LVQ4" s="3407"/>
      <c r="LVR4" s="3407"/>
      <c r="LVS4" s="3407"/>
      <c r="LVT4" s="3407"/>
      <c r="LVU4" s="3407"/>
      <c r="LVV4" s="3407"/>
      <c r="LVW4" s="3407"/>
      <c r="LVX4" s="3407"/>
      <c r="LVY4" s="3407"/>
      <c r="LVZ4" s="3407"/>
      <c r="LWA4" s="3407"/>
      <c r="LWB4" s="3407"/>
      <c r="LWC4" s="3407"/>
      <c r="LWD4" s="3407"/>
      <c r="LWE4" s="3407"/>
      <c r="LWF4" s="3407"/>
      <c r="LWG4" s="3407"/>
      <c r="LWH4" s="3407"/>
      <c r="LWI4" s="3407"/>
      <c r="LWJ4" s="3407"/>
      <c r="LWK4" s="3407"/>
      <c r="LWL4" s="3407"/>
      <c r="LWM4" s="3407"/>
      <c r="LWN4" s="3407"/>
      <c r="LWO4" s="3407"/>
      <c r="LWP4" s="3407"/>
      <c r="LWQ4" s="3407"/>
      <c r="LWR4" s="3407"/>
      <c r="LWS4" s="3407"/>
      <c r="LWT4" s="3407"/>
      <c r="LWU4" s="3407"/>
      <c r="LWV4" s="3407"/>
      <c r="LWW4" s="3407"/>
      <c r="LWX4" s="3407"/>
      <c r="LWY4" s="3407"/>
      <c r="LWZ4" s="3407"/>
      <c r="LXA4" s="3407"/>
      <c r="LXB4" s="3407"/>
      <c r="LXC4" s="3407"/>
      <c r="LXD4" s="3407"/>
      <c r="LXE4" s="3407"/>
      <c r="LXF4" s="3407"/>
      <c r="LXG4" s="3407"/>
      <c r="LXH4" s="3407"/>
      <c r="LXI4" s="3407"/>
      <c r="LXJ4" s="3407"/>
      <c r="LXK4" s="3407"/>
      <c r="LXL4" s="3407"/>
      <c r="LXM4" s="3407"/>
      <c r="LXN4" s="3407"/>
      <c r="LXO4" s="3407"/>
      <c r="LXP4" s="3407"/>
      <c r="LXQ4" s="3407"/>
      <c r="LXR4" s="3407"/>
      <c r="LXS4" s="3407"/>
      <c r="LXT4" s="3407"/>
      <c r="LXU4" s="3407"/>
      <c r="LXV4" s="3407"/>
      <c r="LXW4" s="3407"/>
      <c r="LXX4" s="3407"/>
      <c r="LXY4" s="3407"/>
      <c r="LXZ4" s="3407"/>
      <c r="LYA4" s="3407"/>
      <c r="LYB4" s="3407"/>
      <c r="LYC4" s="3407"/>
      <c r="LYD4" s="3407"/>
      <c r="LYE4" s="3407"/>
      <c r="LYF4" s="3407"/>
      <c r="LYG4" s="3407"/>
      <c r="LYH4" s="3407"/>
      <c r="LYI4" s="3407"/>
      <c r="LYJ4" s="3407"/>
      <c r="LYK4" s="3407"/>
      <c r="LYL4" s="3407"/>
      <c r="LYM4" s="3407"/>
      <c r="LYN4" s="3407"/>
      <c r="LYO4" s="3407"/>
      <c r="LYP4" s="3407"/>
      <c r="LYQ4" s="3407"/>
      <c r="LYR4" s="3407"/>
      <c r="LYS4" s="3407"/>
      <c r="LYT4" s="3407"/>
      <c r="LYU4" s="3407"/>
      <c r="LYV4" s="3407"/>
      <c r="LYW4" s="3407"/>
      <c r="LYX4" s="3407"/>
      <c r="LYY4" s="3407"/>
      <c r="LYZ4" s="3407"/>
      <c r="LZA4" s="3407"/>
      <c r="LZB4" s="3407"/>
      <c r="LZC4" s="3407"/>
      <c r="LZD4" s="3407"/>
      <c r="LZE4" s="3407"/>
      <c r="LZF4" s="3407"/>
      <c r="LZG4" s="3407"/>
      <c r="LZH4" s="3407"/>
      <c r="LZI4" s="3407"/>
      <c r="LZJ4" s="3407"/>
      <c r="LZK4" s="3407"/>
      <c r="LZL4" s="3407"/>
      <c r="LZM4" s="3407"/>
      <c r="LZN4" s="3407"/>
      <c r="LZO4" s="3407"/>
      <c r="LZP4" s="3407"/>
      <c r="LZQ4" s="3407"/>
      <c r="LZR4" s="3407"/>
      <c r="LZS4" s="3407"/>
      <c r="LZT4" s="3407"/>
      <c r="LZU4" s="3407"/>
      <c r="LZV4" s="3407"/>
      <c r="LZW4" s="3407"/>
      <c r="LZX4" s="3407"/>
      <c r="LZY4" s="3407"/>
      <c r="LZZ4" s="3407"/>
      <c r="MAA4" s="3407"/>
      <c r="MAB4" s="3407"/>
      <c r="MAC4" s="3407"/>
      <c r="MAD4" s="3407"/>
      <c r="MAE4" s="3407"/>
      <c r="MAF4" s="3407"/>
      <c r="MAG4" s="3407"/>
      <c r="MAH4" s="3407"/>
      <c r="MAI4" s="3407"/>
      <c r="MAJ4" s="3407"/>
      <c r="MAK4" s="3407"/>
      <c r="MAL4" s="3407"/>
      <c r="MAM4" s="3407"/>
      <c r="MAN4" s="3407"/>
      <c r="MAO4" s="3407"/>
      <c r="MAP4" s="3407"/>
      <c r="MAQ4" s="3407"/>
      <c r="MAR4" s="3407"/>
      <c r="MAS4" s="3407"/>
      <c r="MAT4" s="3407"/>
      <c r="MAU4" s="3407"/>
      <c r="MAV4" s="3407"/>
      <c r="MAW4" s="3407"/>
      <c r="MAX4" s="3407"/>
      <c r="MAY4" s="3407"/>
      <c r="MAZ4" s="3407"/>
      <c r="MBA4" s="3407"/>
      <c r="MBB4" s="3407"/>
      <c r="MBC4" s="3407"/>
      <c r="MBD4" s="3407"/>
      <c r="MBE4" s="3407"/>
      <c r="MBF4" s="3407"/>
      <c r="MBG4" s="3407"/>
      <c r="MBH4" s="3407"/>
      <c r="MBI4" s="3407"/>
      <c r="MBJ4" s="3407"/>
      <c r="MBK4" s="3407"/>
      <c r="MBL4" s="3407"/>
      <c r="MBM4" s="3407"/>
      <c r="MBN4" s="3407"/>
      <c r="MBO4" s="3407"/>
      <c r="MBP4" s="3407"/>
      <c r="MBQ4" s="3407"/>
      <c r="MBR4" s="3407"/>
      <c r="MBS4" s="3407"/>
      <c r="MBT4" s="3407"/>
      <c r="MBU4" s="3407"/>
      <c r="MBV4" s="3407"/>
      <c r="MBW4" s="3407"/>
      <c r="MBX4" s="3407"/>
      <c r="MBY4" s="3407"/>
      <c r="MBZ4" s="3407"/>
      <c r="MCA4" s="3407"/>
      <c r="MCB4" s="3407"/>
      <c r="MCC4" s="3407"/>
      <c r="MCD4" s="3407"/>
      <c r="MCE4" s="3407"/>
      <c r="MCF4" s="3407"/>
      <c r="MCG4" s="3407"/>
      <c r="MCH4" s="3407"/>
      <c r="MCI4" s="3407"/>
      <c r="MCJ4" s="3407"/>
      <c r="MCK4" s="3407"/>
      <c r="MCL4" s="3407"/>
      <c r="MCM4" s="3407"/>
      <c r="MCN4" s="3407"/>
      <c r="MCO4" s="3407"/>
      <c r="MCP4" s="3407"/>
      <c r="MCQ4" s="3407"/>
      <c r="MCR4" s="3407"/>
      <c r="MCS4" s="3407"/>
      <c r="MCT4" s="3407"/>
      <c r="MCU4" s="3407"/>
      <c r="MCV4" s="3407"/>
      <c r="MCW4" s="3407"/>
      <c r="MCX4" s="3407"/>
      <c r="MCY4" s="3407"/>
      <c r="MCZ4" s="3407"/>
      <c r="MDA4" s="3407"/>
      <c r="MDB4" s="3407"/>
      <c r="MDC4" s="3407"/>
      <c r="MDD4" s="3407"/>
      <c r="MDE4" s="3407"/>
      <c r="MDF4" s="3407"/>
      <c r="MDG4" s="3407"/>
      <c r="MDH4" s="3407"/>
      <c r="MDI4" s="3407"/>
      <c r="MDJ4" s="3407"/>
      <c r="MDK4" s="3407"/>
      <c r="MDL4" s="3407"/>
      <c r="MDM4" s="3407"/>
      <c r="MDN4" s="3407"/>
      <c r="MDO4" s="3407"/>
      <c r="MDP4" s="3407"/>
      <c r="MDQ4" s="3407"/>
      <c r="MDR4" s="3407"/>
      <c r="MDS4" s="3407"/>
      <c r="MDT4" s="3407"/>
      <c r="MDU4" s="3407"/>
      <c r="MDV4" s="3407"/>
      <c r="MDW4" s="3407"/>
      <c r="MDX4" s="3407"/>
      <c r="MDY4" s="3407"/>
      <c r="MDZ4" s="3407"/>
      <c r="MEA4" s="3407"/>
      <c r="MEB4" s="3407"/>
      <c r="MEC4" s="3407"/>
      <c r="MED4" s="3407"/>
      <c r="MEE4" s="3407"/>
      <c r="MEF4" s="3407"/>
      <c r="MEG4" s="3407"/>
      <c r="MEH4" s="3407"/>
      <c r="MEI4" s="3407"/>
      <c r="MEJ4" s="3407"/>
      <c r="MEK4" s="3407"/>
      <c r="MEL4" s="3407"/>
      <c r="MEM4" s="3407"/>
      <c r="MEN4" s="3407"/>
      <c r="MEO4" s="3407"/>
      <c r="MEP4" s="3407"/>
      <c r="MEQ4" s="3407"/>
      <c r="MER4" s="3407"/>
      <c r="MES4" s="3407"/>
      <c r="MET4" s="3407"/>
      <c r="MEU4" s="3407"/>
      <c r="MEV4" s="3407"/>
      <c r="MEW4" s="3407"/>
      <c r="MEX4" s="3407"/>
      <c r="MEY4" s="3407"/>
      <c r="MEZ4" s="3407"/>
      <c r="MFA4" s="3407"/>
      <c r="MFB4" s="3407"/>
      <c r="MFC4" s="3407"/>
      <c r="MFD4" s="3407"/>
      <c r="MFE4" s="3407"/>
      <c r="MFF4" s="3407"/>
      <c r="MFG4" s="3407"/>
      <c r="MFH4" s="3407"/>
      <c r="MFI4" s="3407"/>
      <c r="MFJ4" s="3407"/>
      <c r="MFK4" s="3407"/>
      <c r="MFL4" s="3407"/>
      <c r="MFM4" s="3407"/>
      <c r="MFN4" s="3407"/>
      <c r="MFO4" s="3407"/>
      <c r="MFP4" s="3407"/>
      <c r="MFQ4" s="3407"/>
      <c r="MFR4" s="3407"/>
      <c r="MFS4" s="3407"/>
      <c r="MFT4" s="3407"/>
      <c r="MFU4" s="3407"/>
      <c r="MFV4" s="3407"/>
      <c r="MFW4" s="3407"/>
      <c r="MFX4" s="3407"/>
      <c r="MFY4" s="3407"/>
      <c r="MFZ4" s="3407"/>
      <c r="MGA4" s="3407"/>
      <c r="MGB4" s="3407"/>
      <c r="MGC4" s="3407"/>
      <c r="MGD4" s="3407"/>
      <c r="MGE4" s="3407"/>
      <c r="MGF4" s="3407"/>
      <c r="MGG4" s="3407"/>
      <c r="MGH4" s="3407"/>
      <c r="MGI4" s="3407"/>
      <c r="MGJ4" s="3407"/>
      <c r="MGK4" s="3407"/>
      <c r="MGL4" s="3407"/>
      <c r="MGM4" s="3407"/>
      <c r="MGN4" s="3407"/>
      <c r="MGO4" s="3407"/>
      <c r="MGP4" s="3407"/>
      <c r="MGQ4" s="3407"/>
      <c r="MGR4" s="3407"/>
      <c r="MGS4" s="3407"/>
      <c r="MGT4" s="3407"/>
      <c r="MGU4" s="3407"/>
      <c r="MGV4" s="3407"/>
      <c r="MGW4" s="3407"/>
      <c r="MGX4" s="3407"/>
      <c r="MGY4" s="3407"/>
      <c r="MGZ4" s="3407"/>
      <c r="MHA4" s="3407"/>
      <c r="MHB4" s="3407"/>
      <c r="MHC4" s="3407"/>
      <c r="MHD4" s="3407"/>
      <c r="MHE4" s="3407"/>
      <c r="MHF4" s="3407"/>
      <c r="MHG4" s="3407"/>
      <c r="MHH4" s="3407"/>
      <c r="MHI4" s="3407"/>
      <c r="MHJ4" s="3407"/>
      <c r="MHK4" s="3407"/>
      <c r="MHL4" s="3407"/>
      <c r="MHM4" s="3407"/>
      <c r="MHN4" s="3407"/>
      <c r="MHO4" s="3407"/>
      <c r="MHP4" s="3407"/>
      <c r="MHQ4" s="3407"/>
      <c r="MHR4" s="3407"/>
      <c r="MHS4" s="3407"/>
      <c r="MHT4" s="3407"/>
      <c r="MHU4" s="3407"/>
      <c r="MHV4" s="3407"/>
      <c r="MHW4" s="3407"/>
      <c r="MHX4" s="3407"/>
      <c r="MHY4" s="3407"/>
      <c r="MHZ4" s="3407"/>
      <c r="MIA4" s="3407"/>
      <c r="MIB4" s="3407"/>
      <c r="MIC4" s="3407"/>
      <c r="MID4" s="3407"/>
      <c r="MIE4" s="3407"/>
      <c r="MIF4" s="3407"/>
      <c r="MIG4" s="3407"/>
      <c r="MIH4" s="3407"/>
      <c r="MII4" s="3407"/>
      <c r="MIJ4" s="3407"/>
      <c r="MIK4" s="3407"/>
      <c r="MIL4" s="3407"/>
      <c r="MIM4" s="3407"/>
      <c r="MIN4" s="3407"/>
      <c r="MIO4" s="3407"/>
      <c r="MIP4" s="3407"/>
      <c r="MIQ4" s="3407"/>
      <c r="MIR4" s="3407"/>
      <c r="MIS4" s="3407"/>
      <c r="MIT4" s="3407"/>
      <c r="MIU4" s="3407"/>
      <c r="MIV4" s="3407"/>
      <c r="MIW4" s="3407"/>
      <c r="MIX4" s="3407"/>
      <c r="MIY4" s="3407"/>
      <c r="MIZ4" s="3407"/>
      <c r="MJA4" s="3407"/>
      <c r="MJB4" s="3407"/>
      <c r="MJC4" s="3407"/>
      <c r="MJD4" s="3407"/>
      <c r="MJE4" s="3407"/>
      <c r="MJF4" s="3407"/>
      <c r="MJG4" s="3407"/>
      <c r="MJH4" s="3407"/>
      <c r="MJI4" s="3407"/>
      <c r="MJJ4" s="3407"/>
      <c r="MJK4" s="3407"/>
      <c r="MJL4" s="3407"/>
      <c r="MJM4" s="3407"/>
      <c r="MJN4" s="3407"/>
      <c r="MJO4" s="3407"/>
      <c r="MJP4" s="3407"/>
      <c r="MJQ4" s="3407"/>
      <c r="MJR4" s="3407"/>
      <c r="MJS4" s="3407"/>
      <c r="MJT4" s="3407"/>
      <c r="MJU4" s="3407"/>
      <c r="MJV4" s="3407"/>
      <c r="MJW4" s="3407"/>
      <c r="MJX4" s="3407"/>
      <c r="MJY4" s="3407"/>
      <c r="MJZ4" s="3407"/>
      <c r="MKA4" s="3407"/>
      <c r="MKB4" s="3407"/>
      <c r="MKC4" s="3407"/>
      <c r="MKD4" s="3407"/>
      <c r="MKE4" s="3407"/>
      <c r="MKF4" s="3407"/>
      <c r="MKG4" s="3407"/>
      <c r="MKH4" s="3407"/>
      <c r="MKI4" s="3407"/>
      <c r="MKJ4" s="3407"/>
      <c r="MKK4" s="3407"/>
      <c r="MKL4" s="3407"/>
      <c r="MKM4" s="3407"/>
      <c r="MKN4" s="3407"/>
      <c r="MKO4" s="3407"/>
      <c r="MKP4" s="3407"/>
      <c r="MKQ4" s="3407"/>
      <c r="MKR4" s="3407"/>
      <c r="MKS4" s="3407"/>
      <c r="MKT4" s="3407"/>
      <c r="MKU4" s="3407"/>
      <c r="MKV4" s="3407"/>
      <c r="MKW4" s="3407"/>
      <c r="MKX4" s="3407"/>
      <c r="MKY4" s="3407"/>
      <c r="MKZ4" s="3407"/>
      <c r="MLA4" s="3407"/>
      <c r="MLB4" s="3407"/>
      <c r="MLC4" s="3407"/>
      <c r="MLD4" s="3407"/>
      <c r="MLE4" s="3407"/>
      <c r="MLF4" s="3407"/>
      <c r="MLG4" s="3407"/>
      <c r="MLH4" s="3407"/>
      <c r="MLI4" s="3407"/>
      <c r="MLJ4" s="3407"/>
      <c r="MLK4" s="3407"/>
      <c r="MLL4" s="3407"/>
      <c r="MLM4" s="3407"/>
      <c r="MLN4" s="3407"/>
      <c r="MLO4" s="3407"/>
      <c r="MLP4" s="3407"/>
      <c r="MLQ4" s="3407"/>
      <c r="MLR4" s="3407"/>
      <c r="MLS4" s="3407"/>
      <c r="MLT4" s="3407"/>
      <c r="MLU4" s="3407"/>
      <c r="MLV4" s="3407"/>
      <c r="MLW4" s="3407"/>
      <c r="MLX4" s="3407"/>
      <c r="MLY4" s="3407"/>
      <c r="MLZ4" s="3407"/>
      <c r="MMA4" s="3407"/>
      <c r="MMB4" s="3407"/>
      <c r="MMC4" s="3407"/>
      <c r="MMD4" s="3407"/>
      <c r="MME4" s="3407"/>
      <c r="MMF4" s="3407"/>
      <c r="MMG4" s="3407"/>
      <c r="MMH4" s="3407"/>
      <c r="MMI4" s="3407"/>
      <c r="MMJ4" s="3407"/>
      <c r="MMK4" s="3407"/>
      <c r="MML4" s="3407"/>
      <c r="MMM4" s="3407"/>
      <c r="MMN4" s="3407"/>
      <c r="MMO4" s="3407"/>
      <c r="MMP4" s="3407"/>
      <c r="MMQ4" s="3407"/>
      <c r="MMR4" s="3407"/>
      <c r="MMS4" s="3407"/>
      <c r="MMT4" s="3407"/>
      <c r="MMU4" s="3407"/>
      <c r="MMV4" s="3407"/>
      <c r="MMW4" s="3407"/>
      <c r="MMX4" s="3407"/>
      <c r="MMY4" s="3407"/>
      <c r="MMZ4" s="3407"/>
      <c r="MNA4" s="3407"/>
      <c r="MNB4" s="3407"/>
      <c r="MNC4" s="3407"/>
      <c r="MND4" s="3407"/>
      <c r="MNE4" s="3407"/>
      <c r="MNF4" s="3407"/>
      <c r="MNG4" s="3407"/>
      <c r="MNH4" s="3407"/>
      <c r="MNI4" s="3407"/>
      <c r="MNJ4" s="3407"/>
      <c r="MNK4" s="3407"/>
      <c r="MNL4" s="3407"/>
      <c r="MNM4" s="3407"/>
      <c r="MNN4" s="3407"/>
      <c r="MNO4" s="3407"/>
      <c r="MNP4" s="3407"/>
      <c r="MNQ4" s="3407"/>
      <c r="MNR4" s="3407"/>
      <c r="MNS4" s="3407"/>
      <c r="MNT4" s="3407"/>
      <c r="MNU4" s="3407"/>
      <c r="MNV4" s="3407"/>
      <c r="MNW4" s="3407"/>
      <c r="MNX4" s="3407"/>
      <c r="MNY4" s="3407"/>
      <c r="MNZ4" s="3407"/>
      <c r="MOA4" s="3407"/>
      <c r="MOB4" s="3407"/>
      <c r="MOC4" s="3407"/>
      <c r="MOD4" s="3407"/>
      <c r="MOE4" s="3407"/>
      <c r="MOF4" s="3407"/>
      <c r="MOG4" s="3407"/>
      <c r="MOH4" s="3407"/>
      <c r="MOI4" s="3407"/>
      <c r="MOJ4" s="3407"/>
      <c r="MOK4" s="3407"/>
      <c r="MOL4" s="3407"/>
      <c r="MOM4" s="3407"/>
      <c r="MON4" s="3407"/>
      <c r="MOO4" s="3407"/>
      <c r="MOP4" s="3407"/>
      <c r="MOQ4" s="3407"/>
      <c r="MOR4" s="3407"/>
      <c r="MOS4" s="3407"/>
      <c r="MOT4" s="3407"/>
      <c r="MOU4" s="3407"/>
      <c r="MOV4" s="3407"/>
      <c r="MOW4" s="3407"/>
      <c r="MOX4" s="3407"/>
      <c r="MOY4" s="3407"/>
      <c r="MOZ4" s="3407"/>
      <c r="MPA4" s="3407"/>
      <c r="MPB4" s="3407"/>
      <c r="MPC4" s="3407"/>
      <c r="MPD4" s="3407"/>
      <c r="MPE4" s="3407"/>
      <c r="MPF4" s="3407"/>
      <c r="MPG4" s="3407"/>
      <c r="MPH4" s="3407"/>
      <c r="MPI4" s="3407"/>
      <c r="MPJ4" s="3407"/>
      <c r="MPK4" s="3407"/>
      <c r="MPL4" s="3407"/>
      <c r="MPM4" s="3407"/>
      <c r="MPN4" s="3407"/>
      <c r="MPO4" s="3407"/>
      <c r="MPP4" s="3407"/>
      <c r="MPQ4" s="3407"/>
      <c r="MPR4" s="3407"/>
      <c r="MPS4" s="3407"/>
      <c r="MPT4" s="3407"/>
      <c r="MPU4" s="3407"/>
      <c r="MPV4" s="3407"/>
      <c r="MPW4" s="3407"/>
      <c r="MPX4" s="3407"/>
      <c r="MPY4" s="3407"/>
      <c r="MPZ4" s="3407"/>
      <c r="MQA4" s="3407"/>
      <c r="MQB4" s="3407"/>
      <c r="MQC4" s="3407"/>
      <c r="MQD4" s="3407"/>
      <c r="MQE4" s="3407"/>
      <c r="MQF4" s="3407"/>
      <c r="MQG4" s="3407"/>
      <c r="MQH4" s="3407"/>
      <c r="MQI4" s="3407"/>
      <c r="MQJ4" s="3407"/>
      <c r="MQK4" s="3407"/>
      <c r="MQL4" s="3407"/>
      <c r="MQM4" s="3407"/>
      <c r="MQN4" s="3407"/>
      <c r="MQO4" s="3407"/>
      <c r="MQP4" s="3407"/>
      <c r="MQQ4" s="3407"/>
      <c r="MQR4" s="3407"/>
      <c r="MQS4" s="3407"/>
      <c r="MQT4" s="3407"/>
      <c r="MQU4" s="3407"/>
      <c r="MQV4" s="3407"/>
      <c r="MQW4" s="3407"/>
      <c r="MQX4" s="3407"/>
      <c r="MQY4" s="3407"/>
      <c r="MQZ4" s="3407"/>
      <c r="MRA4" s="3407"/>
      <c r="MRB4" s="3407"/>
      <c r="MRC4" s="3407"/>
      <c r="MRD4" s="3407"/>
      <c r="MRE4" s="3407"/>
      <c r="MRF4" s="3407"/>
      <c r="MRG4" s="3407"/>
      <c r="MRH4" s="3407"/>
      <c r="MRI4" s="3407"/>
      <c r="MRJ4" s="3407"/>
      <c r="MRK4" s="3407"/>
      <c r="MRL4" s="3407"/>
      <c r="MRM4" s="3407"/>
      <c r="MRN4" s="3407"/>
      <c r="MRO4" s="3407"/>
      <c r="MRP4" s="3407"/>
      <c r="MRQ4" s="3407"/>
      <c r="MRR4" s="3407"/>
      <c r="MRS4" s="3407"/>
      <c r="MRT4" s="3407"/>
      <c r="MRU4" s="3407"/>
      <c r="MRV4" s="3407"/>
      <c r="MRW4" s="3407"/>
      <c r="MRX4" s="3407"/>
      <c r="MRY4" s="3407"/>
      <c r="MRZ4" s="3407"/>
      <c r="MSA4" s="3407"/>
      <c r="MSB4" s="3407"/>
      <c r="MSC4" s="3407"/>
      <c r="MSD4" s="3407"/>
      <c r="MSE4" s="3407"/>
      <c r="MSF4" s="3407"/>
      <c r="MSG4" s="3407"/>
      <c r="MSH4" s="3407"/>
      <c r="MSI4" s="3407"/>
      <c r="MSJ4" s="3407"/>
      <c r="MSK4" s="3407"/>
      <c r="MSL4" s="3407"/>
      <c r="MSM4" s="3407"/>
      <c r="MSN4" s="3407"/>
      <c r="MSO4" s="3407"/>
      <c r="MSP4" s="3407"/>
      <c r="MSQ4" s="3407"/>
      <c r="MSR4" s="3407"/>
      <c r="MSS4" s="3407"/>
      <c r="MST4" s="3407"/>
      <c r="MSU4" s="3407"/>
      <c r="MSV4" s="3407"/>
      <c r="MSW4" s="3407"/>
      <c r="MSX4" s="3407"/>
      <c r="MSY4" s="3407"/>
      <c r="MSZ4" s="3407"/>
      <c r="MTA4" s="3407"/>
      <c r="MTB4" s="3407"/>
      <c r="MTC4" s="3407"/>
      <c r="MTD4" s="3407"/>
      <c r="MTE4" s="3407"/>
      <c r="MTF4" s="3407"/>
      <c r="MTG4" s="3407"/>
      <c r="MTH4" s="3407"/>
      <c r="MTI4" s="3407"/>
      <c r="MTJ4" s="3407"/>
      <c r="MTK4" s="3407"/>
      <c r="MTL4" s="3407"/>
      <c r="MTM4" s="3407"/>
      <c r="MTN4" s="3407"/>
      <c r="MTO4" s="3407"/>
      <c r="MTP4" s="3407"/>
      <c r="MTQ4" s="3407"/>
      <c r="MTR4" s="3407"/>
      <c r="MTS4" s="3407"/>
      <c r="MTT4" s="3407"/>
      <c r="MTU4" s="3407"/>
      <c r="MTV4" s="3407"/>
      <c r="MTW4" s="3407"/>
      <c r="MTX4" s="3407"/>
      <c r="MTY4" s="3407"/>
      <c r="MTZ4" s="3407"/>
      <c r="MUA4" s="3407"/>
      <c r="MUB4" s="3407"/>
      <c r="MUC4" s="3407"/>
      <c r="MUD4" s="3407"/>
      <c r="MUE4" s="3407"/>
      <c r="MUF4" s="3407"/>
      <c r="MUG4" s="3407"/>
      <c r="MUH4" s="3407"/>
      <c r="MUI4" s="3407"/>
      <c r="MUJ4" s="3407"/>
      <c r="MUK4" s="3407"/>
      <c r="MUL4" s="3407"/>
      <c r="MUM4" s="3407"/>
      <c r="MUN4" s="3407"/>
      <c r="MUO4" s="3407"/>
      <c r="MUP4" s="3407"/>
      <c r="MUQ4" s="3407"/>
      <c r="MUR4" s="3407"/>
      <c r="MUS4" s="3407"/>
      <c r="MUT4" s="3407"/>
      <c r="MUU4" s="3407"/>
      <c r="MUV4" s="3407"/>
      <c r="MUW4" s="3407"/>
      <c r="MUX4" s="3407"/>
      <c r="MUY4" s="3407"/>
      <c r="MUZ4" s="3407"/>
      <c r="MVA4" s="3407"/>
      <c r="MVB4" s="3407"/>
      <c r="MVC4" s="3407"/>
      <c r="MVD4" s="3407"/>
      <c r="MVE4" s="3407"/>
      <c r="MVF4" s="3407"/>
      <c r="MVG4" s="3407"/>
      <c r="MVH4" s="3407"/>
      <c r="MVI4" s="3407"/>
      <c r="MVJ4" s="3407"/>
      <c r="MVK4" s="3407"/>
      <c r="MVL4" s="3407"/>
      <c r="MVM4" s="3407"/>
      <c r="MVN4" s="3407"/>
      <c r="MVO4" s="3407"/>
      <c r="MVP4" s="3407"/>
      <c r="MVQ4" s="3407"/>
      <c r="MVR4" s="3407"/>
      <c r="MVS4" s="3407"/>
      <c r="MVT4" s="3407"/>
      <c r="MVU4" s="3407"/>
      <c r="MVV4" s="3407"/>
      <c r="MVW4" s="3407"/>
      <c r="MVX4" s="3407"/>
      <c r="MVY4" s="3407"/>
      <c r="MVZ4" s="3407"/>
      <c r="MWA4" s="3407"/>
      <c r="MWB4" s="3407"/>
      <c r="MWC4" s="3407"/>
      <c r="MWD4" s="3407"/>
      <c r="MWE4" s="3407"/>
      <c r="MWF4" s="3407"/>
      <c r="MWG4" s="3407"/>
      <c r="MWH4" s="3407"/>
      <c r="MWI4" s="3407"/>
      <c r="MWJ4" s="3407"/>
      <c r="MWK4" s="3407"/>
      <c r="MWL4" s="3407"/>
      <c r="MWM4" s="3407"/>
      <c r="MWN4" s="3407"/>
      <c r="MWO4" s="3407"/>
      <c r="MWP4" s="3407"/>
      <c r="MWQ4" s="3407"/>
      <c r="MWR4" s="3407"/>
      <c r="MWS4" s="3407"/>
      <c r="MWT4" s="3407"/>
      <c r="MWU4" s="3407"/>
      <c r="MWV4" s="3407"/>
      <c r="MWW4" s="3407"/>
      <c r="MWX4" s="3407"/>
      <c r="MWY4" s="3407"/>
      <c r="MWZ4" s="3407"/>
      <c r="MXA4" s="3407"/>
      <c r="MXB4" s="3407"/>
      <c r="MXC4" s="3407"/>
      <c r="MXD4" s="3407"/>
      <c r="MXE4" s="3407"/>
      <c r="MXF4" s="3407"/>
      <c r="MXG4" s="3407"/>
      <c r="MXH4" s="3407"/>
      <c r="MXI4" s="3407"/>
      <c r="MXJ4" s="3407"/>
      <c r="MXK4" s="3407"/>
      <c r="MXL4" s="3407"/>
      <c r="MXM4" s="3407"/>
      <c r="MXN4" s="3407"/>
      <c r="MXO4" s="3407"/>
      <c r="MXP4" s="3407"/>
      <c r="MXQ4" s="3407"/>
      <c r="MXR4" s="3407"/>
      <c r="MXS4" s="3407"/>
      <c r="MXT4" s="3407"/>
      <c r="MXU4" s="3407"/>
      <c r="MXV4" s="3407"/>
      <c r="MXW4" s="3407"/>
      <c r="MXX4" s="3407"/>
      <c r="MXY4" s="3407"/>
      <c r="MXZ4" s="3407"/>
      <c r="MYA4" s="3407"/>
      <c r="MYB4" s="3407"/>
      <c r="MYC4" s="3407"/>
      <c r="MYD4" s="3407"/>
      <c r="MYE4" s="3407"/>
      <c r="MYF4" s="3407"/>
      <c r="MYG4" s="3407"/>
      <c r="MYH4" s="3407"/>
      <c r="MYI4" s="3407"/>
      <c r="MYJ4" s="3407"/>
      <c r="MYK4" s="3407"/>
      <c r="MYL4" s="3407"/>
      <c r="MYM4" s="3407"/>
      <c r="MYN4" s="3407"/>
      <c r="MYO4" s="3407"/>
      <c r="MYP4" s="3407"/>
      <c r="MYQ4" s="3407"/>
      <c r="MYR4" s="3407"/>
      <c r="MYS4" s="3407"/>
      <c r="MYT4" s="3407"/>
      <c r="MYU4" s="3407"/>
      <c r="MYV4" s="3407"/>
      <c r="MYW4" s="3407"/>
      <c r="MYX4" s="3407"/>
      <c r="MYY4" s="3407"/>
      <c r="MYZ4" s="3407"/>
      <c r="MZA4" s="3407"/>
      <c r="MZB4" s="3407"/>
      <c r="MZC4" s="3407"/>
      <c r="MZD4" s="3407"/>
      <c r="MZE4" s="3407"/>
      <c r="MZF4" s="3407"/>
      <c r="MZG4" s="3407"/>
      <c r="MZH4" s="3407"/>
      <c r="MZI4" s="3407"/>
      <c r="MZJ4" s="3407"/>
      <c r="MZK4" s="3407"/>
      <c r="MZL4" s="3407"/>
      <c r="MZM4" s="3407"/>
      <c r="MZN4" s="3407"/>
      <c r="MZO4" s="3407"/>
      <c r="MZP4" s="3407"/>
      <c r="MZQ4" s="3407"/>
      <c r="MZR4" s="3407"/>
      <c r="MZS4" s="3407"/>
      <c r="MZT4" s="3407"/>
      <c r="MZU4" s="3407"/>
      <c r="MZV4" s="3407"/>
      <c r="MZW4" s="3407"/>
      <c r="MZX4" s="3407"/>
      <c r="MZY4" s="3407"/>
      <c r="MZZ4" s="3407"/>
      <c r="NAA4" s="3407"/>
      <c r="NAB4" s="3407"/>
      <c r="NAC4" s="3407"/>
      <c r="NAD4" s="3407"/>
      <c r="NAE4" s="3407"/>
      <c r="NAF4" s="3407"/>
      <c r="NAG4" s="3407"/>
      <c r="NAH4" s="3407"/>
      <c r="NAI4" s="3407"/>
      <c r="NAJ4" s="3407"/>
      <c r="NAK4" s="3407"/>
      <c r="NAL4" s="3407"/>
      <c r="NAM4" s="3407"/>
      <c r="NAN4" s="3407"/>
      <c r="NAO4" s="3407"/>
      <c r="NAP4" s="3407"/>
      <c r="NAQ4" s="3407"/>
      <c r="NAR4" s="3407"/>
      <c r="NAS4" s="3407"/>
      <c r="NAT4" s="3407"/>
      <c r="NAU4" s="3407"/>
      <c r="NAV4" s="3407"/>
      <c r="NAW4" s="3407"/>
      <c r="NAX4" s="3407"/>
      <c r="NAY4" s="3407"/>
      <c r="NAZ4" s="3407"/>
      <c r="NBA4" s="3407"/>
      <c r="NBB4" s="3407"/>
      <c r="NBC4" s="3407"/>
      <c r="NBD4" s="3407"/>
      <c r="NBE4" s="3407"/>
      <c r="NBF4" s="3407"/>
      <c r="NBG4" s="3407"/>
      <c r="NBH4" s="3407"/>
      <c r="NBI4" s="3407"/>
      <c r="NBJ4" s="3407"/>
      <c r="NBK4" s="3407"/>
      <c r="NBL4" s="3407"/>
      <c r="NBM4" s="3407"/>
      <c r="NBN4" s="3407"/>
      <c r="NBO4" s="3407"/>
      <c r="NBP4" s="3407"/>
      <c r="NBQ4" s="3407"/>
      <c r="NBR4" s="3407"/>
      <c r="NBS4" s="3407"/>
      <c r="NBT4" s="3407"/>
      <c r="NBU4" s="3407"/>
      <c r="NBV4" s="3407"/>
      <c r="NBW4" s="3407"/>
      <c r="NBX4" s="3407"/>
      <c r="NBY4" s="3407"/>
      <c r="NBZ4" s="3407"/>
      <c r="NCA4" s="3407"/>
      <c r="NCB4" s="3407"/>
      <c r="NCC4" s="3407"/>
      <c r="NCD4" s="3407"/>
      <c r="NCE4" s="3407"/>
      <c r="NCF4" s="3407"/>
      <c r="NCG4" s="3407"/>
      <c r="NCH4" s="3407"/>
      <c r="NCI4" s="3407"/>
      <c r="NCJ4" s="3407"/>
      <c r="NCK4" s="3407"/>
      <c r="NCL4" s="3407"/>
      <c r="NCM4" s="3407"/>
      <c r="NCN4" s="3407"/>
      <c r="NCO4" s="3407"/>
      <c r="NCP4" s="3407"/>
      <c r="NCQ4" s="3407"/>
      <c r="NCR4" s="3407"/>
      <c r="NCS4" s="3407"/>
      <c r="NCT4" s="3407"/>
      <c r="NCU4" s="3407"/>
      <c r="NCV4" s="3407"/>
      <c r="NCW4" s="3407"/>
      <c r="NCX4" s="3407"/>
      <c r="NCY4" s="3407"/>
      <c r="NCZ4" s="3407"/>
      <c r="NDA4" s="3407"/>
      <c r="NDB4" s="3407"/>
      <c r="NDC4" s="3407"/>
      <c r="NDD4" s="3407"/>
      <c r="NDE4" s="3407"/>
      <c r="NDF4" s="3407"/>
      <c r="NDG4" s="3407"/>
      <c r="NDH4" s="3407"/>
      <c r="NDI4" s="3407"/>
      <c r="NDJ4" s="3407"/>
      <c r="NDK4" s="3407"/>
      <c r="NDL4" s="3407"/>
      <c r="NDM4" s="3407"/>
      <c r="NDN4" s="3407"/>
      <c r="NDO4" s="3407"/>
      <c r="NDP4" s="3407"/>
      <c r="NDQ4" s="3407"/>
      <c r="NDR4" s="3407"/>
      <c r="NDS4" s="3407"/>
      <c r="NDT4" s="3407"/>
      <c r="NDU4" s="3407"/>
      <c r="NDV4" s="3407"/>
      <c r="NDW4" s="3407"/>
      <c r="NDX4" s="3407"/>
      <c r="NDY4" s="3407"/>
      <c r="NDZ4" s="3407"/>
      <c r="NEA4" s="3407"/>
      <c r="NEB4" s="3407"/>
      <c r="NEC4" s="3407"/>
      <c r="NED4" s="3407"/>
      <c r="NEE4" s="3407"/>
      <c r="NEF4" s="3407"/>
      <c r="NEG4" s="3407"/>
      <c r="NEH4" s="3407"/>
      <c r="NEI4" s="3407"/>
      <c r="NEJ4" s="3407"/>
      <c r="NEK4" s="3407"/>
      <c r="NEL4" s="3407"/>
      <c r="NEM4" s="3407"/>
      <c r="NEN4" s="3407"/>
      <c r="NEO4" s="3407"/>
      <c r="NEP4" s="3407"/>
      <c r="NEQ4" s="3407"/>
      <c r="NER4" s="3407"/>
      <c r="NES4" s="3407"/>
      <c r="NET4" s="3407"/>
      <c r="NEU4" s="3407"/>
      <c r="NEV4" s="3407"/>
      <c r="NEW4" s="3407"/>
      <c r="NEX4" s="3407"/>
      <c r="NEY4" s="3407"/>
      <c r="NEZ4" s="3407"/>
      <c r="NFA4" s="3407"/>
      <c r="NFB4" s="3407"/>
      <c r="NFC4" s="3407"/>
      <c r="NFD4" s="3407"/>
      <c r="NFE4" s="3407"/>
      <c r="NFF4" s="3407"/>
      <c r="NFG4" s="3407"/>
      <c r="NFH4" s="3407"/>
      <c r="NFI4" s="3407"/>
      <c r="NFJ4" s="3407"/>
      <c r="NFK4" s="3407"/>
      <c r="NFL4" s="3407"/>
      <c r="NFM4" s="3407"/>
      <c r="NFN4" s="3407"/>
      <c r="NFO4" s="3407"/>
      <c r="NFP4" s="3407"/>
      <c r="NFQ4" s="3407"/>
      <c r="NFR4" s="3407"/>
      <c r="NFS4" s="3407"/>
      <c r="NFT4" s="3407"/>
      <c r="NFU4" s="3407"/>
      <c r="NFV4" s="3407"/>
      <c r="NFW4" s="3407"/>
      <c r="NFX4" s="3407"/>
      <c r="NFY4" s="3407"/>
      <c r="NFZ4" s="3407"/>
      <c r="NGA4" s="3407"/>
      <c r="NGB4" s="3407"/>
      <c r="NGC4" s="3407"/>
      <c r="NGD4" s="3407"/>
      <c r="NGE4" s="3407"/>
      <c r="NGF4" s="3407"/>
      <c r="NGG4" s="3407"/>
      <c r="NGH4" s="3407"/>
      <c r="NGI4" s="3407"/>
      <c r="NGJ4" s="3407"/>
      <c r="NGK4" s="3407"/>
      <c r="NGL4" s="3407"/>
      <c r="NGM4" s="3407"/>
      <c r="NGN4" s="3407"/>
      <c r="NGO4" s="3407"/>
      <c r="NGP4" s="3407"/>
      <c r="NGQ4" s="3407"/>
      <c r="NGR4" s="3407"/>
      <c r="NGS4" s="3407"/>
      <c r="NGT4" s="3407"/>
      <c r="NGU4" s="3407"/>
      <c r="NGV4" s="3407"/>
      <c r="NGW4" s="3407"/>
      <c r="NGX4" s="3407"/>
      <c r="NGY4" s="3407"/>
      <c r="NGZ4" s="3407"/>
      <c r="NHA4" s="3407"/>
      <c r="NHB4" s="3407"/>
      <c r="NHC4" s="3407"/>
      <c r="NHD4" s="3407"/>
      <c r="NHE4" s="3407"/>
      <c r="NHF4" s="3407"/>
      <c r="NHG4" s="3407"/>
      <c r="NHH4" s="3407"/>
      <c r="NHI4" s="3407"/>
      <c r="NHJ4" s="3407"/>
      <c r="NHK4" s="3407"/>
      <c r="NHL4" s="3407"/>
      <c r="NHM4" s="3407"/>
      <c r="NHN4" s="3407"/>
      <c r="NHO4" s="3407"/>
      <c r="NHP4" s="3407"/>
      <c r="NHQ4" s="3407"/>
      <c r="NHR4" s="3407"/>
      <c r="NHS4" s="3407"/>
      <c r="NHT4" s="3407"/>
      <c r="NHU4" s="3407"/>
      <c r="NHV4" s="3407"/>
      <c r="NHW4" s="3407"/>
      <c r="NHX4" s="3407"/>
      <c r="NHY4" s="3407"/>
      <c r="NHZ4" s="3407"/>
      <c r="NIA4" s="3407"/>
      <c r="NIB4" s="3407"/>
      <c r="NIC4" s="3407"/>
      <c r="NID4" s="3407"/>
      <c r="NIE4" s="3407"/>
      <c r="NIF4" s="3407"/>
      <c r="NIG4" s="3407"/>
      <c r="NIH4" s="3407"/>
      <c r="NII4" s="3407"/>
      <c r="NIJ4" s="3407"/>
      <c r="NIK4" s="3407"/>
      <c r="NIL4" s="3407"/>
      <c r="NIM4" s="3407"/>
      <c r="NIN4" s="3407"/>
      <c r="NIO4" s="3407"/>
      <c r="NIP4" s="3407"/>
      <c r="NIQ4" s="3407"/>
      <c r="NIR4" s="3407"/>
      <c r="NIS4" s="3407"/>
      <c r="NIT4" s="3407"/>
      <c r="NIU4" s="3407"/>
      <c r="NIV4" s="3407"/>
      <c r="NIW4" s="3407"/>
      <c r="NIX4" s="3407"/>
      <c r="NIY4" s="3407"/>
      <c r="NIZ4" s="3407"/>
      <c r="NJA4" s="3407"/>
      <c r="NJB4" s="3407"/>
      <c r="NJC4" s="3407"/>
      <c r="NJD4" s="3407"/>
      <c r="NJE4" s="3407"/>
      <c r="NJF4" s="3407"/>
      <c r="NJG4" s="3407"/>
      <c r="NJH4" s="3407"/>
      <c r="NJI4" s="3407"/>
      <c r="NJJ4" s="3407"/>
      <c r="NJK4" s="3407"/>
      <c r="NJL4" s="3407"/>
      <c r="NJM4" s="3407"/>
      <c r="NJN4" s="3407"/>
      <c r="NJO4" s="3407"/>
      <c r="NJP4" s="3407"/>
      <c r="NJQ4" s="3407"/>
      <c r="NJR4" s="3407"/>
      <c r="NJS4" s="3407"/>
      <c r="NJT4" s="3407"/>
      <c r="NJU4" s="3407"/>
      <c r="NJV4" s="3407"/>
      <c r="NJW4" s="3407"/>
      <c r="NJX4" s="3407"/>
      <c r="NJY4" s="3407"/>
      <c r="NJZ4" s="3407"/>
      <c r="NKA4" s="3407"/>
      <c r="NKB4" s="3407"/>
      <c r="NKC4" s="3407"/>
      <c r="NKD4" s="3407"/>
      <c r="NKE4" s="3407"/>
      <c r="NKF4" s="3407"/>
      <c r="NKG4" s="3407"/>
      <c r="NKH4" s="3407"/>
      <c r="NKI4" s="3407"/>
      <c r="NKJ4" s="3407"/>
      <c r="NKK4" s="3407"/>
      <c r="NKL4" s="3407"/>
      <c r="NKM4" s="3407"/>
      <c r="NKN4" s="3407"/>
      <c r="NKO4" s="3407"/>
      <c r="NKP4" s="3407"/>
      <c r="NKQ4" s="3407"/>
      <c r="NKR4" s="3407"/>
      <c r="NKS4" s="3407"/>
      <c r="NKT4" s="3407"/>
      <c r="NKU4" s="3407"/>
      <c r="NKV4" s="3407"/>
      <c r="NKW4" s="3407"/>
      <c r="NKX4" s="3407"/>
      <c r="NKY4" s="3407"/>
      <c r="NKZ4" s="3407"/>
      <c r="NLA4" s="3407"/>
      <c r="NLB4" s="3407"/>
      <c r="NLC4" s="3407"/>
      <c r="NLD4" s="3407"/>
      <c r="NLE4" s="3407"/>
      <c r="NLF4" s="3407"/>
      <c r="NLG4" s="3407"/>
      <c r="NLH4" s="3407"/>
      <c r="NLI4" s="3407"/>
      <c r="NLJ4" s="3407"/>
      <c r="NLK4" s="3407"/>
      <c r="NLL4" s="3407"/>
      <c r="NLM4" s="3407"/>
      <c r="NLN4" s="3407"/>
      <c r="NLO4" s="3407"/>
      <c r="NLP4" s="3407"/>
      <c r="NLQ4" s="3407"/>
      <c r="NLR4" s="3407"/>
      <c r="NLS4" s="3407"/>
      <c r="NLT4" s="3407"/>
      <c r="NLU4" s="3407"/>
      <c r="NLV4" s="3407"/>
      <c r="NLW4" s="3407"/>
      <c r="NLX4" s="3407"/>
      <c r="NLY4" s="3407"/>
      <c r="NLZ4" s="3407"/>
      <c r="NMA4" s="3407"/>
      <c r="NMB4" s="3407"/>
      <c r="NMC4" s="3407"/>
      <c r="NMD4" s="3407"/>
      <c r="NME4" s="3407"/>
      <c r="NMF4" s="3407"/>
      <c r="NMG4" s="3407"/>
      <c r="NMH4" s="3407"/>
      <c r="NMI4" s="3407"/>
      <c r="NMJ4" s="3407"/>
      <c r="NMK4" s="3407"/>
      <c r="NML4" s="3407"/>
      <c r="NMM4" s="3407"/>
      <c r="NMN4" s="3407"/>
      <c r="NMO4" s="3407"/>
      <c r="NMP4" s="3407"/>
      <c r="NMQ4" s="3407"/>
      <c r="NMR4" s="3407"/>
      <c r="NMS4" s="3407"/>
      <c r="NMT4" s="3407"/>
      <c r="NMU4" s="3407"/>
      <c r="NMV4" s="3407"/>
      <c r="NMW4" s="3407"/>
      <c r="NMX4" s="3407"/>
      <c r="NMY4" s="3407"/>
      <c r="NMZ4" s="3407"/>
      <c r="NNA4" s="3407"/>
      <c r="NNB4" s="3407"/>
      <c r="NNC4" s="3407"/>
      <c r="NND4" s="3407"/>
      <c r="NNE4" s="3407"/>
      <c r="NNF4" s="3407"/>
      <c r="NNG4" s="3407"/>
      <c r="NNH4" s="3407"/>
      <c r="NNI4" s="3407"/>
      <c r="NNJ4" s="3407"/>
      <c r="NNK4" s="3407"/>
      <c r="NNL4" s="3407"/>
      <c r="NNM4" s="3407"/>
      <c r="NNN4" s="3407"/>
      <c r="NNO4" s="3407"/>
      <c r="NNP4" s="3407"/>
      <c r="NNQ4" s="3407"/>
      <c r="NNR4" s="3407"/>
      <c r="NNS4" s="3407"/>
      <c r="NNT4" s="3407"/>
      <c r="NNU4" s="3407"/>
      <c r="NNV4" s="3407"/>
      <c r="NNW4" s="3407"/>
      <c r="NNX4" s="3407"/>
      <c r="NNY4" s="3407"/>
      <c r="NNZ4" s="3407"/>
      <c r="NOA4" s="3407"/>
      <c r="NOB4" s="3407"/>
      <c r="NOC4" s="3407"/>
      <c r="NOD4" s="3407"/>
      <c r="NOE4" s="3407"/>
      <c r="NOF4" s="3407"/>
      <c r="NOG4" s="3407"/>
      <c r="NOH4" s="3407"/>
      <c r="NOI4" s="3407"/>
      <c r="NOJ4" s="3407"/>
      <c r="NOK4" s="3407"/>
      <c r="NOL4" s="3407"/>
      <c r="NOM4" s="3407"/>
      <c r="NON4" s="3407"/>
      <c r="NOO4" s="3407"/>
      <c r="NOP4" s="3407"/>
      <c r="NOQ4" s="3407"/>
      <c r="NOR4" s="3407"/>
      <c r="NOS4" s="3407"/>
      <c r="NOT4" s="3407"/>
      <c r="NOU4" s="3407"/>
      <c r="NOV4" s="3407"/>
      <c r="NOW4" s="3407"/>
      <c r="NOX4" s="3407"/>
      <c r="NOY4" s="3407"/>
      <c r="NOZ4" s="3407"/>
      <c r="NPA4" s="3407"/>
      <c r="NPB4" s="3407"/>
      <c r="NPC4" s="3407"/>
      <c r="NPD4" s="3407"/>
      <c r="NPE4" s="3407"/>
      <c r="NPF4" s="3407"/>
      <c r="NPG4" s="3407"/>
      <c r="NPH4" s="3407"/>
      <c r="NPI4" s="3407"/>
      <c r="NPJ4" s="3407"/>
      <c r="NPK4" s="3407"/>
      <c r="NPL4" s="3407"/>
      <c r="NPM4" s="3407"/>
      <c r="NPN4" s="3407"/>
      <c r="NPO4" s="3407"/>
      <c r="NPP4" s="3407"/>
      <c r="NPQ4" s="3407"/>
      <c r="NPR4" s="3407"/>
      <c r="NPS4" s="3407"/>
      <c r="NPT4" s="3407"/>
      <c r="NPU4" s="3407"/>
      <c r="NPV4" s="3407"/>
      <c r="NPW4" s="3407"/>
      <c r="NPX4" s="3407"/>
      <c r="NPY4" s="3407"/>
      <c r="NPZ4" s="3407"/>
      <c r="NQA4" s="3407"/>
      <c r="NQB4" s="3407"/>
      <c r="NQC4" s="3407"/>
      <c r="NQD4" s="3407"/>
      <c r="NQE4" s="3407"/>
      <c r="NQF4" s="3407"/>
      <c r="NQG4" s="3407"/>
      <c r="NQH4" s="3407"/>
      <c r="NQI4" s="3407"/>
      <c r="NQJ4" s="3407"/>
      <c r="NQK4" s="3407"/>
      <c r="NQL4" s="3407"/>
      <c r="NQM4" s="3407"/>
      <c r="NQN4" s="3407"/>
      <c r="NQO4" s="3407"/>
      <c r="NQP4" s="3407"/>
      <c r="NQQ4" s="3407"/>
      <c r="NQR4" s="3407"/>
      <c r="NQS4" s="3407"/>
      <c r="NQT4" s="3407"/>
      <c r="NQU4" s="3407"/>
      <c r="NQV4" s="3407"/>
      <c r="NQW4" s="3407"/>
      <c r="NQX4" s="3407"/>
      <c r="NQY4" s="3407"/>
      <c r="NQZ4" s="3407"/>
      <c r="NRA4" s="3407"/>
      <c r="NRB4" s="3407"/>
      <c r="NRC4" s="3407"/>
      <c r="NRD4" s="3407"/>
      <c r="NRE4" s="3407"/>
      <c r="NRF4" s="3407"/>
      <c r="NRG4" s="3407"/>
      <c r="NRH4" s="3407"/>
      <c r="NRI4" s="3407"/>
      <c r="NRJ4" s="3407"/>
      <c r="NRK4" s="3407"/>
      <c r="NRL4" s="3407"/>
      <c r="NRM4" s="3407"/>
      <c r="NRN4" s="3407"/>
      <c r="NRO4" s="3407"/>
      <c r="NRP4" s="3407"/>
      <c r="NRQ4" s="3407"/>
      <c r="NRR4" s="3407"/>
      <c r="NRS4" s="3407"/>
      <c r="NRT4" s="3407"/>
      <c r="NRU4" s="3407"/>
      <c r="NRV4" s="3407"/>
      <c r="NRW4" s="3407"/>
      <c r="NRX4" s="3407"/>
      <c r="NRY4" s="3407"/>
      <c r="NRZ4" s="3407"/>
      <c r="NSA4" s="3407"/>
      <c r="NSB4" s="3407"/>
      <c r="NSC4" s="3407"/>
      <c r="NSD4" s="3407"/>
      <c r="NSE4" s="3407"/>
      <c r="NSF4" s="3407"/>
      <c r="NSG4" s="3407"/>
      <c r="NSH4" s="3407"/>
      <c r="NSI4" s="3407"/>
      <c r="NSJ4" s="3407"/>
      <c r="NSK4" s="3407"/>
      <c r="NSL4" s="3407"/>
      <c r="NSM4" s="3407"/>
      <c r="NSN4" s="3407"/>
      <c r="NSO4" s="3407"/>
      <c r="NSP4" s="3407"/>
      <c r="NSQ4" s="3407"/>
      <c r="NSR4" s="3407"/>
      <c r="NSS4" s="3407"/>
      <c r="NST4" s="3407"/>
      <c r="NSU4" s="3407"/>
      <c r="NSV4" s="3407"/>
      <c r="NSW4" s="3407"/>
      <c r="NSX4" s="3407"/>
      <c r="NSY4" s="3407"/>
      <c r="NSZ4" s="3407"/>
      <c r="NTA4" s="3407"/>
      <c r="NTB4" s="3407"/>
      <c r="NTC4" s="3407"/>
      <c r="NTD4" s="3407"/>
      <c r="NTE4" s="3407"/>
      <c r="NTF4" s="3407"/>
      <c r="NTG4" s="3407"/>
      <c r="NTH4" s="3407"/>
      <c r="NTI4" s="3407"/>
      <c r="NTJ4" s="3407"/>
      <c r="NTK4" s="3407"/>
      <c r="NTL4" s="3407"/>
      <c r="NTM4" s="3407"/>
      <c r="NTN4" s="3407"/>
      <c r="NTO4" s="3407"/>
      <c r="NTP4" s="3407"/>
      <c r="NTQ4" s="3407"/>
      <c r="NTR4" s="3407"/>
      <c r="NTS4" s="3407"/>
      <c r="NTT4" s="3407"/>
      <c r="NTU4" s="3407"/>
      <c r="NTV4" s="3407"/>
      <c r="NTW4" s="3407"/>
      <c r="NTX4" s="3407"/>
      <c r="NTY4" s="3407"/>
      <c r="NTZ4" s="3407"/>
      <c r="NUA4" s="3407"/>
      <c r="NUB4" s="3407"/>
      <c r="NUC4" s="3407"/>
      <c r="NUD4" s="3407"/>
      <c r="NUE4" s="3407"/>
      <c r="NUF4" s="3407"/>
      <c r="NUG4" s="3407"/>
      <c r="NUH4" s="3407"/>
      <c r="NUI4" s="3407"/>
      <c r="NUJ4" s="3407"/>
      <c r="NUK4" s="3407"/>
      <c r="NUL4" s="3407"/>
      <c r="NUM4" s="3407"/>
      <c r="NUN4" s="3407"/>
      <c r="NUO4" s="3407"/>
      <c r="NUP4" s="3407"/>
      <c r="NUQ4" s="3407"/>
      <c r="NUR4" s="3407"/>
      <c r="NUS4" s="3407"/>
      <c r="NUT4" s="3407"/>
      <c r="NUU4" s="3407"/>
      <c r="NUV4" s="3407"/>
      <c r="NUW4" s="3407"/>
      <c r="NUX4" s="3407"/>
      <c r="NUY4" s="3407"/>
      <c r="NUZ4" s="3407"/>
      <c r="NVA4" s="3407"/>
      <c r="NVB4" s="3407"/>
      <c r="NVC4" s="3407"/>
      <c r="NVD4" s="3407"/>
      <c r="NVE4" s="3407"/>
      <c r="NVF4" s="3407"/>
      <c r="NVG4" s="3407"/>
      <c r="NVH4" s="3407"/>
      <c r="NVI4" s="3407"/>
      <c r="NVJ4" s="3407"/>
      <c r="NVK4" s="3407"/>
      <c r="NVL4" s="3407"/>
      <c r="NVM4" s="3407"/>
      <c r="NVN4" s="3407"/>
      <c r="NVO4" s="3407"/>
      <c r="NVP4" s="3407"/>
      <c r="NVQ4" s="3407"/>
      <c r="NVR4" s="3407"/>
      <c r="NVS4" s="3407"/>
      <c r="NVT4" s="3407"/>
      <c r="NVU4" s="3407"/>
      <c r="NVV4" s="3407"/>
      <c r="NVW4" s="3407"/>
      <c r="NVX4" s="3407"/>
      <c r="NVY4" s="3407"/>
      <c r="NVZ4" s="3407"/>
      <c r="NWA4" s="3407"/>
      <c r="NWB4" s="3407"/>
      <c r="NWC4" s="3407"/>
      <c r="NWD4" s="3407"/>
      <c r="NWE4" s="3407"/>
      <c r="NWF4" s="3407"/>
      <c r="NWG4" s="3407"/>
      <c r="NWH4" s="3407"/>
      <c r="NWI4" s="3407"/>
      <c r="NWJ4" s="3407"/>
      <c r="NWK4" s="3407"/>
      <c r="NWL4" s="3407"/>
      <c r="NWM4" s="3407"/>
      <c r="NWN4" s="3407"/>
      <c r="NWO4" s="3407"/>
      <c r="NWP4" s="3407"/>
      <c r="NWQ4" s="3407"/>
      <c r="NWR4" s="3407"/>
      <c r="NWS4" s="3407"/>
      <c r="NWT4" s="3407"/>
      <c r="NWU4" s="3407"/>
      <c r="NWV4" s="3407"/>
      <c r="NWW4" s="3407"/>
      <c r="NWX4" s="3407"/>
      <c r="NWY4" s="3407"/>
      <c r="NWZ4" s="3407"/>
      <c r="NXA4" s="3407"/>
      <c r="NXB4" s="3407"/>
      <c r="NXC4" s="3407"/>
      <c r="NXD4" s="3407"/>
      <c r="NXE4" s="3407"/>
      <c r="NXF4" s="3407"/>
      <c r="NXG4" s="3407"/>
      <c r="NXH4" s="3407"/>
      <c r="NXI4" s="3407"/>
      <c r="NXJ4" s="3407"/>
      <c r="NXK4" s="3407"/>
      <c r="NXL4" s="3407"/>
      <c r="NXM4" s="3407"/>
      <c r="NXN4" s="3407"/>
      <c r="NXO4" s="3407"/>
      <c r="NXP4" s="3407"/>
      <c r="NXQ4" s="3407"/>
      <c r="NXR4" s="3407"/>
      <c r="NXS4" s="3407"/>
      <c r="NXT4" s="3407"/>
      <c r="NXU4" s="3407"/>
      <c r="NXV4" s="3407"/>
      <c r="NXW4" s="3407"/>
      <c r="NXX4" s="3407"/>
      <c r="NXY4" s="3407"/>
      <c r="NXZ4" s="3407"/>
      <c r="NYA4" s="3407"/>
      <c r="NYB4" s="3407"/>
      <c r="NYC4" s="3407"/>
      <c r="NYD4" s="3407"/>
      <c r="NYE4" s="3407"/>
      <c r="NYF4" s="3407"/>
      <c r="NYG4" s="3407"/>
      <c r="NYH4" s="3407"/>
      <c r="NYI4" s="3407"/>
      <c r="NYJ4" s="3407"/>
      <c r="NYK4" s="3407"/>
      <c r="NYL4" s="3407"/>
      <c r="NYM4" s="3407"/>
      <c r="NYN4" s="3407"/>
      <c r="NYO4" s="3407"/>
      <c r="NYP4" s="3407"/>
      <c r="NYQ4" s="3407"/>
      <c r="NYR4" s="3407"/>
      <c r="NYS4" s="3407"/>
      <c r="NYT4" s="3407"/>
      <c r="NYU4" s="3407"/>
      <c r="NYV4" s="3407"/>
      <c r="NYW4" s="3407"/>
      <c r="NYX4" s="3407"/>
      <c r="NYY4" s="3407"/>
      <c r="NYZ4" s="3407"/>
      <c r="NZA4" s="3407"/>
      <c r="NZB4" s="3407"/>
      <c r="NZC4" s="3407"/>
      <c r="NZD4" s="3407"/>
      <c r="NZE4" s="3407"/>
      <c r="NZF4" s="3407"/>
      <c r="NZG4" s="3407"/>
      <c r="NZH4" s="3407"/>
      <c r="NZI4" s="3407"/>
      <c r="NZJ4" s="3407"/>
      <c r="NZK4" s="3407"/>
      <c r="NZL4" s="3407"/>
      <c r="NZM4" s="3407"/>
      <c r="NZN4" s="3407"/>
      <c r="NZO4" s="3407"/>
      <c r="NZP4" s="3407"/>
      <c r="NZQ4" s="3407"/>
      <c r="NZR4" s="3407"/>
      <c r="NZS4" s="3407"/>
      <c r="NZT4" s="3407"/>
      <c r="NZU4" s="3407"/>
      <c r="NZV4" s="3407"/>
      <c r="NZW4" s="3407"/>
      <c r="NZX4" s="3407"/>
      <c r="NZY4" s="3407"/>
      <c r="NZZ4" s="3407"/>
      <c r="OAA4" s="3407"/>
      <c r="OAB4" s="3407"/>
      <c r="OAC4" s="3407"/>
      <c r="OAD4" s="3407"/>
      <c r="OAE4" s="3407"/>
      <c r="OAF4" s="3407"/>
      <c r="OAG4" s="3407"/>
      <c r="OAH4" s="3407"/>
      <c r="OAI4" s="3407"/>
      <c r="OAJ4" s="3407"/>
      <c r="OAK4" s="3407"/>
      <c r="OAL4" s="3407"/>
      <c r="OAM4" s="3407"/>
      <c r="OAN4" s="3407"/>
      <c r="OAO4" s="3407"/>
      <c r="OAP4" s="3407"/>
      <c r="OAQ4" s="3407"/>
      <c r="OAR4" s="3407"/>
      <c r="OAS4" s="3407"/>
      <c r="OAT4" s="3407"/>
      <c r="OAU4" s="3407"/>
      <c r="OAV4" s="3407"/>
      <c r="OAW4" s="3407"/>
      <c r="OAX4" s="3407"/>
      <c r="OAY4" s="3407"/>
      <c r="OAZ4" s="3407"/>
      <c r="OBA4" s="3407"/>
      <c r="OBB4" s="3407"/>
      <c r="OBC4" s="3407"/>
      <c r="OBD4" s="3407"/>
      <c r="OBE4" s="3407"/>
      <c r="OBF4" s="3407"/>
      <c r="OBG4" s="3407"/>
      <c r="OBH4" s="3407"/>
      <c r="OBI4" s="3407"/>
      <c r="OBJ4" s="3407"/>
      <c r="OBK4" s="3407"/>
      <c r="OBL4" s="3407"/>
      <c r="OBM4" s="3407"/>
      <c r="OBN4" s="3407"/>
      <c r="OBO4" s="3407"/>
      <c r="OBP4" s="3407"/>
      <c r="OBQ4" s="3407"/>
      <c r="OBR4" s="3407"/>
      <c r="OBS4" s="3407"/>
      <c r="OBT4" s="3407"/>
      <c r="OBU4" s="3407"/>
      <c r="OBV4" s="3407"/>
      <c r="OBW4" s="3407"/>
      <c r="OBX4" s="3407"/>
      <c r="OBY4" s="3407"/>
      <c r="OBZ4" s="3407"/>
      <c r="OCA4" s="3407"/>
      <c r="OCB4" s="3407"/>
      <c r="OCC4" s="3407"/>
      <c r="OCD4" s="3407"/>
      <c r="OCE4" s="3407"/>
      <c r="OCF4" s="3407"/>
      <c r="OCG4" s="3407"/>
      <c r="OCH4" s="3407"/>
      <c r="OCI4" s="3407"/>
      <c r="OCJ4" s="3407"/>
      <c r="OCK4" s="3407"/>
      <c r="OCL4" s="3407"/>
      <c r="OCM4" s="3407"/>
      <c r="OCN4" s="3407"/>
      <c r="OCO4" s="3407"/>
      <c r="OCP4" s="3407"/>
      <c r="OCQ4" s="3407"/>
      <c r="OCR4" s="3407"/>
      <c r="OCS4" s="3407"/>
      <c r="OCT4" s="3407"/>
      <c r="OCU4" s="3407"/>
      <c r="OCV4" s="3407"/>
      <c r="OCW4" s="3407"/>
      <c r="OCX4" s="3407"/>
      <c r="OCY4" s="3407"/>
      <c r="OCZ4" s="3407"/>
      <c r="ODA4" s="3407"/>
      <c r="ODB4" s="3407"/>
      <c r="ODC4" s="3407"/>
      <c r="ODD4" s="3407"/>
      <c r="ODE4" s="3407"/>
      <c r="ODF4" s="3407"/>
      <c r="ODG4" s="3407"/>
      <c r="ODH4" s="3407"/>
      <c r="ODI4" s="3407"/>
      <c r="ODJ4" s="3407"/>
      <c r="ODK4" s="3407"/>
      <c r="ODL4" s="3407"/>
      <c r="ODM4" s="3407"/>
      <c r="ODN4" s="3407"/>
      <c r="ODO4" s="3407"/>
      <c r="ODP4" s="3407"/>
      <c r="ODQ4" s="3407"/>
      <c r="ODR4" s="3407"/>
      <c r="ODS4" s="3407"/>
      <c r="ODT4" s="3407"/>
      <c r="ODU4" s="3407"/>
      <c r="ODV4" s="3407"/>
      <c r="ODW4" s="3407"/>
      <c r="ODX4" s="3407"/>
      <c r="ODY4" s="3407"/>
      <c r="ODZ4" s="3407"/>
      <c r="OEA4" s="3407"/>
      <c r="OEB4" s="3407"/>
      <c r="OEC4" s="3407"/>
      <c r="OED4" s="3407"/>
      <c r="OEE4" s="3407"/>
      <c r="OEF4" s="3407"/>
      <c r="OEG4" s="3407"/>
      <c r="OEH4" s="3407"/>
      <c r="OEI4" s="3407"/>
      <c r="OEJ4" s="3407"/>
      <c r="OEK4" s="3407"/>
      <c r="OEL4" s="3407"/>
      <c r="OEM4" s="3407"/>
      <c r="OEN4" s="3407"/>
      <c r="OEO4" s="3407"/>
      <c r="OEP4" s="3407"/>
      <c r="OEQ4" s="3407"/>
      <c r="OER4" s="3407"/>
      <c r="OES4" s="3407"/>
      <c r="OET4" s="3407"/>
      <c r="OEU4" s="3407"/>
      <c r="OEV4" s="3407"/>
      <c r="OEW4" s="3407"/>
      <c r="OEX4" s="3407"/>
      <c r="OEY4" s="3407"/>
      <c r="OEZ4" s="3407"/>
      <c r="OFA4" s="3407"/>
      <c r="OFB4" s="3407"/>
      <c r="OFC4" s="3407"/>
      <c r="OFD4" s="3407"/>
      <c r="OFE4" s="3407"/>
      <c r="OFF4" s="3407"/>
      <c r="OFG4" s="3407"/>
      <c r="OFH4" s="3407"/>
      <c r="OFI4" s="3407"/>
      <c r="OFJ4" s="3407"/>
      <c r="OFK4" s="3407"/>
      <c r="OFL4" s="3407"/>
      <c r="OFM4" s="3407"/>
      <c r="OFN4" s="3407"/>
      <c r="OFO4" s="3407"/>
      <c r="OFP4" s="3407"/>
      <c r="OFQ4" s="3407"/>
      <c r="OFR4" s="3407"/>
      <c r="OFS4" s="3407"/>
      <c r="OFT4" s="3407"/>
      <c r="OFU4" s="3407"/>
      <c r="OFV4" s="3407"/>
      <c r="OFW4" s="3407"/>
      <c r="OFX4" s="3407"/>
      <c r="OFY4" s="3407"/>
      <c r="OFZ4" s="3407"/>
      <c r="OGA4" s="3407"/>
      <c r="OGB4" s="3407"/>
      <c r="OGC4" s="3407"/>
      <c r="OGD4" s="3407"/>
      <c r="OGE4" s="3407"/>
      <c r="OGF4" s="3407"/>
      <c r="OGG4" s="3407"/>
      <c r="OGH4" s="3407"/>
      <c r="OGI4" s="3407"/>
      <c r="OGJ4" s="3407"/>
      <c r="OGK4" s="3407"/>
      <c r="OGL4" s="3407"/>
      <c r="OGM4" s="3407"/>
      <c r="OGN4" s="3407"/>
      <c r="OGO4" s="3407"/>
      <c r="OGP4" s="3407"/>
      <c r="OGQ4" s="3407"/>
      <c r="OGR4" s="3407"/>
      <c r="OGS4" s="3407"/>
      <c r="OGT4" s="3407"/>
      <c r="OGU4" s="3407"/>
      <c r="OGV4" s="3407"/>
      <c r="OGW4" s="3407"/>
      <c r="OGX4" s="3407"/>
      <c r="OGY4" s="3407"/>
      <c r="OGZ4" s="3407"/>
      <c r="OHA4" s="3407"/>
      <c r="OHB4" s="3407"/>
      <c r="OHC4" s="3407"/>
      <c r="OHD4" s="3407"/>
      <c r="OHE4" s="3407"/>
      <c r="OHF4" s="3407"/>
      <c r="OHG4" s="3407"/>
      <c r="OHH4" s="3407"/>
      <c r="OHI4" s="3407"/>
      <c r="OHJ4" s="3407"/>
      <c r="OHK4" s="3407"/>
      <c r="OHL4" s="3407"/>
      <c r="OHM4" s="3407"/>
      <c r="OHN4" s="3407"/>
      <c r="OHO4" s="3407"/>
      <c r="OHP4" s="3407"/>
      <c r="OHQ4" s="3407"/>
      <c r="OHR4" s="3407"/>
      <c r="OHS4" s="3407"/>
      <c r="OHT4" s="3407"/>
      <c r="OHU4" s="3407"/>
      <c r="OHV4" s="3407"/>
      <c r="OHW4" s="3407"/>
      <c r="OHX4" s="3407"/>
      <c r="OHY4" s="3407"/>
      <c r="OHZ4" s="3407"/>
      <c r="OIA4" s="3407"/>
      <c r="OIB4" s="3407"/>
      <c r="OIC4" s="3407"/>
      <c r="OID4" s="3407"/>
      <c r="OIE4" s="3407"/>
      <c r="OIF4" s="3407"/>
      <c r="OIG4" s="3407"/>
      <c r="OIH4" s="3407"/>
      <c r="OII4" s="3407"/>
      <c r="OIJ4" s="3407"/>
      <c r="OIK4" s="3407"/>
      <c r="OIL4" s="3407"/>
      <c r="OIM4" s="3407"/>
      <c r="OIN4" s="3407"/>
      <c r="OIO4" s="3407"/>
      <c r="OIP4" s="3407"/>
      <c r="OIQ4" s="3407"/>
      <c r="OIR4" s="3407"/>
      <c r="OIS4" s="3407"/>
      <c r="OIT4" s="3407"/>
      <c r="OIU4" s="3407"/>
      <c r="OIV4" s="3407"/>
      <c r="OIW4" s="3407"/>
      <c r="OIX4" s="3407"/>
      <c r="OIY4" s="3407"/>
      <c r="OIZ4" s="3407"/>
      <c r="OJA4" s="3407"/>
      <c r="OJB4" s="3407"/>
      <c r="OJC4" s="3407"/>
      <c r="OJD4" s="3407"/>
      <c r="OJE4" s="3407"/>
      <c r="OJF4" s="3407"/>
      <c r="OJG4" s="3407"/>
      <c r="OJH4" s="3407"/>
      <c r="OJI4" s="3407"/>
      <c r="OJJ4" s="3407"/>
      <c r="OJK4" s="3407"/>
      <c r="OJL4" s="3407"/>
      <c r="OJM4" s="3407"/>
      <c r="OJN4" s="3407"/>
      <c r="OJO4" s="3407"/>
      <c r="OJP4" s="3407"/>
      <c r="OJQ4" s="3407"/>
      <c r="OJR4" s="3407"/>
      <c r="OJS4" s="3407"/>
      <c r="OJT4" s="3407"/>
      <c r="OJU4" s="3407"/>
      <c r="OJV4" s="3407"/>
      <c r="OJW4" s="3407"/>
      <c r="OJX4" s="3407"/>
      <c r="OJY4" s="3407"/>
      <c r="OJZ4" s="3407"/>
      <c r="OKA4" s="3407"/>
      <c r="OKB4" s="3407"/>
      <c r="OKC4" s="3407"/>
      <c r="OKD4" s="3407"/>
      <c r="OKE4" s="3407"/>
      <c r="OKF4" s="3407"/>
      <c r="OKG4" s="3407"/>
      <c r="OKH4" s="3407"/>
      <c r="OKI4" s="3407"/>
      <c r="OKJ4" s="3407"/>
      <c r="OKK4" s="3407"/>
      <c r="OKL4" s="3407"/>
      <c r="OKM4" s="3407"/>
      <c r="OKN4" s="3407"/>
      <c r="OKO4" s="3407"/>
      <c r="OKP4" s="3407"/>
      <c r="OKQ4" s="3407"/>
      <c r="OKR4" s="3407"/>
      <c r="OKS4" s="3407"/>
      <c r="OKT4" s="3407"/>
      <c r="OKU4" s="3407"/>
      <c r="OKV4" s="3407"/>
      <c r="OKW4" s="3407"/>
      <c r="OKX4" s="3407"/>
      <c r="OKY4" s="3407"/>
      <c r="OKZ4" s="3407"/>
      <c r="OLA4" s="3407"/>
      <c r="OLB4" s="3407"/>
      <c r="OLC4" s="3407"/>
      <c r="OLD4" s="3407"/>
      <c r="OLE4" s="3407"/>
      <c r="OLF4" s="3407"/>
      <c r="OLG4" s="3407"/>
      <c r="OLH4" s="3407"/>
      <c r="OLI4" s="3407"/>
      <c r="OLJ4" s="3407"/>
      <c r="OLK4" s="3407"/>
      <c r="OLL4" s="3407"/>
      <c r="OLM4" s="3407"/>
      <c r="OLN4" s="3407"/>
      <c r="OLO4" s="3407"/>
      <c r="OLP4" s="3407"/>
      <c r="OLQ4" s="3407"/>
      <c r="OLR4" s="3407"/>
      <c r="OLS4" s="3407"/>
      <c r="OLT4" s="3407"/>
      <c r="OLU4" s="3407"/>
      <c r="OLV4" s="3407"/>
      <c r="OLW4" s="3407"/>
      <c r="OLX4" s="3407"/>
      <c r="OLY4" s="3407"/>
      <c r="OLZ4" s="3407"/>
      <c r="OMA4" s="3407"/>
      <c r="OMB4" s="3407"/>
      <c r="OMC4" s="3407"/>
      <c r="OMD4" s="3407"/>
      <c r="OME4" s="3407"/>
      <c r="OMF4" s="3407"/>
      <c r="OMG4" s="3407"/>
      <c r="OMH4" s="3407"/>
      <c r="OMI4" s="3407"/>
      <c r="OMJ4" s="3407"/>
      <c r="OMK4" s="3407"/>
      <c r="OML4" s="3407"/>
      <c r="OMM4" s="3407"/>
      <c r="OMN4" s="3407"/>
      <c r="OMO4" s="3407"/>
      <c r="OMP4" s="3407"/>
      <c r="OMQ4" s="3407"/>
      <c r="OMR4" s="3407"/>
      <c r="OMS4" s="3407"/>
      <c r="OMT4" s="3407"/>
      <c r="OMU4" s="3407"/>
      <c r="OMV4" s="3407"/>
      <c r="OMW4" s="3407"/>
      <c r="OMX4" s="3407"/>
      <c r="OMY4" s="3407"/>
      <c r="OMZ4" s="3407"/>
      <c r="ONA4" s="3407"/>
      <c r="ONB4" s="3407"/>
      <c r="ONC4" s="3407"/>
      <c r="OND4" s="3407"/>
      <c r="ONE4" s="3407"/>
      <c r="ONF4" s="3407"/>
      <c r="ONG4" s="3407"/>
      <c r="ONH4" s="3407"/>
      <c r="ONI4" s="3407"/>
      <c r="ONJ4" s="3407"/>
      <c r="ONK4" s="3407"/>
      <c r="ONL4" s="3407"/>
      <c r="ONM4" s="3407"/>
      <c r="ONN4" s="3407"/>
      <c r="ONO4" s="3407"/>
      <c r="ONP4" s="3407"/>
      <c r="ONQ4" s="3407"/>
      <c r="ONR4" s="3407"/>
      <c r="ONS4" s="3407"/>
      <c r="ONT4" s="3407"/>
      <c r="ONU4" s="3407"/>
      <c r="ONV4" s="3407"/>
      <c r="ONW4" s="3407"/>
      <c r="ONX4" s="3407"/>
      <c r="ONY4" s="3407"/>
      <c r="ONZ4" s="3407"/>
      <c r="OOA4" s="3407"/>
      <c r="OOB4" s="3407"/>
      <c r="OOC4" s="3407"/>
      <c r="OOD4" s="3407"/>
      <c r="OOE4" s="3407"/>
      <c r="OOF4" s="3407"/>
      <c r="OOG4" s="3407"/>
      <c r="OOH4" s="3407"/>
      <c r="OOI4" s="3407"/>
      <c r="OOJ4" s="3407"/>
      <c r="OOK4" s="3407"/>
      <c r="OOL4" s="3407"/>
      <c r="OOM4" s="3407"/>
      <c r="OON4" s="3407"/>
      <c r="OOO4" s="3407"/>
      <c r="OOP4" s="3407"/>
      <c r="OOQ4" s="3407"/>
      <c r="OOR4" s="3407"/>
      <c r="OOS4" s="3407"/>
      <c r="OOT4" s="3407"/>
      <c r="OOU4" s="3407"/>
      <c r="OOV4" s="3407"/>
      <c r="OOW4" s="3407"/>
      <c r="OOX4" s="3407"/>
      <c r="OOY4" s="3407"/>
      <c r="OOZ4" s="3407"/>
      <c r="OPA4" s="3407"/>
      <c r="OPB4" s="3407"/>
      <c r="OPC4" s="3407"/>
      <c r="OPD4" s="3407"/>
      <c r="OPE4" s="3407"/>
      <c r="OPF4" s="3407"/>
      <c r="OPG4" s="3407"/>
      <c r="OPH4" s="3407"/>
      <c r="OPI4" s="3407"/>
      <c r="OPJ4" s="3407"/>
      <c r="OPK4" s="3407"/>
      <c r="OPL4" s="3407"/>
      <c r="OPM4" s="3407"/>
      <c r="OPN4" s="3407"/>
      <c r="OPO4" s="3407"/>
      <c r="OPP4" s="3407"/>
      <c r="OPQ4" s="3407"/>
      <c r="OPR4" s="3407"/>
      <c r="OPS4" s="3407"/>
      <c r="OPT4" s="3407"/>
      <c r="OPU4" s="3407"/>
      <c r="OPV4" s="3407"/>
      <c r="OPW4" s="3407"/>
      <c r="OPX4" s="3407"/>
      <c r="OPY4" s="3407"/>
      <c r="OPZ4" s="3407"/>
      <c r="OQA4" s="3407"/>
      <c r="OQB4" s="3407"/>
      <c r="OQC4" s="3407"/>
      <c r="OQD4" s="3407"/>
      <c r="OQE4" s="3407"/>
      <c r="OQF4" s="3407"/>
      <c r="OQG4" s="3407"/>
      <c r="OQH4" s="3407"/>
      <c r="OQI4" s="3407"/>
      <c r="OQJ4" s="3407"/>
      <c r="OQK4" s="3407"/>
      <c r="OQL4" s="3407"/>
      <c r="OQM4" s="3407"/>
      <c r="OQN4" s="3407"/>
      <c r="OQO4" s="3407"/>
      <c r="OQP4" s="3407"/>
      <c r="OQQ4" s="3407"/>
      <c r="OQR4" s="3407"/>
      <c r="OQS4" s="3407"/>
      <c r="OQT4" s="3407"/>
      <c r="OQU4" s="3407"/>
      <c r="OQV4" s="3407"/>
      <c r="OQW4" s="3407"/>
      <c r="OQX4" s="3407"/>
      <c r="OQY4" s="3407"/>
      <c r="OQZ4" s="3407"/>
      <c r="ORA4" s="3407"/>
      <c r="ORB4" s="3407"/>
      <c r="ORC4" s="3407"/>
      <c r="ORD4" s="3407"/>
      <c r="ORE4" s="3407"/>
      <c r="ORF4" s="3407"/>
      <c r="ORG4" s="3407"/>
      <c r="ORH4" s="3407"/>
      <c r="ORI4" s="3407"/>
      <c r="ORJ4" s="3407"/>
      <c r="ORK4" s="3407"/>
      <c r="ORL4" s="3407"/>
      <c r="ORM4" s="3407"/>
      <c r="ORN4" s="3407"/>
      <c r="ORO4" s="3407"/>
      <c r="ORP4" s="3407"/>
      <c r="ORQ4" s="3407"/>
      <c r="ORR4" s="3407"/>
      <c r="ORS4" s="3407"/>
      <c r="ORT4" s="3407"/>
      <c r="ORU4" s="3407"/>
      <c r="ORV4" s="3407"/>
      <c r="ORW4" s="3407"/>
      <c r="ORX4" s="3407"/>
      <c r="ORY4" s="3407"/>
      <c r="ORZ4" s="3407"/>
      <c r="OSA4" s="3407"/>
      <c r="OSB4" s="3407"/>
      <c r="OSC4" s="3407"/>
      <c r="OSD4" s="3407"/>
      <c r="OSE4" s="3407"/>
      <c r="OSF4" s="3407"/>
      <c r="OSG4" s="3407"/>
      <c r="OSH4" s="3407"/>
      <c r="OSI4" s="3407"/>
      <c r="OSJ4" s="3407"/>
      <c r="OSK4" s="3407"/>
      <c r="OSL4" s="3407"/>
      <c r="OSM4" s="3407"/>
      <c r="OSN4" s="3407"/>
      <c r="OSO4" s="3407"/>
      <c r="OSP4" s="3407"/>
      <c r="OSQ4" s="3407"/>
      <c r="OSR4" s="3407"/>
      <c r="OSS4" s="3407"/>
      <c r="OST4" s="3407"/>
      <c r="OSU4" s="3407"/>
      <c r="OSV4" s="3407"/>
      <c r="OSW4" s="3407"/>
      <c r="OSX4" s="3407"/>
      <c r="OSY4" s="3407"/>
      <c r="OSZ4" s="3407"/>
      <c r="OTA4" s="3407"/>
      <c r="OTB4" s="3407"/>
      <c r="OTC4" s="3407"/>
      <c r="OTD4" s="3407"/>
      <c r="OTE4" s="3407"/>
      <c r="OTF4" s="3407"/>
      <c r="OTG4" s="3407"/>
      <c r="OTH4" s="3407"/>
      <c r="OTI4" s="3407"/>
      <c r="OTJ4" s="3407"/>
      <c r="OTK4" s="3407"/>
      <c r="OTL4" s="3407"/>
      <c r="OTM4" s="3407"/>
      <c r="OTN4" s="3407"/>
      <c r="OTO4" s="3407"/>
      <c r="OTP4" s="3407"/>
      <c r="OTQ4" s="3407"/>
      <c r="OTR4" s="3407"/>
      <c r="OTS4" s="3407"/>
      <c r="OTT4" s="3407"/>
      <c r="OTU4" s="3407"/>
      <c r="OTV4" s="3407"/>
      <c r="OTW4" s="3407"/>
      <c r="OTX4" s="3407"/>
      <c r="OTY4" s="3407"/>
      <c r="OTZ4" s="3407"/>
      <c r="OUA4" s="3407"/>
      <c r="OUB4" s="3407"/>
      <c r="OUC4" s="3407"/>
      <c r="OUD4" s="3407"/>
      <c r="OUE4" s="3407"/>
      <c r="OUF4" s="3407"/>
      <c r="OUG4" s="3407"/>
      <c r="OUH4" s="3407"/>
      <c r="OUI4" s="3407"/>
      <c r="OUJ4" s="3407"/>
      <c r="OUK4" s="3407"/>
      <c r="OUL4" s="3407"/>
      <c r="OUM4" s="3407"/>
      <c r="OUN4" s="3407"/>
      <c r="OUO4" s="3407"/>
      <c r="OUP4" s="3407"/>
      <c r="OUQ4" s="3407"/>
      <c r="OUR4" s="3407"/>
      <c r="OUS4" s="3407"/>
      <c r="OUT4" s="3407"/>
      <c r="OUU4" s="3407"/>
      <c r="OUV4" s="3407"/>
      <c r="OUW4" s="3407"/>
      <c r="OUX4" s="3407"/>
      <c r="OUY4" s="3407"/>
      <c r="OUZ4" s="3407"/>
      <c r="OVA4" s="3407"/>
      <c r="OVB4" s="3407"/>
      <c r="OVC4" s="3407"/>
      <c r="OVD4" s="3407"/>
      <c r="OVE4" s="3407"/>
      <c r="OVF4" s="3407"/>
      <c r="OVG4" s="3407"/>
      <c r="OVH4" s="3407"/>
      <c r="OVI4" s="3407"/>
      <c r="OVJ4" s="3407"/>
      <c r="OVK4" s="3407"/>
      <c r="OVL4" s="3407"/>
      <c r="OVM4" s="3407"/>
      <c r="OVN4" s="3407"/>
      <c r="OVO4" s="3407"/>
      <c r="OVP4" s="3407"/>
      <c r="OVQ4" s="3407"/>
      <c r="OVR4" s="3407"/>
      <c r="OVS4" s="3407"/>
      <c r="OVT4" s="3407"/>
      <c r="OVU4" s="3407"/>
      <c r="OVV4" s="3407"/>
      <c r="OVW4" s="3407"/>
      <c r="OVX4" s="3407"/>
      <c r="OVY4" s="3407"/>
      <c r="OVZ4" s="3407"/>
      <c r="OWA4" s="3407"/>
      <c r="OWB4" s="3407"/>
      <c r="OWC4" s="3407"/>
      <c r="OWD4" s="3407"/>
      <c r="OWE4" s="3407"/>
      <c r="OWF4" s="3407"/>
      <c r="OWG4" s="3407"/>
      <c r="OWH4" s="3407"/>
      <c r="OWI4" s="3407"/>
      <c r="OWJ4" s="3407"/>
      <c r="OWK4" s="3407"/>
      <c r="OWL4" s="3407"/>
      <c r="OWM4" s="3407"/>
      <c r="OWN4" s="3407"/>
      <c r="OWO4" s="3407"/>
      <c r="OWP4" s="3407"/>
      <c r="OWQ4" s="3407"/>
      <c r="OWR4" s="3407"/>
      <c r="OWS4" s="3407"/>
      <c r="OWT4" s="3407"/>
      <c r="OWU4" s="3407"/>
      <c r="OWV4" s="3407"/>
      <c r="OWW4" s="3407"/>
      <c r="OWX4" s="3407"/>
      <c r="OWY4" s="3407"/>
      <c r="OWZ4" s="3407"/>
      <c r="OXA4" s="3407"/>
      <c r="OXB4" s="3407"/>
      <c r="OXC4" s="3407"/>
      <c r="OXD4" s="3407"/>
      <c r="OXE4" s="3407"/>
      <c r="OXF4" s="3407"/>
      <c r="OXG4" s="3407"/>
      <c r="OXH4" s="3407"/>
      <c r="OXI4" s="3407"/>
      <c r="OXJ4" s="3407"/>
      <c r="OXK4" s="3407"/>
      <c r="OXL4" s="3407"/>
      <c r="OXM4" s="3407"/>
      <c r="OXN4" s="3407"/>
      <c r="OXO4" s="3407"/>
      <c r="OXP4" s="3407"/>
      <c r="OXQ4" s="3407"/>
      <c r="OXR4" s="3407"/>
      <c r="OXS4" s="3407"/>
      <c r="OXT4" s="3407"/>
      <c r="OXU4" s="3407"/>
      <c r="OXV4" s="3407"/>
      <c r="OXW4" s="3407"/>
      <c r="OXX4" s="3407"/>
      <c r="OXY4" s="3407"/>
      <c r="OXZ4" s="3407"/>
      <c r="OYA4" s="3407"/>
      <c r="OYB4" s="3407"/>
      <c r="OYC4" s="3407"/>
      <c r="OYD4" s="3407"/>
      <c r="OYE4" s="3407"/>
      <c r="OYF4" s="3407"/>
      <c r="OYG4" s="3407"/>
      <c r="OYH4" s="3407"/>
      <c r="OYI4" s="3407"/>
      <c r="OYJ4" s="3407"/>
      <c r="OYK4" s="3407"/>
      <c r="OYL4" s="3407"/>
      <c r="OYM4" s="3407"/>
      <c r="OYN4" s="3407"/>
      <c r="OYO4" s="3407"/>
      <c r="OYP4" s="3407"/>
      <c r="OYQ4" s="3407"/>
      <c r="OYR4" s="3407"/>
      <c r="OYS4" s="3407"/>
      <c r="OYT4" s="3407"/>
      <c r="OYU4" s="3407"/>
      <c r="OYV4" s="3407"/>
      <c r="OYW4" s="3407"/>
      <c r="OYX4" s="3407"/>
      <c r="OYY4" s="3407"/>
      <c r="OYZ4" s="3407"/>
      <c r="OZA4" s="3407"/>
      <c r="OZB4" s="3407"/>
      <c r="OZC4" s="3407"/>
      <c r="OZD4" s="3407"/>
      <c r="OZE4" s="3407"/>
      <c r="OZF4" s="3407"/>
      <c r="OZG4" s="3407"/>
      <c r="OZH4" s="3407"/>
      <c r="OZI4" s="3407"/>
      <c r="OZJ4" s="3407"/>
      <c r="OZK4" s="3407"/>
      <c r="OZL4" s="3407"/>
      <c r="OZM4" s="3407"/>
      <c r="OZN4" s="3407"/>
      <c r="OZO4" s="3407"/>
      <c r="OZP4" s="3407"/>
      <c r="OZQ4" s="3407"/>
      <c r="OZR4" s="3407"/>
      <c r="OZS4" s="3407"/>
      <c r="OZT4" s="3407"/>
      <c r="OZU4" s="3407"/>
      <c r="OZV4" s="3407"/>
      <c r="OZW4" s="3407"/>
      <c r="OZX4" s="3407"/>
      <c r="OZY4" s="3407"/>
      <c r="OZZ4" s="3407"/>
      <c r="PAA4" s="3407"/>
      <c r="PAB4" s="3407"/>
      <c r="PAC4" s="3407"/>
      <c r="PAD4" s="3407"/>
      <c r="PAE4" s="3407"/>
      <c r="PAF4" s="3407"/>
      <c r="PAG4" s="3407"/>
      <c r="PAH4" s="3407"/>
      <c r="PAI4" s="3407"/>
      <c r="PAJ4" s="3407"/>
      <c r="PAK4" s="3407"/>
      <c r="PAL4" s="3407"/>
      <c r="PAM4" s="3407"/>
      <c r="PAN4" s="3407"/>
      <c r="PAO4" s="3407"/>
      <c r="PAP4" s="3407"/>
      <c r="PAQ4" s="3407"/>
      <c r="PAR4" s="3407"/>
      <c r="PAS4" s="3407"/>
      <c r="PAT4" s="3407"/>
      <c r="PAU4" s="3407"/>
      <c r="PAV4" s="3407"/>
      <c r="PAW4" s="3407"/>
      <c r="PAX4" s="3407"/>
      <c r="PAY4" s="3407"/>
      <c r="PAZ4" s="3407"/>
      <c r="PBA4" s="3407"/>
      <c r="PBB4" s="3407"/>
      <c r="PBC4" s="3407"/>
      <c r="PBD4" s="3407"/>
      <c r="PBE4" s="3407"/>
      <c r="PBF4" s="3407"/>
      <c r="PBG4" s="3407"/>
      <c r="PBH4" s="3407"/>
      <c r="PBI4" s="3407"/>
      <c r="PBJ4" s="3407"/>
      <c r="PBK4" s="3407"/>
      <c r="PBL4" s="3407"/>
      <c r="PBM4" s="3407"/>
      <c r="PBN4" s="3407"/>
      <c r="PBO4" s="3407"/>
      <c r="PBP4" s="3407"/>
      <c r="PBQ4" s="3407"/>
      <c r="PBR4" s="3407"/>
      <c r="PBS4" s="3407"/>
      <c r="PBT4" s="3407"/>
      <c r="PBU4" s="3407"/>
      <c r="PBV4" s="3407"/>
      <c r="PBW4" s="3407"/>
      <c r="PBX4" s="3407"/>
      <c r="PBY4" s="3407"/>
      <c r="PBZ4" s="3407"/>
      <c r="PCA4" s="3407"/>
      <c r="PCB4" s="3407"/>
      <c r="PCC4" s="3407"/>
      <c r="PCD4" s="3407"/>
      <c r="PCE4" s="3407"/>
      <c r="PCF4" s="3407"/>
      <c r="PCG4" s="3407"/>
      <c r="PCH4" s="3407"/>
      <c r="PCI4" s="3407"/>
      <c r="PCJ4" s="3407"/>
      <c r="PCK4" s="3407"/>
      <c r="PCL4" s="3407"/>
      <c r="PCM4" s="3407"/>
      <c r="PCN4" s="3407"/>
      <c r="PCO4" s="3407"/>
      <c r="PCP4" s="3407"/>
      <c r="PCQ4" s="3407"/>
      <c r="PCR4" s="3407"/>
      <c r="PCS4" s="3407"/>
      <c r="PCT4" s="3407"/>
      <c r="PCU4" s="3407"/>
      <c r="PCV4" s="3407"/>
      <c r="PCW4" s="3407"/>
      <c r="PCX4" s="3407"/>
      <c r="PCY4" s="3407"/>
      <c r="PCZ4" s="3407"/>
      <c r="PDA4" s="3407"/>
      <c r="PDB4" s="3407"/>
      <c r="PDC4" s="3407"/>
      <c r="PDD4" s="3407"/>
      <c r="PDE4" s="3407"/>
      <c r="PDF4" s="3407"/>
      <c r="PDG4" s="3407"/>
      <c r="PDH4" s="3407"/>
      <c r="PDI4" s="3407"/>
      <c r="PDJ4" s="3407"/>
      <c r="PDK4" s="3407"/>
      <c r="PDL4" s="3407"/>
      <c r="PDM4" s="3407"/>
      <c r="PDN4" s="3407"/>
      <c r="PDO4" s="3407"/>
      <c r="PDP4" s="3407"/>
      <c r="PDQ4" s="3407"/>
      <c r="PDR4" s="3407"/>
      <c r="PDS4" s="3407"/>
      <c r="PDT4" s="3407"/>
      <c r="PDU4" s="3407"/>
      <c r="PDV4" s="3407"/>
      <c r="PDW4" s="3407"/>
      <c r="PDX4" s="3407"/>
      <c r="PDY4" s="3407"/>
      <c r="PDZ4" s="3407"/>
      <c r="PEA4" s="3407"/>
      <c r="PEB4" s="3407"/>
      <c r="PEC4" s="3407"/>
      <c r="PED4" s="3407"/>
      <c r="PEE4" s="3407"/>
      <c r="PEF4" s="3407"/>
      <c r="PEG4" s="3407"/>
      <c r="PEH4" s="3407"/>
      <c r="PEI4" s="3407"/>
      <c r="PEJ4" s="3407"/>
      <c r="PEK4" s="3407"/>
      <c r="PEL4" s="3407"/>
      <c r="PEM4" s="3407"/>
      <c r="PEN4" s="3407"/>
      <c r="PEO4" s="3407"/>
      <c r="PEP4" s="3407"/>
      <c r="PEQ4" s="3407"/>
      <c r="PER4" s="3407"/>
      <c r="PES4" s="3407"/>
      <c r="PET4" s="3407"/>
      <c r="PEU4" s="3407"/>
      <c r="PEV4" s="3407"/>
      <c r="PEW4" s="3407"/>
      <c r="PEX4" s="3407"/>
      <c r="PEY4" s="3407"/>
      <c r="PEZ4" s="3407"/>
      <c r="PFA4" s="3407"/>
      <c r="PFB4" s="3407"/>
      <c r="PFC4" s="3407"/>
      <c r="PFD4" s="3407"/>
      <c r="PFE4" s="3407"/>
      <c r="PFF4" s="3407"/>
      <c r="PFG4" s="3407"/>
      <c r="PFH4" s="3407"/>
      <c r="PFI4" s="3407"/>
      <c r="PFJ4" s="3407"/>
      <c r="PFK4" s="3407"/>
      <c r="PFL4" s="3407"/>
      <c r="PFM4" s="3407"/>
      <c r="PFN4" s="3407"/>
      <c r="PFO4" s="3407"/>
      <c r="PFP4" s="3407"/>
      <c r="PFQ4" s="3407"/>
      <c r="PFR4" s="3407"/>
      <c r="PFS4" s="3407"/>
      <c r="PFT4" s="3407"/>
      <c r="PFU4" s="3407"/>
      <c r="PFV4" s="3407"/>
      <c r="PFW4" s="3407"/>
      <c r="PFX4" s="3407"/>
      <c r="PFY4" s="3407"/>
      <c r="PFZ4" s="3407"/>
      <c r="PGA4" s="3407"/>
      <c r="PGB4" s="3407"/>
      <c r="PGC4" s="3407"/>
      <c r="PGD4" s="3407"/>
      <c r="PGE4" s="3407"/>
      <c r="PGF4" s="3407"/>
      <c r="PGG4" s="3407"/>
      <c r="PGH4" s="3407"/>
      <c r="PGI4" s="3407"/>
      <c r="PGJ4" s="3407"/>
      <c r="PGK4" s="3407"/>
      <c r="PGL4" s="3407"/>
      <c r="PGM4" s="3407"/>
      <c r="PGN4" s="3407"/>
      <c r="PGO4" s="3407"/>
      <c r="PGP4" s="3407"/>
      <c r="PGQ4" s="3407"/>
      <c r="PGR4" s="3407"/>
      <c r="PGS4" s="3407"/>
      <c r="PGT4" s="3407"/>
      <c r="PGU4" s="3407"/>
      <c r="PGV4" s="3407"/>
      <c r="PGW4" s="3407"/>
      <c r="PGX4" s="3407"/>
      <c r="PGY4" s="3407"/>
      <c r="PGZ4" s="3407"/>
      <c r="PHA4" s="3407"/>
      <c r="PHB4" s="3407"/>
      <c r="PHC4" s="3407"/>
      <c r="PHD4" s="3407"/>
      <c r="PHE4" s="3407"/>
      <c r="PHF4" s="3407"/>
      <c r="PHG4" s="3407"/>
      <c r="PHH4" s="3407"/>
      <c r="PHI4" s="3407"/>
      <c r="PHJ4" s="3407"/>
      <c r="PHK4" s="3407"/>
      <c r="PHL4" s="3407"/>
      <c r="PHM4" s="3407"/>
      <c r="PHN4" s="3407"/>
      <c r="PHO4" s="3407"/>
      <c r="PHP4" s="3407"/>
      <c r="PHQ4" s="3407"/>
      <c r="PHR4" s="3407"/>
      <c r="PHS4" s="3407"/>
      <c r="PHT4" s="3407"/>
      <c r="PHU4" s="3407"/>
      <c r="PHV4" s="3407"/>
      <c r="PHW4" s="3407"/>
      <c r="PHX4" s="3407"/>
      <c r="PHY4" s="3407"/>
      <c r="PHZ4" s="3407"/>
      <c r="PIA4" s="3407"/>
      <c r="PIB4" s="3407"/>
      <c r="PIC4" s="3407"/>
      <c r="PID4" s="3407"/>
      <c r="PIE4" s="3407"/>
      <c r="PIF4" s="3407"/>
      <c r="PIG4" s="3407"/>
      <c r="PIH4" s="3407"/>
      <c r="PII4" s="3407"/>
      <c r="PIJ4" s="3407"/>
      <c r="PIK4" s="3407"/>
      <c r="PIL4" s="3407"/>
      <c r="PIM4" s="3407"/>
      <c r="PIN4" s="3407"/>
      <c r="PIO4" s="3407"/>
      <c r="PIP4" s="3407"/>
      <c r="PIQ4" s="3407"/>
      <c r="PIR4" s="3407"/>
      <c r="PIS4" s="3407"/>
      <c r="PIT4" s="3407"/>
      <c r="PIU4" s="3407"/>
      <c r="PIV4" s="3407"/>
      <c r="PIW4" s="3407"/>
      <c r="PIX4" s="3407"/>
      <c r="PIY4" s="3407"/>
      <c r="PIZ4" s="3407"/>
      <c r="PJA4" s="3407"/>
      <c r="PJB4" s="3407"/>
      <c r="PJC4" s="3407"/>
      <c r="PJD4" s="3407"/>
      <c r="PJE4" s="3407"/>
      <c r="PJF4" s="3407"/>
      <c r="PJG4" s="3407"/>
      <c r="PJH4" s="3407"/>
      <c r="PJI4" s="3407"/>
      <c r="PJJ4" s="3407"/>
      <c r="PJK4" s="3407"/>
      <c r="PJL4" s="3407"/>
      <c r="PJM4" s="3407"/>
      <c r="PJN4" s="3407"/>
      <c r="PJO4" s="3407"/>
      <c r="PJP4" s="3407"/>
      <c r="PJQ4" s="3407"/>
      <c r="PJR4" s="3407"/>
      <c r="PJS4" s="3407"/>
      <c r="PJT4" s="3407"/>
      <c r="PJU4" s="3407"/>
      <c r="PJV4" s="3407"/>
      <c r="PJW4" s="3407"/>
      <c r="PJX4" s="3407"/>
      <c r="PJY4" s="3407"/>
      <c r="PJZ4" s="3407"/>
      <c r="PKA4" s="3407"/>
      <c r="PKB4" s="3407"/>
      <c r="PKC4" s="3407"/>
      <c r="PKD4" s="3407"/>
      <c r="PKE4" s="3407"/>
      <c r="PKF4" s="3407"/>
      <c r="PKG4" s="3407"/>
      <c r="PKH4" s="3407"/>
      <c r="PKI4" s="3407"/>
      <c r="PKJ4" s="3407"/>
      <c r="PKK4" s="3407"/>
      <c r="PKL4" s="3407"/>
      <c r="PKM4" s="3407"/>
      <c r="PKN4" s="3407"/>
      <c r="PKO4" s="3407"/>
      <c r="PKP4" s="3407"/>
      <c r="PKQ4" s="3407"/>
      <c r="PKR4" s="3407"/>
      <c r="PKS4" s="3407"/>
      <c r="PKT4" s="3407"/>
      <c r="PKU4" s="3407"/>
      <c r="PKV4" s="3407"/>
      <c r="PKW4" s="3407"/>
      <c r="PKX4" s="3407"/>
      <c r="PKY4" s="3407"/>
      <c r="PKZ4" s="3407"/>
      <c r="PLA4" s="3407"/>
      <c r="PLB4" s="3407"/>
      <c r="PLC4" s="3407"/>
      <c r="PLD4" s="3407"/>
      <c r="PLE4" s="3407"/>
      <c r="PLF4" s="3407"/>
      <c r="PLG4" s="3407"/>
      <c r="PLH4" s="3407"/>
      <c r="PLI4" s="3407"/>
      <c r="PLJ4" s="3407"/>
      <c r="PLK4" s="3407"/>
      <c r="PLL4" s="3407"/>
      <c r="PLM4" s="3407"/>
      <c r="PLN4" s="3407"/>
      <c r="PLO4" s="3407"/>
      <c r="PLP4" s="3407"/>
      <c r="PLQ4" s="3407"/>
      <c r="PLR4" s="3407"/>
      <c r="PLS4" s="3407"/>
      <c r="PLT4" s="3407"/>
      <c r="PLU4" s="3407"/>
      <c r="PLV4" s="3407"/>
      <c r="PLW4" s="3407"/>
      <c r="PLX4" s="3407"/>
      <c r="PLY4" s="3407"/>
      <c r="PLZ4" s="3407"/>
      <c r="PMA4" s="3407"/>
      <c r="PMB4" s="3407"/>
      <c r="PMC4" s="3407"/>
      <c r="PMD4" s="3407"/>
      <c r="PME4" s="3407"/>
      <c r="PMF4" s="3407"/>
      <c r="PMG4" s="3407"/>
      <c r="PMH4" s="3407"/>
      <c r="PMI4" s="3407"/>
      <c r="PMJ4" s="3407"/>
      <c r="PMK4" s="3407"/>
      <c r="PML4" s="3407"/>
      <c r="PMM4" s="3407"/>
      <c r="PMN4" s="3407"/>
      <c r="PMO4" s="3407"/>
      <c r="PMP4" s="3407"/>
      <c r="PMQ4" s="3407"/>
      <c r="PMR4" s="3407"/>
      <c r="PMS4" s="3407"/>
      <c r="PMT4" s="3407"/>
      <c r="PMU4" s="3407"/>
      <c r="PMV4" s="3407"/>
      <c r="PMW4" s="3407"/>
      <c r="PMX4" s="3407"/>
      <c r="PMY4" s="3407"/>
      <c r="PMZ4" s="3407"/>
      <c r="PNA4" s="3407"/>
      <c r="PNB4" s="3407"/>
      <c r="PNC4" s="3407"/>
      <c r="PND4" s="3407"/>
      <c r="PNE4" s="3407"/>
      <c r="PNF4" s="3407"/>
      <c r="PNG4" s="3407"/>
      <c r="PNH4" s="3407"/>
      <c r="PNI4" s="3407"/>
      <c r="PNJ4" s="3407"/>
      <c r="PNK4" s="3407"/>
      <c r="PNL4" s="3407"/>
      <c r="PNM4" s="3407"/>
      <c r="PNN4" s="3407"/>
      <c r="PNO4" s="3407"/>
      <c r="PNP4" s="3407"/>
      <c r="PNQ4" s="3407"/>
      <c r="PNR4" s="3407"/>
      <c r="PNS4" s="3407"/>
      <c r="PNT4" s="3407"/>
      <c r="PNU4" s="3407"/>
      <c r="PNV4" s="3407"/>
      <c r="PNW4" s="3407"/>
      <c r="PNX4" s="3407"/>
      <c r="PNY4" s="3407"/>
      <c r="PNZ4" s="3407"/>
      <c r="POA4" s="3407"/>
      <c r="POB4" s="3407"/>
      <c r="POC4" s="3407"/>
      <c r="POD4" s="3407"/>
      <c r="POE4" s="3407"/>
      <c r="POF4" s="3407"/>
      <c r="POG4" s="3407"/>
      <c r="POH4" s="3407"/>
      <c r="POI4" s="3407"/>
      <c r="POJ4" s="3407"/>
      <c r="POK4" s="3407"/>
      <c r="POL4" s="3407"/>
      <c r="POM4" s="3407"/>
      <c r="PON4" s="3407"/>
      <c r="POO4" s="3407"/>
      <c r="POP4" s="3407"/>
      <c r="POQ4" s="3407"/>
      <c r="POR4" s="3407"/>
      <c r="POS4" s="3407"/>
      <c r="POT4" s="3407"/>
      <c r="POU4" s="3407"/>
      <c r="POV4" s="3407"/>
      <c r="POW4" s="3407"/>
      <c r="POX4" s="3407"/>
      <c r="POY4" s="3407"/>
      <c r="POZ4" s="3407"/>
      <c r="PPA4" s="3407"/>
      <c r="PPB4" s="3407"/>
      <c r="PPC4" s="3407"/>
      <c r="PPD4" s="3407"/>
      <c r="PPE4" s="3407"/>
      <c r="PPF4" s="3407"/>
      <c r="PPG4" s="3407"/>
      <c r="PPH4" s="3407"/>
      <c r="PPI4" s="3407"/>
      <c r="PPJ4" s="3407"/>
      <c r="PPK4" s="3407"/>
      <c r="PPL4" s="3407"/>
      <c r="PPM4" s="3407"/>
      <c r="PPN4" s="3407"/>
      <c r="PPO4" s="3407"/>
      <c r="PPP4" s="3407"/>
      <c r="PPQ4" s="3407"/>
      <c r="PPR4" s="3407"/>
      <c r="PPS4" s="3407"/>
      <c r="PPT4" s="3407"/>
      <c r="PPU4" s="3407"/>
      <c r="PPV4" s="3407"/>
      <c r="PPW4" s="3407"/>
      <c r="PPX4" s="3407"/>
      <c r="PPY4" s="3407"/>
      <c r="PPZ4" s="3407"/>
      <c r="PQA4" s="3407"/>
      <c r="PQB4" s="3407"/>
      <c r="PQC4" s="3407"/>
      <c r="PQD4" s="3407"/>
      <c r="PQE4" s="3407"/>
      <c r="PQF4" s="3407"/>
      <c r="PQG4" s="3407"/>
      <c r="PQH4" s="3407"/>
      <c r="PQI4" s="3407"/>
      <c r="PQJ4" s="3407"/>
      <c r="PQK4" s="3407"/>
      <c r="PQL4" s="3407"/>
      <c r="PQM4" s="3407"/>
      <c r="PQN4" s="3407"/>
      <c r="PQO4" s="3407"/>
      <c r="PQP4" s="3407"/>
      <c r="PQQ4" s="3407"/>
      <c r="PQR4" s="3407"/>
      <c r="PQS4" s="3407"/>
      <c r="PQT4" s="3407"/>
      <c r="PQU4" s="3407"/>
      <c r="PQV4" s="3407"/>
      <c r="PQW4" s="3407"/>
      <c r="PQX4" s="3407"/>
      <c r="PQY4" s="3407"/>
      <c r="PQZ4" s="3407"/>
      <c r="PRA4" s="3407"/>
      <c r="PRB4" s="3407"/>
      <c r="PRC4" s="3407"/>
      <c r="PRD4" s="3407"/>
      <c r="PRE4" s="3407"/>
      <c r="PRF4" s="3407"/>
      <c r="PRG4" s="3407"/>
      <c r="PRH4" s="3407"/>
      <c r="PRI4" s="3407"/>
      <c r="PRJ4" s="3407"/>
      <c r="PRK4" s="3407"/>
      <c r="PRL4" s="3407"/>
      <c r="PRM4" s="3407"/>
      <c r="PRN4" s="3407"/>
      <c r="PRO4" s="3407"/>
      <c r="PRP4" s="3407"/>
      <c r="PRQ4" s="3407"/>
      <c r="PRR4" s="3407"/>
      <c r="PRS4" s="3407"/>
      <c r="PRT4" s="3407"/>
      <c r="PRU4" s="3407"/>
      <c r="PRV4" s="3407"/>
      <c r="PRW4" s="3407"/>
      <c r="PRX4" s="3407"/>
      <c r="PRY4" s="3407"/>
      <c r="PRZ4" s="3407"/>
      <c r="PSA4" s="3407"/>
      <c r="PSB4" s="3407"/>
      <c r="PSC4" s="3407"/>
      <c r="PSD4" s="3407"/>
      <c r="PSE4" s="3407"/>
      <c r="PSF4" s="3407"/>
      <c r="PSG4" s="3407"/>
      <c r="PSH4" s="3407"/>
      <c r="PSI4" s="3407"/>
      <c r="PSJ4" s="3407"/>
      <c r="PSK4" s="3407"/>
      <c r="PSL4" s="3407"/>
      <c r="PSM4" s="3407"/>
      <c r="PSN4" s="3407"/>
      <c r="PSO4" s="3407"/>
      <c r="PSP4" s="3407"/>
      <c r="PSQ4" s="3407"/>
      <c r="PSR4" s="3407"/>
      <c r="PSS4" s="3407"/>
      <c r="PST4" s="3407"/>
      <c r="PSU4" s="3407"/>
      <c r="PSV4" s="3407"/>
      <c r="PSW4" s="3407"/>
      <c r="PSX4" s="3407"/>
      <c r="PSY4" s="3407"/>
      <c r="PSZ4" s="3407"/>
      <c r="PTA4" s="3407"/>
      <c r="PTB4" s="3407"/>
      <c r="PTC4" s="3407"/>
      <c r="PTD4" s="3407"/>
      <c r="PTE4" s="3407"/>
      <c r="PTF4" s="3407"/>
      <c r="PTG4" s="3407"/>
      <c r="PTH4" s="3407"/>
      <c r="PTI4" s="3407"/>
      <c r="PTJ4" s="3407"/>
      <c r="PTK4" s="3407"/>
      <c r="PTL4" s="3407"/>
      <c r="PTM4" s="3407"/>
      <c r="PTN4" s="3407"/>
      <c r="PTO4" s="3407"/>
      <c r="PTP4" s="3407"/>
      <c r="PTQ4" s="3407"/>
      <c r="PTR4" s="3407"/>
      <c r="PTS4" s="3407"/>
      <c r="PTT4" s="3407"/>
      <c r="PTU4" s="3407"/>
      <c r="PTV4" s="3407"/>
      <c r="PTW4" s="3407"/>
      <c r="PTX4" s="3407"/>
      <c r="PTY4" s="3407"/>
      <c r="PTZ4" s="3407"/>
      <c r="PUA4" s="3407"/>
      <c r="PUB4" s="3407"/>
      <c r="PUC4" s="3407"/>
      <c r="PUD4" s="3407"/>
      <c r="PUE4" s="3407"/>
      <c r="PUF4" s="3407"/>
      <c r="PUG4" s="3407"/>
      <c r="PUH4" s="3407"/>
      <c r="PUI4" s="3407"/>
      <c r="PUJ4" s="3407"/>
      <c r="PUK4" s="3407"/>
      <c r="PUL4" s="3407"/>
      <c r="PUM4" s="3407"/>
      <c r="PUN4" s="3407"/>
      <c r="PUO4" s="3407"/>
      <c r="PUP4" s="3407"/>
      <c r="PUQ4" s="3407"/>
      <c r="PUR4" s="3407"/>
      <c r="PUS4" s="3407"/>
      <c r="PUT4" s="3407"/>
      <c r="PUU4" s="3407"/>
      <c r="PUV4" s="3407"/>
      <c r="PUW4" s="3407"/>
      <c r="PUX4" s="3407"/>
      <c r="PUY4" s="3407"/>
      <c r="PUZ4" s="3407"/>
      <c r="PVA4" s="3407"/>
      <c r="PVB4" s="3407"/>
      <c r="PVC4" s="3407"/>
      <c r="PVD4" s="3407"/>
      <c r="PVE4" s="3407"/>
      <c r="PVF4" s="3407"/>
      <c r="PVG4" s="3407"/>
      <c r="PVH4" s="3407"/>
      <c r="PVI4" s="3407"/>
      <c r="PVJ4" s="3407"/>
      <c r="PVK4" s="3407"/>
      <c r="PVL4" s="3407"/>
      <c r="PVM4" s="3407"/>
      <c r="PVN4" s="3407"/>
      <c r="PVO4" s="3407"/>
      <c r="PVP4" s="3407"/>
      <c r="PVQ4" s="3407"/>
      <c r="PVR4" s="3407"/>
      <c r="PVS4" s="3407"/>
      <c r="PVT4" s="3407"/>
      <c r="PVU4" s="3407"/>
      <c r="PVV4" s="3407"/>
      <c r="PVW4" s="3407"/>
      <c r="PVX4" s="3407"/>
      <c r="PVY4" s="3407"/>
      <c r="PVZ4" s="3407"/>
      <c r="PWA4" s="3407"/>
      <c r="PWB4" s="3407"/>
      <c r="PWC4" s="3407"/>
      <c r="PWD4" s="3407"/>
      <c r="PWE4" s="3407"/>
      <c r="PWF4" s="3407"/>
      <c r="PWG4" s="3407"/>
      <c r="PWH4" s="3407"/>
      <c r="PWI4" s="3407"/>
      <c r="PWJ4" s="3407"/>
      <c r="PWK4" s="3407"/>
      <c r="PWL4" s="3407"/>
      <c r="PWM4" s="3407"/>
      <c r="PWN4" s="3407"/>
      <c r="PWO4" s="3407"/>
      <c r="PWP4" s="3407"/>
      <c r="PWQ4" s="3407"/>
      <c r="PWR4" s="3407"/>
      <c r="PWS4" s="3407"/>
      <c r="PWT4" s="3407"/>
      <c r="PWU4" s="3407"/>
      <c r="PWV4" s="3407"/>
      <c r="PWW4" s="3407"/>
      <c r="PWX4" s="3407"/>
      <c r="PWY4" s="3407"/>
      <c r="PWZ4" s="3407"/>
      <c r="PXA4" s="3407"/>
      <c r="PXB4" s="3407"/>
      <c r="PXC4" s="3407"/>
      <c r="PXD4" s="3407"/>
      <c r="PXE4" s="3407"/>
      <c r="PXF4" s="3407"/>
      <c r="PXG4" s="3407"/>
      <c r="PXH4" s="3407"/>
      <c r="PXI4" s="3407"/>
      <c r="PXJ4" s="3407"/>
      <c r="PXK4" s="3407"/>
      <c r="PXL4" s="3407"/>
      <c r="PXM4" s="3407"/>
      <c r="PXN4" s="3407"/>
      <c r="PXO4" s="3407"/>
      <c r="PXP4" s="3407"/>
      <c r="PXQ4" s="3407"/>
      <c r="PXR4" s="3407"/>
      <c r="PXS4" s="3407"/>
      <c r="PXT4" s="3407"/>
      <c r="PXU4" s="3407"/>
      <c r="PXV4" s="3407"/>
      <c r="PXW4" s="3407"/>
      <c r="PXX4" s="3407"/>
      <c r="PXY4" s="3407"/>
      <c r="PXZ4" s="3407"/>
      <c r="PYA4" s="3407"/>
      <c r="PYB4" s="3407"/>
      <c r="PYC4" s="3407"/>
      <c r="PYD4" s="3407"/>
      <c r="PYE4" s="3407"/>
      <c r="PYF4" s="3407"/>
      <c r="PYG4" s="3407"/>
      <c r="PYH4" s="3407"/>
      <c r="PYI4" s="3407"/>
      <c r="PYJ4" s="3407"/>
      <c r="PYK4" s="3407"/>
      <c r="PYL4" s="3407"/>
      <c r="PYM4" s="3407"/>
      <c r="PYN4" s="3407"/>
      <c r="PYO4" s="3407"/>
      <c r="PYP4" s="3407"/>
      <c r="PYQ4" s="3407"/>
      <c r="PYR4" s="3407"/>
      <c r="PYS4" s="3407"/>
      <c r="PYT4" s="3407"/>
      <c r="PYU4" s="3407"/>
      <c r="PYV4" s="3407"/>
      <c r="PYW4" s="3407"/>
      <c r="PYX4" s="3407"/>
      <c r="PYY4" s="3407"/>
      <c r="PYZ4" s="3407"/>
      <c r="PZA4" s="3407"/>
      <c r="PZB4" s="3407"/>
      <c r="PZC4" s="3407"/>
      <c r="PZD4" s="3407"/>
      <c r="PZE4" s="3407"/>
      <c r="PZF4" s="3407"/>
      <c r="PZG4" s="3407"/>
      <c r="PZH4" s="3407"/>
      <c r="PZI4" s="3407"/>
      <c r="PZJ4" s="3407"/>
      <c r="PZK4" s="3407"/>
      <c r="PZL4" s="3407"/>
      <c r="PZM4" s="3407"/>
      <c r="PZN4" s="3407"/>
      <c r="PZO4" s="3407"/>
      <c r="PZP4" s="3407"/>
      <c r="PZQ4" s="3407"/>
      <c r="PZR4" s="3407"/>
      <c r="PZS4" s="3407"/>
      <c r="PZT4" s="3407"/>
      <c r="PZU4" s="3407"/>
      <c r="PZV4" s="3407"/>
      <c r="PZW4" s="3407"/>
      <c r="PZX4" s="3407"/>
      <c r="PZY4" s="3407"/>
      <c r="PZZ4" s="3407"/>
      <c r="QAA4" s="3407"/>
      <c r="QAB4" s="3407"/>
      <c r="QAC4" s="3407"/>
      <c r="QAD4" s="3407"/>
      <c r="QAE4" s="3407"/>
      <c r="QAF4" s="3407"/>
      <c r="QAG4" s="3407"/>
      <c r="QAH4" s="3407"/>
      <c r="QAI4" s="3407"/>
      <c r="QAJ4" s="3407"/>
      <c r="QAK4" s="3407"/>
      <c r="QAL4" s="3407"/>
      <c r="QAM4" s="3407"/>
      <c r="QAN4" s="3407"/>
      <c r="QAO4" s="3407"/>
      <c r="QAP4" s="3407"/>
      <c r="QAQ4" s="3407"/>
      <c r="QAR4" s="3407"/>
      <c r="QAS4" s="3407"/>
      <c r="QAT4" s="3407"/>
      <c r="QAU4" s="3407"/>
      <c r="QAV4" s="3407"/>
      <c r="QAW4" s="3407"/>
      <c r="QAX4" s="3407"/>
      <c r="QAY4" s="3407"/>
      <c r="QAZ4" s="3407"/>
      <c r="QBA4" s="3407"/>
      <c r="QBB4" s="3407"/>
      <c r="QBC4" s="3407"/>
      <c r="QBD4" s="3407"/>
      <c r="QBE4" s="3407"/>
      <c r="QBF4" s="3407"/>
      <c r="QBG4" s="3407"/>
      <c r="QBH4" s="3407"/>
      <c r="QBI4" s="3407"/>
      <c r="QBJ4" s="3407"/>
      <c r="QBK4" s="3407"/>
      <c r="QBL4" s="3407"/>
      <c r="QBM4" s="3407"/>
      <c r="QBN4" s="3407"/>
      <c r="QBO4" s="3407"/>
      <c r="QBP4" s="3407"/>
      <c r="QBQ4" s="3407"/>
      <c r="QBR4" s="3407"/>
      <c r="QBS4" s="3407"/>
      <c r="QBT4" s="3407"/>
      <c r="QBU4" s="3407"/>
      <c r="QBV4" s="3407"/>
      <c r="QBW4" s="3407"/>
      <c r="QBX4" s="3407"/>
      <c r="QBY4" s="3407"/>
      <c r="QBZ4" s="3407"/>
      <c r="QCA4" s="3407"/>
      <c r="QCB4" s="3407"/>
      <c r="QCC4" s="3407"/>
      <c r="QCD4" s="3407"/>
      <c r="QCE4" s="3407"/>
      <c r="QCF4" s="3407"/>
      <c r="QCG4" s="3407"/>
      <c r="QCH4" s="3407"/>
      <c r="QCI4" s="3407"/>
      <c r="QCJ4" s="3407"/>
      <c r="QCK4" s="3407"/>
      <c r="QCL4" s="3407"/>
      <c r="QCM4" s="3407"/>
      <c r="QCN4" s="3407"/>
      <c r="QCO4" s="3407"/>
      <c r="QCP4" s="3407"/>
      <c r="QCQ4" s="3407"/>
      <c r="QCR4" s="3407"/>
      <c r="QCS4" s="3407"/>
      <c r="QCT4" s="3407"/>
      <c r="QCU4" s="3407"/>
      <c r="QCV4" s="3407"/>
      <c r="QCW4" s="3407"/>
      <c r="QCX4" s="3407"/>
      <c r="QCY4" s="3407"/>
      <c r="QCZ4" s="3407"/>
      <c r="QDA4" s="3407"/>
      <c r="QDB4" s="3407"/>
      <c r="QDC4" s="3407"/>
      <c r="QDD4" s="3407"/>
      <c r="QDE4" s="3407"/>
      <c r="QDF4" s="3407"/>
      <c r="QDG4" s="3407"/>
      <c r="QDH4" s="3407"/>
      <c r="QDI4" s="3407"/>
      <c r="QDJ4" s="3407"/>
      <c r="QDK4" s="3407"/>
      <c r="QDL4" s="3407"/>
      <c r="QDM4" s="3407"/>
      <c r="QDN4" s="3407"/>
      <c r="QDO4" s="3407"/>
      <c r="QDP4" s="3407"/>
      <c r="QDQ4" s="3407"/>
      <c r="QDR4" s="3407"/>
      <c r="QDS4" s="3407"/>
      <c r="QDT4" s="3407"/>
      <c r="QDU4" s="3407"/>
      <c r="QDV4" s="3407"/>
      <c r="QDW4" s="3407"/>
      <c r="QDX4" s="3407"/>
      <c r="QDY4" s="3407"/>
      <c r="QDZ4" s="3407"/>
      <c r="QEA4" s="3407"/>
      <c r="QEB4" s="3407"/>
      <c r="QEC4" s="3407"/>
      <c r="QED4" s="3407"/>
      <c r="QEE4" s="3407"/>
      <c r="QEF4" s="3407"/>
      <c r="QEG4" s="3407"/>
      <c r="QEH4" s="3407"/>
      <c r="QEI4" s="3407"/>
      <c r="QEJ4" s="3407"/>
      <c r="QEK4" s="3407"/>
      <c r="QEL4" s="3407"/>
      <c r="QEM4" s="3407"/>
      <c r="QEN4" s="3407"/>
      <c r="QEO4" s="3407"/>
      <c r="QEP4" s="3407"/>
      <c r="QEQ4" s="3407"/>
      <c r="QER4" s="3407"/>
      <c r="QES4" s="3407"/>
      <c r="QET4" s="3407"/>
      <c r="QEU4" s="3407"/>
      <c r="QEV4" s="3407"/>
      <c r="QEW4" s="3407"/>
      <c r="QEX4" s="3407"/>
      <c r="QEY4" s="3407"/>
      <c r="QEZ4" s="3407"/>
      <c r="QFA4" s="3407"/>
      <c r="QFB4" s="3407"/>
      <c r="QFC4" s="3407"/>
      <c r="QFD4" s="3407"/>
      <c r="QFE4" s="3407"/>
      <c r="QFF4" s="3407"/>
      <c r="QFG4" s="3407"/>
      <c r="QFH4" s="3407"/>
      <c r="QFI4" s="3407"/>
      <c r="QFJ4" s="3407"/>
      <c r="QFK4" s="3407"/>
      <c r="QFL4" s="3407"/>
      <c r="QFM4" s="3407"/>
      <c r="QFN4" s="3407"/>
      <c r="QFO4" s="3407"/>
      <c r="QFP4" s="3407"/>
      <c r="QFQ4" s="3407"/>
      <c r="QFR4" s="3407"/>
      <c r="QFS4" s="3407"/>
      <c r="QFT4" s="3407"/>
      <c r="QFU4" s="3407"/>
      <c r="QFV4" s="3407"/>
      <c r="QFW4" s="3407"/>
      <c r="QFX4" s="3407"/>
      <c r="QFY4" s="3407"/>
      <c r="QFZ4" s="3407"/>
      <c r="QGA4" s="3407"/>
      <c r="QGB4" s="3407"/>
      <c r="QGC4" s="3407"/>
      <c r="QGD4" s="3407"/>
      <c r="QGE4" s="3407"/>
      <c r="QGF4" s="3407"/>
      <c r="QGG4" s="3407"/>
      <c r="QGH4" s="3407"/>
      <c r="QGI4" s="3407"/>
      <c r="QGJ4" s="3407"/>
      <c r="QGK4" s="3407"/>
      <c r="QGL4" s="3407"/>
      <c r="QGM4" s="3407"/>
      <c r="QGN4" s="3407"/>
      <c r="QGO4" s="3407"/>
      <c r="QGP4" s="3407"/>
      <c r="QGQ4" s="3407"/>
      <c r="QGR4" s="3407"/>
      <c r="QGS4" s="3407"/>
      <c r="QGT4" s="3407"/>
      <c r="QGU4" s="3407"/>
      <c r="QGV4" s="3407"/>
      <c r="QGW4" s="3407"/>
      <c r="QGX4" s="3407"/>
      <c r="QGY4" s="3407"/>
      <c r="QGZ4" s="3407"/>
      <c r="QHA4" s="3407"/>
      <c r="QHB4" s="3407"/>
      <c r="QHC4" s="3407"/>
      <c r="QHD4" s="3407"/>
      <c r="QHE4" s="3407"/>
      <c r="QHF4" s="3407"/>
      <c r="QHG4" s="3407"/>
      <c r="QHH4" s="3407"/>
      <c r="QHI4" s="3407"/>
      <c r="QHJ4" s="3407"/>
      <c r="QHK4" s="3407"/>
      <c r="QHL4" s="3407"/>
      <c r="QHM4" s="3407"/>
      <c r="QHN4" s="3407"/>
      <c r="QHO4" s="3407"/>
      <c r="QHP4" s="3407"/>
      <c r="QHQ4" s="3407"/>
      <c r="QHR4" s="3407"/>
      <c r="QHS4" s="3407"/>
      <c r="QHT4" s="3407"/>
      <c r="QHU4" s="3407"/>
      <c r="QHV4" s="3407"/>
      <c r="QHW4" s="3407"/>
      <c r="QHX4" s="3407"/>
      <c r="QHY4" s="3407"/>
      <c r="QHZ4" s="3407"/>
      <c r="QIA4" s="3407"/>
      <c r="QIB4" s="3407"/>
      <c r="QIC4" s="3407"/>
      <c r="QID4" s="3407"/>
      <c r="QIE4" s="3407"/>
      <c r="QIF4" s="3407"/>
      <c r="QIG4" s="3407"/>
      <c r="QIH4" s="3407"/>
      <c r="QII4" s="3407"/>
      <c r="QIJ4" s="3407"/>
      <c r="QIK4" s="3407"/>
      <c r="QIL4" s="3407"/>
      <c r="QIM4" s="3407"/>
      <c r="QIN4" s="3407"/>
      <c r="QIO4" s="3407"/>
      <c r="QIP4" s="3407"/>
      <c r="QIQ4" s="3407"/>
      <c r="QIR4" s="3407"/>
      <c r="QIS4" s="3407"/>
      <c r="QIT4" s="3407"/>
      <c r="QIU4" s="3407"/>
      <c r="QIV4" s="3407"/>
      <c r="QIW4" s="3407"/>
      <c r="QIX4" s="3407"/>
      <c r="QIY4" s="3407"/>
      <c r="QIZ4" s="3407"/>
      <c r="QJA4" s="3407"/>
      <c r="QJB4" s="3407"/>
      <c r="QJC4" s="3407"/>
      <c r="QJD4" s="3407"/>
      <c r="QJE4" s="3407"/>
      <c r="QJF4" s="3407"/>
      <c r="QJG4" s="3407"/>
      <c r="QJH4" s="3407"/>
      <c r="QJI4" s="3407"/>
      <c r="QJJ4" s="3407"/>
      <c r="QJK4" s="3407"/>
      <c r="QJL4" s="3407"/>
      <c r="QJM4" s="3407"/>
      <c r="QJN4" s="3407"/>
      <c r="QJO4" s="3407"/>
      <c r="QJP4" s="3407"/>
      <c r="QJQ4" s="3407"/>
      <c r="QJR4" s="3407"/>
      <c r="QJS4" s="3407"/>
      <c r="QJT4" s="3407"/>
      <c r="QJU4" s="3407"/>
      <c r="QJV4" s="3407"/>
      <c r="QJW4" s="3407"/>
      <c r="QJX4" s="3407"/>
      <c r="QJY4" s="3407"/>
      <c r="QJZ4" s="3407"/>
      <c r="QKA4" s="3407"/>
      <c r="QKB4" s="3407"/>
      <c r="QKC4" s="3407"/>
      <c r="QKD4" s="3407"/>
      <c r="QKE4" s="3407"/>
      <c r="QKF4" s="3407"/>
      <c r="QKG4" s="3407"/>
      <c r="QKH4" s="3407"/>
      <c r="QKI4" s="3407"/>
      <c r="QKJ4" s="3407"/>
      <c r="QKK4" s="3407"/>
      <c r="QKL4" s="3407"/>
      <c r="QKM4" s="3407"/>
      <c r="QKN4" s="3407"/>
      <c r="QKO4" s="3407"/>
      <c r="QKP4" s="3407"/>
      <c r="QKQ4" s="3407"/>
      <c r="QKR4" s="3407"/>
      <c r="QKS4" s="3407"/>
      <c r="QKT4" s="3407"/>
      <c r="QKU4" s="3407"/>
      <c r="QKV4" s="3407"/>
      <c r="QKW4" s="3407"/>
      <c r="QKX4" s="3407"/>
      <c r="QKY4" s="3407"/>
      <c r="QKZ4" s="3407"/>
      <c r="QLA4" s="3407"/>
      <c r="QLB4" s="3407"/>
      <c r="QLC4" s="3407"/>
      <c r="QLD4" s="3407"/>
      <c r="QLE4" s="3407"/>
      <c r="QLF4" s="3407"/>
      <c r="QLG4" s="3407"/>
      <c r="QLH4" s="3407"/>
      <c r="QLI4" s="3407"/>
      <c r="QLJ4" s="3407"/>
      <c r="QLK4" s="3407"/>
      <c r="QLL4" s="3407"/>
      <c r="QLM4" s="3407"/>
      <c r="QLN4" s="3407"/>
      <c r="QLO4" s="3407"/>
      <c r="QLP4" s="3407"/>
      <c r="QLQ4" s="3407"/>
      <c r="QLR4" s="3407"/>
      <c r="QLS4" s="3407"/>
      <c r="QLT4" s="3407"/>
      <c r="QLU4" s="3407"/>
      <c r="QLV4" s="3407"/>
      <c r="QLW4" s="3407"/>
      <c r="QLX4" s="3407"/>
      <c r="QLY4" s="3407"/>
      <c r="QLZ4" s="3407"/>
      <c r="QMA4" s="3407"/>
      <c r="QMB4" s="3407"/>
      <c r="QMC4" s="3407"/>
      <c r="QMD4" s="3407"/>
      <c r="QME4" s="3407"/>
      <c r="QMF4" s="3407"/>
      <c r="QMG4" s="3407"/>
      <c r="QMH4" s="3407"/>
      <c r="QMI4" s="3407"/>
      <c r="QMJ4" s="3407"/>
      <c r="QMK4" s="3407"/>
      <c r="QML4" s="3407"/>
      <c r="QMM4" s="3407"/>
      <c r="QMN4" s="3407"/>
      <c r="QMO4" s="3407"/>
      <c r="QMP4" s="3407"/>
      <c r="QMQ4" s="3407"/>
      <c r="QMR4" s="3407"/>
      <c r="QMS4" s="3407"/>
      <c r="QMT4" s="3407"/>
      <c r="QMU4" s="3407"/>
      <c r="QMV4" s="3407"/>
      <c r="QMW4" s="3407"/>
      <c r="QMX4" s="3407"/>
      <c r="QMY4" s="3407"/>
      <c r="QMZ4" s="3407"/>
      <c r="QNA4" s="3407"/>
      <c r="QNB4" s="3407"/>
      <c r="QNC4" s="3407"/>
      <c r="QND4" s="3407"/>
      <c r="QNE4" s="3407"/>
      <c r="QNF4" s="3407"/>
      <c r="QNG4" s="3407"/>
      <c r="QNH4" s="3407"/>
      <c r="QNI4" s="3407"/>
      <c r="QNJ4" s="3407"/>
      <c r="QNK4" s="3407"/>
      <c r="QNL4" s="3407"/>
      <c r="QNM4" s="3407"/>
      <c r="QNN4" s="3407"/>
      <c r="QNO4" s="3407"/>
      <c r="QNP4" s="3407"/>
      <c r="QNQ4" s="3407"/>
      <c r="QNR4" s="3407"/>
      <c r="QNS4" s="3407"/>
      <c r="QNT4" s="3407"/>
      <c r="QNU4" s="3407"/>
      <c r="QNV4" s="3407"/>
      <c r="QNW4" s="3407"/>
      <c r="QNX4" s="3407"/>
      <c r="QNY4" s="3407"/>
      <c r="QNZ4" s="3407"/>
      <c r="QOA4" s="3407"/>
      <c r="QOB4" s="3407"/>
      <c r="QOC4" s="3407"/>
      <c r="QOD4" s="3407"/>
      <c r="QOE4" s="3407"/>
      <c r="QOF4" s="3407"/>
      <c r="QOG4" s="3407"/>
      <c r="QOH4" s="3407"/>
      <c r="QOI4" s="3407"/>
      <c r="QOJ4" s="3407"/>
      <c r="QOK4" s="3407"/>
      <c r="QOL4" s="3407"/>
      <c r="QOM4" s="3407"/>
      <c r="QON4" s="3407"/>
      <c r="QOO4" s="3407"/>
      <c r="QOP4" s="3407"/>
      <c r="QOQ4" s="3407"/>
      <c r="QOR4" s="3407"/>
      <c r="QOS4" s="3407"/>
      <c r="QOT4" s="3407"/>
      <c r="QOU4" s="3407"/>
      <c r="QOV4" s="3407"/>
      <c r="QOW4" s="3407"/>
      <c r="QOX4" s="3407"/>
      <c r="QOY4" s="3407"/>
      <c r="QOZ4" s="3407"/>
      <c r="QPA4" s="3407"/>
      <c r="QPB4" s="3407"/>
      <c r="QPC4" s="3407"/>
      <c r="QPD4" s="3407"/>
      <c r="QPE4" s="3407"/>
      <c r="QPF4" s="3407"/>
      <c r="QPG4" s="3407"/>
      <c r="QPH4" s="3407"/>
      <c r="QPI4" s="3407"/>
      <c r="QPJ4" s="3407"/>
      <c r="QPK4" s="3407"/>
      <c r="QPL4" s="3407"/>
      <c r="QPM4" s="3407"/>
      <c r="QPN4" s="3407"/>
      <c r="QPO4" s="3407"/>
      <c r="QPP4" s="3407"/>
      <c r="QPQ4" s="3407"/>
      <c r="QPR4" s="3407"/>
      <c r="QPS4" s="3407"/>
      <c r="QPT4" s="3407"/>
      <c r="QPU4" s="3407"/>
      <c r="QPV4" s="3407"/>
      <c r="QPW4" s="3407"/>
      <c r="QPX4" s="3407"/>
      <c r="QPY4" s="3407"/>
      <c r="QPZ4" s="3407"/>
      <c r="QQA4" s="3407"/>
      <c r="QQB4" s="3407"/>
      <c r="QQC4" s="3407"/>
      <c r="QQD4" s="3407"/>
      <c r="QQE4" s="3407"/>
      <c r="QQF4" s="3407"/>
      <c r="QQG4" s="3407"/>
      <c r="QQH4" s="3407"/>
      <c r="QQI4" s="3407"/>
      <c r="QQJ4" s="3407"/>
      <c r="QQK4" s="3407"/>
      <c r="QQL4" s="3407"/>
      <c r="QQM4" s="3407"/>
      <c r="QQN4" s="3407"/>
      <c r="QQO4" s="3407"/>
      <c r="QQP4" s="3407"/>
      <c r="QQQ4" s="3407"/>
      <c r="QQR4" s="3407"/>
      <c r="QQS4" s="3407"/>
      <c r="QQT4" s="3407"/>
      <c r="QQU4" s="3407"/>
      <c r="QQV4" s="3407"/>
      <c r="QQW4" s="3407"/>
      <c r="QQX4" s="3407"/>
      <c r="QQY4" s="3407"/>
      <c r="QQZ4" s="3407"/>
      <c r="QRA4" s="3407"/>
      <c r="QRB4" s="3407"/>
      <c r="QRC4" s="3407"/>
      <c r="QRD4" s="3407"/>
      <c r="QRE4" s="3407"/>
      <c r="QRF4" s="3407"/>
      <c r="QRG4" s="3407"/>
      <c r="QRH4" s="3407"/>
      <c r="QRI4" s="3407"/>
      <c r="QRJ4" s="3407"/>
      <c r="QRK4" s="3407"/>
      <c r="QRL4" s="3407"/>
      <c r="QRM4" s="3407"/>
      <c r="QRN4" s="3407"/>
      <c r="QRO4" s="3407"/>
      <c r="QRP4" s="3407"/>
      <c r="QRQ4" s="3407"/>
      <c r="QRR4" s="3407"/>
      <c r="QRS4" s="3407"/>
      <c r="QRT4" s="3407"/>
      <c r="QRU4" s="3407"/>
      <c r="QRV4" s="3407"/>
      <c r="QRW4" s="3407"/>
      <c r="QRX4" s="3407"/>
      <c r="QRY4" s="3407"/>
      <c r="QRZ4" s="3407"/>
      <c r="QSA4" s="3407"/>
      <c r="QSB4" s="3407"/>
      <c r="QSC4" s="3407"/>
      <c r="QSD4" s="3407"/>
      <c r="QSE4" s="3407"/>
      <c r="QSF4" s="3407"/>
      <c r="QSG4" s="3407"/>
      <c r="QSH4" s="3407"/>
      <c r="QSI4" s="3407"/>
      <c r="QSJ4" s="3407"/>
      <c r="QSK4" s="3407"/>
      <c r="QSL4" s="3407"/>
      <c r="QSM4" s="3407"/>
      <c r="QSN4" s="3407"/>
      <c r="QSO4" s="3407"/>
      <c r="QSP4" s="3407"/>
      <c r="QSQ4" s="3407"/>
      <c r="QSR4" s="3407"/>
      <c r="QSS4" s="3407"/>
      <c r="QST4" s="3407"/>
      <c r="QSU4" s="3407"/>
      <c r="QSV4" s="3407"/>
      <c r="QSW4" s="3407"/>
      <c r="QSX4" s="3407"/>
      <c r="QSY4" s="3407"/>
      <c r="QSZ4" s="3407"/>
      <c r="QTA4" s="3407"/>
      <c r="QTB4" s="3407"/>
      <c r="QTC4" s="3407"/>
      <c r="QTD4" s="3407"/>
      <c r="QTE4" s="3407"/>
      <c r="QTF4" s="3407"/>
      <c r="QTG4" s="3407"/>
      <c r="QTH4" s="3407"/>
      <c r="QTI4" s="3407"/>
      <c r="QTJ4" s="3407"/>
      <c r="QTK4" s="3407"/>
      <c r="QTL4" s="3407"/>
      <c r="QTM4" s="3407"/>
      <c r="QTN4" s="3407"/>
      <c r="QTO4" s="3407"/>
      <c r="QTP4" s="3407"/>
      <c r="QTQ4" s="3407"/>
      <c r="QTR4" s="3407"/>
      <c r="QTS4" s="3407"/>
      <c r="QTT4" s="3407"/>
      <c r="QTU4" s="3407"/>
      <c r="QTV4" s="3407"/>
      <c r="QTW4" s="3407"/>
      <c r="QTX4" s="3407"/>
      <c r="QTY4" s="3407"/>
      <c r="QTZ4" s="3407"/>
      <c r="QUA4" s="3407"/>
      <c r="QUB4" s="3407"/>
      <c r="QUC4" s="3407"/>
      <c r="QUD4" s="3407"/>
      <c r="QUE4" s="3407"/>
      <c r="QUF4" s="3407"/>
      <c r="QUG4" s="3407"/>
      <c r="QUH4" s="3407"/>
      <c r="QUI4" s="3407"/>
      <c r="QUJ4" s="3407"/>
      <c r="QUK4" s="3407"/>
      <c r="QUL4" s="3407"/>
      <c r="QUM4" s="3407"/>
      <c r="QUN4" s="3407"/>
      <c r="QUO4" s="3407"/>
      <c r="QUP4" s="3407"/>
      <c r="QUQ4" s="3407"/>
      <c r="QUR4" s="3407"/>
      <c r="QUS4" s="3407"/>
      <c r="QUT4" s="3407"/>
      <c r="QUU4" s="3407"/>
      <c r="QUV4" s="3407"/>
      <c r="QUW4" s="3407"/>
      <c r="QUX4" s="3407"/>
      <c r="QUY4" s="3407"/>
      <c r="QUZ4" s="3407"/>
      <c r="QVA4" s="3407"/>
      <c r="QVB4" s="3407"/>
      <c r="QVC4" s="3407"/>
      <c r="QVD4" s="3407"/>
      <c r="QVE4" s="3407"/>
      <c r="QVF4" s="3407"/>
      <c r="QVG4" s="3407"/>
      <c r="QVH4" s="3407"/>
      <c r="QVI4" s="3407"/>
      <c r="QVJ4" s="3407"/>
      <c r="QVK4" s="3407"/>
      <c r="QVL4" s="3407"/>
      <c r="QVM4" s="3407"/>
      <c r="QVN4" s="3407"/>
      <c r="QVO4" s="3407"/>
      <c r="QVP4" s="3407"/>
      <c r="QVQ4" s="3407"/>
      <c r="QVR4" s="3407"/>
      <c r="QVS4" s="3407"/>
      <c r="QVT4" s="3407"/>
      <c r="QVU4" s="3407"/>
      <c r="QVV4" s="3407"/>
      <c r="QVW4" s="3407"/>
      <c r="QVX4" s="3407"/>
      <c r="QVY4" s="3407"/>
      <c r="QVZ4" s="3407"/>
      <c r="QWA4" s="3407"/>
      <c r="QWB4" s="3407"/>
      <c r="QWC4" s="3407"/>
      <c r="QWD4" s="3407"/>
      <c r="QWE4" s="3407"/>
      <c r="QWF4" s="3407"/>
      <c r="QWG4" s="3407"/>
      <c r="QWH4" s="3407"/>
      <c r="QWI4" s="3407"/>
      <c r="QWJ4" s="3407"/>
      <c r="QWK4" s="3407"/>
      <c r="QWL4" s="3407"/>
      <c r="QWM4" s="3407"/>
      <c r="QWN4" s="3407"/>
      <c r="QWO4" s="3407"/>
      <c r="QWP4" s="3407"/>
      <c r="QWQ4" s="3407"/>
      <c r="QWR4" s="3407"/>
      <c r="QWS4" s="3407"/>
      <c r="QWT4" s="3407"/>
      <c r="QWU4" s="3407"/>
      <c r="QWV4" s="3407"/>
      <c r="QWW4" s="3407"/>
      <c r="QWX4" s="3407"/>
      <c r="QWY4" s="3407"/>
      <c r="QWZ4" s="3407"/>
      <c r="QXA4" s="3407"/>
      <c r="QXB4" s="3407"/>
      <c r="QXC4" s="3407"/>
      <c r="QXD4" s="3407"/>
      <c r="QXE4" s="3407"/>
      <c r="QXF4" s="3407"/>
      <c r="QXG4" s="3407"/>
      <c r="QXH4" s="3407"/>
      <c r="QXI4" s="3407"/>
      <c r="QXJ4" s="3407"/>
      <c r="QXK4" s="3407"/>
      <c r="QXL4" s="3407"/>
      <c r="QXM4" s="3407"/>
      <c r="QXN4" s="3407"/>
      <c r="QXO4" s="3407"/>
      <c r="QXP4" s="3407"/>
      <c r="QXQ4" s="3407"/>
      <c r="QXR4" s="3407"/>
      <c r="QXS4" s="3407"/>
      <c r="QXT4" s="3407"/>
      <c r="QXU4" s="3407"/>
      <c r="QXV4" s="3407"/>
      <c r="QXW4" s="3407"/>
      <c r="QXX4" s="3407"/>
      <c r="QXY4" s="3407"/>
      <c r="QXZ4" s="3407"/>
      <c r="QYA4" s="3407"/>
      <c r="QYB4" s="3407"/>
      <c r="QYC4" s="3407"/>
      <c r="QYD4" s="3407"/>
      <c r="QYE4" s="3407"/>
      <c r="QYF4" s="3407"/>
      <c r="QYG4" s="3407"/>
      <c r="QYH4" s="3407"/>
      <c r="QYI4" s="3407"/>
      <c r="QYJ4" s="3407"/>
      <c r="QYK4" s="3407"/>
      <c r="QYL4" s="3407"/>
      <c r="QYM4" s="3407"/>
      <c r="QYN4" s="3407"/>
      <c r="QYO4" s="3407"/>
      <c r="QYP4" s="3407"/>
      <c r="QYQ4" s="3407"/>
      <c r="QYR4" s="3407"/>
      <c r="QYS4" s="3407"/>
      <c r="QYT4" s="3407"/>
      <c r="QYU4" s="3407"/>
      <c r="QYV4" s="3407"/>
      <c r="QYW4" s="3407"/>
      <c r="QYX4" s="3407"/>
      <c r="QYY4" s="3407"/>
      <c r="QYZ4" s="3407"/>
      <c r="QZA4" s="3407"/>
      <c r="QZB4" s="3407"/>
      <c r="QZC4" s="3407"/>
      <c r="QZD4" s="3407"/>
      <c r="QZE4" s="3407"/>
      <c r="QZF4" s="3407"/>
      <c r="QZG4" s="3407"/>
      <c r="QZH4" s="3407"/>
      <c r="QZI4" s="3407"/>
      <c r="QZJ4" s="3407"/>
      <c r="QZK4" s="3407"/>
      <c r="QZL4" s="3407"/>
      <c r="QZM4" s="3407"/>
      <c r="QZN4" s="3407"/>
      <c r="QZO4" s="3407"/>
      <c r="QZP4" s="3407"/>
      <c r="QZQ4" s="3407"/>
      <c r="QZR4" s="3407"/>
      <c r="QZS4" s="3407"/>
      <c r="QZT4" s="3407"/>
      <c r="QZU4" s="3407"/>
      <c r="QZV4" s="3407"/>
      <c r="QZW4" s="3407"/>
      <c r="QZX4" s="3407"/>
      <c r="QZY4" s="3407"/>
      <c r="QZZ4" s="3407"/>
      <c r="RAA4" s="3407"/>
      <c r="RAB4" s="3407"/>
      <c r="RAC4" s="3407"/>
      <c r="RAD4" s="3407"/>
      <c r="RAE4" s="3407"/>
      <c r="RAF4" s="3407"/>
      <c r="RAG4" s="3407"/>
      <c r="RAH4" s="3407"/>
      <c r="RAI4" s="3407"/>
      <c r="RAJ4" s="3407"/>
      <c r="RAK4" s="3407"/>
      <c r="RAL4" s="3407"/>
      <c r="RAM4" s="3407"/>
      <c r="RAN4" s="3407"/>
      <c r="RAO4" s="3407"/>
      <c r="RAP4" s="3407"/>
      <c r="RAQ4" s="3407"/>
      <c r="RAR4" s="3407"/>
      <c r="RAS4" s="3407"/>
      <c r="RAT4" s="3407"/>
      <c r="RAU4" s="3407"/>
      <c r="RAV4" s="3407"/>
      <c r="RAW4" s="3407"/>
      <c r="RAX4" s="3407"/>
      <c r="RAY4" s="3407"/>
      <c r="RAZ4" s="3407"/>
      <c r="RBA4" s="3407"/>
      <c r="RBB4" s="3407"/>
      <c r="RBC4" s="3407"/>
      <c r="RBD4" s="3407"/>
      <c r="RBE4" s="3407"/>
      <c r="RBF4" s="3407"/>
      <c r="RBG4" s="3407"/>
      <c r="RBH4" s="3407"/>
      <c r="RBI4" s="3407"/>
      <c r="RBJ4" s="3407"/>
      <c r="RBK4" s="3407"/>
      <c r="RBL4" s="3407"/>
      <c r="RBM4" s="3407"/>
      <c r="RBN4" s="3407"/>
      <c r="RBO4" s="3407"/>
      <c r="RBP4" s="3407"/>
      <c r="RBQ4" s="3407"/>
      <c r="RBR4" s="3407"/>
      <c r="RBS4" s="3407"/>
      <c r="RBT4" s="3407"/>
      <c r="RBU4" s="3407"/>
      <c r="RBV4" s="3407"/>
      <c r="RBW4" s="3407"/>
      <c r="RBX4" s="3407"/>
      <c r="RBY4" s="3407"/>
      <c r="RBZ4" s="3407"/>
      <c r="RCA4" s="3407"/>
      <c r="RCB4" s="3407"/>
      <c r="RCC4" s="3407"/>
      <c r="RCD4" s="3407"/>
      <c r="RCE4" s="3407"/>
      <c r="RCF4" s="3407"/>
      <c r="RCG4" s="3407"/>
      <c r="RCH4" s="3407"/>
      <c r="RCI4" s="3407"/>
      <c r="RCJ4" s="3407"/>
      <c r="RCK4" s="3407"/>
      <c r="RCL4" s="3407"/>
      <c r="RCM4" s="3407"/>
      <c r="RCN4" s="3407"/>
      <c r="RCO4" s="3407"/>
      <c r="RCP4" s="3407"/>
      <c r="RCQ4" s="3407"/>
      <c r="RCR4" s="3407"/>
      <c r="RCS4" s="3407"/>
      <c r="RCT4" s="3407"/>
      <c r="RCU4" s="3407"/>
      <c r="RCV4" s="3407"/>
      <c r="RCW4" s="3407"/>
      <c r="RCX4" s="3407"/>
      <c r="RCY4" s="3407"/>
      <c r="RCZ4" s="3407"/>
      <c r="RDA4" s="3407"/>
      <c r="RDB4" s="3407"/>
      <c r="RDC4" s="3407"/>
      <c r="RDD4" s="3407"/>
      <c r="RDE4" s="3407"/>
      <c r="RDF4" s="3407"/>
      <c r="RDG4" s="3407"/>
      <c r="RDH4" s="3407"/>
      <c r="RDI4" s="3407"/>
      <c r="RDJ4" s="3407"/>
      <c r="RDK4" s="3407"/>
      <c r="RDL4" s="3407"/>
      <c r="RDM4" s="3407"/>
      <c r="RDN4" s="3407"/>
      <c r="RDO4" s="3407"/>
      <c r="RDP4" s="3407"/>
      <c r="RDQ4" s="3407"/>
      <c r="RDR4" s="3407"/>
      <c r="RDS4" s="3407"/>
      <c r="RDT4" s="3407"/>
      <c r="RDU4" s="3407"/>
      <c r="RDV4" s="3407"/>
      <c r="RDW4" s="3407"/>
      <c r="RDX4" s="3407"/>
      <c r="RDY4" s="3407"/>
      <c r="RDZ4" s="3407"/>
      <c r="REA4" s="3407"/>
      <c r="REB4" s="3407"/>
      <c r="REC4" s="3407"/>
      <c r="RED4" s="3407"/>
      <c r="REE4" s="3407"/>
      <c r="REF4" s="3407"/>
      <c r="REG4" s="3407"/>
      <c r="REH4" s="3407"/>
      <c r="REI4" s="3407"/>
      <c r="REJ4" s="3407"/>
      <c r="REK4" s="3407"/>
      <c r="REL4" s="3407"/>
      <c r="REM4" s="3407"/>
      <c r="REN4" s="3407"/>
      <c r="REO4" s="3407"/>
      <c r="REP4" s="3407"/>
      <c r="REQ4" s="3407"/>
      <c r="RER4" s="3407"/>
      <c r="RES4" s="3407"/>
      <c r="RET4" s="3407"/>
      <c r="REU4" s="3407"/>
      <c r="REV4" s="3407"/>
      <c r="REW4" s="3407"/>
      <c r="REX4" s="3407"/>
      <c r="REY4" s="3407"/>
      <c r="REZ4" s="3407"/>
      <c r="RFA4" s="3407"/>
      <c r="RFB4" s="3407"/>
      <c r="RFC4" s="3407"/>
      <c r="RFD4" s="3407"/>
      <c r="RFE4" s="3407"/>
      <c r="RFF4" s="3407"/>
      <c r="RFG4" s="3407"/>
      <c r="RFH4" s="3407"/>
      <c r="RFI4" s="3407"/>
      <c r="RFJ4" s="3407"/>
      <c r="RFK4" s="3407"/>
      <c r="RFL4" s="3407"/>
      <c r="RFM4" s="3407"/>
      <c r="RFN4" s="3407"/>
      <c r="RFO4" s="3407"/>
      <c r="RFP4" s="3407"/>
      <c r="RFQ4" s="3407"/>
      <c r="RFR4" s="3407"/>
      <c r="RFS4" s="3407"/>
      <c r="RFT4" s="3407"/>
      <c r="RFU4" s="3407"/>
      <c r="RFV4" s="3407"/>
      <c r="RFW4" s="3407"/>
      <c r="RFX4" s="3407"/>
      <c r="RFY4" s="3407"/>
      <c r="RFZ4" s="3407"/>
      <c r="RGA4" s="3407"/>
      <c r="RGB4" s="3407"/>
      <c r="RGC4" s="3407"/>
      <c r="RGD4" s="3407"/>
      <c r="RGE4" s="3407"/>
      <c r="RGF4" s="3407"/>
      <c r="RGG4" s="3407"/>
      <c r="RGH4" s="3407"/>
      <c r="RGI4" s="3407"/>
      <c r="RGJ4" s="3407"/>
      <c r="RGK4" s="3407"/>
      <c r="RGL4" s="3407"/>
      <c r="RGM4" s="3407"/>
      <c r="RGN4" s="3407"/>
      <c r="RGO4" s="3407"/>
      <c r="RGP4" s="3407"/>
      <c r="RGQ4" s="3407"/>
      <c r="RGR4" s="3407"/>
      <c r="RGS4" s="3407"/>
      <c r="RGT4" s="3407"/>
      <c r="RGU4" s="3407"/>
      <c r="RGV4" s="3407"/>
      <c r="RGW4" s="3407"/>
      <c r="RGX4" s="3407"/>
      <c r="RGY4" s="3407"/>
      <c r="RGZ4" s="3407"/>
      <c r="RHA4" s="3407"/>
      <c r="RHB4" s="3407"/>
      <c r="RHC4" s="3407"/>
      <c r="RHD4" s="3407"/>
      <c r="RHE4" s="3407"/>
      <c r="RHF4" s="3407"/>
      <c r="RHG4" s="3407"/>
      <c r="RHH4" s="3407"/>
      <c r="RHI4" s="3407"/>
      <c r="RHJ4" s="3407"/>
      <c r="RHK4" s="3407"/>
      <c r="RHL4" s="3407"/>
      <c r="RHM4" s="3407"/>
      <c r="RHN4" s="3407"/>
      <c r="RHO4" s="3407"/>
      <c r="RHP4" s="3407"/>
      <c r="RHQ4" s="3407"/>
      <c r="RHR4" s="3407"/>
      <c r="RHS4" s="3407"/>
      <c r="RHT4" s="3407"/>
      <c r="RHU4" s="3407"/>
      <c r="RHV4" s="3407"/>
      <c r="RHW4" s="3407"/>
      <c r="RHX4" s="3407"/>
      <c r="RHY4" s="3407"/>
      <c r="RHZ4" s="3407"/>
      <c r="RIA4" s="3407"/>
      <c r="RIB4" s="3407"/>
      <c r="RIC4" s="3407"/>
      <c r="RID4" s="3407"/>
      <c r="RIE4" s="3407"/>
      <c r="RIF4" s="3407"/>
      <c r="RIG4" s="3407"/>
      <c r="RIH4" s="3407"/>
      <c r="RII4" s="3407"/>
      <c r="RIJ4" s="3407"/>
      <c r="RIK4" s="3407"/>
      <c r="RIL4" s="3407"/>
      <c r="RIM4" s="3407"/>
      <c r="RIN4" s="3407"/>
      <c r="RIO4" s="3407"/>
      <c r="RIP4" s="3407"/>
      <c r="RIQ4" s="3407"/>
      <c r="RIR4" s="3407"/>
      <c r="RIS4" s="3407"/>
      <c r="RIT4" s="3407"/>
      <c r="RIU4" s="3407"/>
      <c r="RIV4" s="3407"/>
      <c r="RIW4" s="3407"/>
      <c r="RIX4" s="3407"/>
      <c r="RIY4" s="3407"/>
      <c r="RIZ4" s="3407"/>
      <c r="RJA4" s="3407"/>
      <c r="RJB4" s="3407"/>
      <c r="RJC4" s="3407"/>
      <c r="RJD4" s="3407"/>
      <c r="RJE4" s="3407"/>
      <c r="RJF4" s="3407"/>
      <c r="RJG4" s="3407"/>
      <c r="RJH4" s="3407"/>
      <c r="RJI4" s="3407"/>
      <c r="RJJ4" s="3407"/>
      <c r="RJK4" s="3407"/>
      <c r="RJL4" s="3407"/>
      <c r="RJM4" s="3407"/>
      <c r="RJN4" s="3407"/>
      <c r="RJO4" s="3407"/>
      <c r="RJP4" s="3407"/>
      <c r="RJQ4" s="3407"/>
      <c r="RJR4" s="3407"/>
      <c r="RJS4" s="3407"/>
      <c r="RJT4" s="3407"/>
      <c r="RJU4" s="3407"/>
      <c r="RJV4" s="3407"/>
      <c r="RJW4" s="3407"/>
      <c r="RJX4" s="3407"/>
      <c r="RJY4" s="3407"/>
      <c r="RJZ4" s="3407"/>
      <c r="RKA4" s="3407"/>
      <c r="RKB4" s="3407"/>
      <c r="RKC4" s="3407"/>
      <c r="RKD4" s="3407"/>
      <c r="RKE4" s="3407"/>
      <c r="RKF4" s="3407"/>
      <c r="RKG4" s="3407"/>
      <c r="RKH4" s="3407"/>
      <c r="RKI4" s="3407"/>
      <c r="RKJ4" s="3407"/>
      <c r="RKK4" s="3407"/>
      <c r="RKL4" s="3407"/>
      <c r="RKM4" s="3407"/>
      <c r="RKN4" s="3407"/>
      <c r="RKO4" s="3407"/>
      <c r="RKP4" s="3407"/>
      <c r="RKQ4" s="3407"/>
      <c r="RKR4" s="3407"/>
      <c r="RKS4" s="3407"/>
      <c r="RKT4" s="3407"/>
      <c r="RKU4" s="3407"/>
      <c r="RKV4" s="3407"/>
      <c r="RKW4" s="3407"/>
      <c r="RKX4" s="3407"/>
      <c r="RKY4" s="3407"/>
      <c r="RKZ4" s="3407"/>
      <c r="RLA4" s="3407"/>
      <c r="RLB4" s="3407"/>
      <c r="RLC4" s="3407"/>
      <c r="RLD4" s="3407"/>
      <c r="RLE4" s="3407"/>
      <c r="RLF4" s="3407"/>
      <c r="RLG4" s="3407"/>
      <c r="RLH4" s="3407"/>
      <c r="RLI4" s="3407"/>
      <c r="RLJ4" s="3407"/>
      <c r="RLK4" s="3407"/>
      <c r="RLL4" s="3407"/>
      <c r="RLM4" s="3407"/>
      <c r="RLN4" s="3407"/>
      <c r="RLO4" s="3407"/>
      <c r="RLP4" s="3407"/>
      <c r="RLQ4" s="3407"/>
      <c r="RLR4" s="3407"/>
      <c r="RLS4" s="3407"/>
      <c r="RLT4" s="3407"/>
      <c r="RLU4" s="3407"/>
      <c r="RLV4" s="3407"/>
      <c r="RLW4" s="3407"/>
      <c r="RLX4" s="3407"/>
      <c r="RLY4" s="3407"/>
      <c r="RLZ4" s="3407"/>
      <c r="RMA4" s="3407"/>
      <c r="RMB4" s="3407"/>
      <c r="RMC4" s="3407"/>
      <c r="RMD4" s="3407"/>
      <c r="RME4" s="3407"/>
      <c r="RMF4" s="3407"/>
      <c r="RMG4" s="3407"/>
      <c r="RMH4" s="3407"/>
      <c r="RMI4" s="3407"/>
      <c r="RMJ4" s="3407"/>
      <c r="RMK4" s="3407"/>
      <c r="RML4" s="3407"/>
      <c r="RMM4" s="3407"/>
      <c r="RMN4" s="3407"/>
      <c r="RMO4" s="3407"/>
      <c r="RMP4" s="3407"/>
      <c r="RMQ4" s="3407"/>
      <c r="RMR4" s="3407"/>
      <c r="RMS4" s="3407"/>
      <c r="RMT4" s="3407"/>
      <c r="RMU4" s="3407"/>
      <c r="RMV4" s="3407"/>
      <c r="RMW4" s="3407"/>
      <c r="RMX4" s="3407"/>
      <c r="RMY4" s="3407"/>
      <c r="RMZ4" s="3407"/>
      <c r="RNA4" s="3407"/>
      <c r="RNB4" s="3407"/>
      <c r="RNC4" s="3407"/>
      <c r="RND4" s="3407"/>
      <c r="RNE4" s="3407"/>
      <c r="RNF4" s="3407"/>
      <c r="RNG4" s="3407"/>
      <c r="RNH4" s="3407"/>
      <c r="RNI4" s="3407"/>
      <c r="RNJ4" s="3407"/>
      <c r="RNK4" s="3407"/>
      <c r="RNL4" s="3407"/>
      <c r="RNM4" s="3407"/>
      <c r="RNN4" s="3407"/>
      <c r="RNO4" s="3407"/>
      <c r="RNP4" s="3407"/>
      <c r="RNQ4" s="3407"/>
      <c r="RNR4" s="3407"/>
      <c r="RNS4" s="3407"/>
      <c r="RNT4" s="3407"/>
      <c r="RNU4" s="3407"/>
      <c r="RNV4" s="3407"/>
      <c r="RNW4" s="3407"/>
      <c r="RNX4" s="3407"/>
      <c r="RNY4" s="3407"/>
      <c r="RNZ4" s="3407"/>
      <c r="ROA4" s="3407"/>
      <c r="ROB4" s="3407"/>
      <c r="ROC4" s="3407"/>
      <c r="ROD4" s="3407"/>
      <c r="ROE4" s="3407"/>
      <c r="ROF4" s="3407"/>
      <c r="ROG4" s="3407"/>
      <c r="ROH4" s="3407"/>
      <c r="ROI4" s="3407"/>
      <c r="ROJ4" s="3407"/>
      <c r="ROK4" s="3407"/>
      <c r="ROL4" s="3407"/>
      <c r="ROM4" s="3407"/>
      <c r="RON4" s="3407"/>
      <c r="ROO4" s="3407"/>
      <c r="ROP4" s="3407"/>
      <c r="ROQ4" s="3407"/>
      <c r="ROR4" s="3407"/>
      <c r="ROS4" s="3407"/>
      <c r="ROT4" s="3407"/>
      <c r="ROU4" s="3407"/>
      <c r="ROV4" s="3407"/>
      <c r="ROW4" s="3407"/>
      <c r="ROX4" s="3407"/>
      <c r="ROY4" s="3407"/>
      <c r="ROZ4" s="3407"/>
      <c r="RPA4" s="3407"/>
      <c r="RPB4" s="3407"/>
      <c r="RPC4" s="3407"/>
      <c r="RPD4" s="3407"/>
      <c r="RPE4" s="3407"/>
      <c r="RPF4" s="3407"/>
      <c r="RPG4" s="3407"/>
      <c r="RPH4" s="3407"/>
      <c r="RPI4" s="3407"/>
      <c r="RPJ4" s="3407"/>
      <c r="RPK4" s="3407"/>
      <c r="RPL4" s="3407"/>
      <c r="RPM4" s="3407"/>
      <c r="RPN4" s="3407"/>
      <c r="RPO4" s="3407"/>
      <c r="RPP4" s="3407"/>
      <c r="RPQ4" s="3407"/>
      <c r="RPR4" s="3407"/>
      <c r="RPS4" s="3407"/>
      <c r="RPT4" s="3407"/>
      <c r="RPU4" s="3407"/>
      <c r="RPV4" s="3407"/>
      <c r="RPW4" s="3407"/>
      <c r="RPX4" s="3407"/>
      <c r="RPY4" s="3407"/>
      <c r="RPZ4" s="3407"/>
      <c r="RQA4" s="3407"/>
      <c r="RQB4" s="3407"/>
      <c r="RQC4" s="3407"/>
      <c r="RQD4" s="3407"/>
      <c r="RQE4" s="3407"/>
      <c r="RQF4" s="3407"/>
      <c r="RQG4" s="3407"/>
      <c r="RQH4" s="3407"/>
      <c r="RQI4" s="3407"/>
      <c r="RQJ4" s="3407"/>
      <c r="RQK4" s="3407"/>
      <c r="RQL4" s="3407"/>
      <c r="RQM4" s="3407"/>
      <c r="RQN4" s="3407"/>
      <c r="RQO4" s="3407"/>
      <c r="RQP4" s="3407"/>
      <c r="RQQ4" s="3407"/>
      <c r="RQR4" s="3407"/>
      <c r="RQS4" s="3407"/>
      <c r="RQT4" s="3407"/>
      <c r="RQU4" s="3407"/>
      <c r="RQV4" s="3407"/>
      <c r="RQW4" s="3407"/>
      <c r="RQX4" s="3407"/>
      <c r="RQY4" s="3407"/>
      <c r="RQZ4" s="3407"/>
      <c r="RRA4" s="3407"/>
      <c r="RRB4" s="3407"/>
      <c r="RRC4" s="3407"/>
      <c r="RRD4" s="3407"/>
      <c r="RRE4" s="3407"/>
      <c r="RRF4" s="3407"/>
      <c r="RRG4" s="3407"/>
      <c r="RRH4" s="3407"/>
      <c r="RRI4" s="3407"/>
      <c r="RRJ4" s="3407"/>
      <c r="RRK4" s="3407"/>
      <c r="RRL4" s="3407"/>
      <c r="RRM4" s="3407"/>
      <c r="RRN4" s="3407"/>
      <c r="RRO4" s="3407"/>
      <c r="RRP4" s="3407"/>
      <c r="RRQ4" s="3407"/>
      <c r="RRR4" s="3407"/>
      <c r="RRS4" s="3407"/>
      <c r="RRT4" s="3407"/>
      <c r="RRU4" s="3407"/>
      <c r="RRV4" s="3407"/>
      <c r="RRW4" s="3407"/>
      <c r="RRX4" s="3407"/>
      <c r="RRY4" s="3407"/>
      <c r="RRZ4" s="3407"/>
      <c r="RSA4" s="3407"/>
      <c r="RSB4" s="3407"/>
      <c r="RSC4" s="3407"/>
      <c r="RSD4" s="3407"/>
      <c r="RSE4" s="3407"/>
      <c r="RSF4" s="3407"/>
      <c r="RSG4" s="3407"/>
      <c r="RSH4" s="3407"/>
      <c r="RSI4" s="3407"/>
      <c r="RSJ4" s="3407"/>
      <c r="RSK4" s="3407"/>
      <c r="RSL4" s="3407"/>
      <c r="RSM4" s="3407"/>
      <c r="RSN4" s="3407"/>
      <c r="RSO4" s="3407"/>
      <c r="RSP4" s="3407"/>
      <c r="RSQ4" s="3407"/>
      <c r="RSR4" s="3407"/>
      <c r="RSS4" s="3407"/>
      <c r="RST4" s="3407"/>
      <c r="RSU4" s="3407"/>
      <c r="RSV4" s="3407"/>
      <c r="RSW4" s="3407"/>
      <c r="RSX4" s="3407"/>
      <c r="RSY4" s="3407"/>
      <c r="RSZ4" s="3407"/>
      <c r="RTA4" s="3407"/>
      <c r="RTB4" s="3407"/>
      <c r="RTC4" s="3407"/>
      <c r="RTD4" s="3407"/>
      <c r="RTE4" s="3407"/>
      <c r="RTF4" s="3407"/>
      <c r="RTG4" s="3407"/>
      <c r="RTH4" s="3407"/>
      <c r="RTI4" s="3407"/>
      <c r="RTJ4" s="3407"/>
      <c r="RTK4" s="3407"/>
      <c r="RTL4" s="3407"/>
      <c r="RTM4" s="3407"/>
      <c r="RTN4" s="3407"/>
      <c r="RTO4" s="3407"/>
      <c r="RTP4" s="3407"/>
      <c r="RTQ4" s="3407"/>
      <c r="RTR4" s="3407"/>
      <c r="RTS4" s="3407"/>
      <c r="RTT4" s="3407"/>
      <c r="RTU4" s="3407"/>
      <c r="RTV4" s="3407"/>
      <c r="RTW4" s="3407"/>
      <c r="RTX4" s="3407"/>
      <c r="RTY4" s="3407"/>
      <c r="RTZ4" s="3407"/>
      <c r="RUA4" s="3407"/>
      <c r="RUB4" s="3407"/>
      <c r="RUC4" s="3407"/>
      <c r="RUD4" s="3407"/>
      <c r="RUE4" s="3407"/>
      <c r="RUF4" s="3407"/>
      <c r="RUG4" s="3407"/>
      <c r="RUH4" s="3407"/>
      <c r="RUI4" s="3407"/>
      <c r="RUJ4" s="3407"/>
      <c r="RUK4" s="3407"/>
      <c r="RUL4" s="3407"/>
      <c r="RUM4" s="3407"/>
      <c r="RUN4" s="3407"/>
      <c r="RUO4" s="3407"/>
      <c r="RUP4" s="3407"/>
      <c r="RUQ4" s="3407"/>
      <c r="RUR4" s="3407"/>
      <c r="RUS4" s="3407"/>
      <c r="RUT4" s="3407"/>
      <c r="RUU4" s="3407"/>
      <c r="RUV4" s="3407"/>
      <c r="RUW4" s="3407"/>
      <c r="RUX4" s="3407"/>
      <c r="RUY4" s="3407"/>
      <c r="RUZ4" s="3407"/>
      <c r="RVA4" s="3407"/>
      <c r="RVB4" s="3407"/>
      <c r="RVC4" s="3407"/>
      <c r="RVD4" s="3407"/>
      <c r="RVE4" s="3407"/>
      <c r="RVF4" s="3407"/>
      <c r="RVG4" s="3407"/>
      <c r="RVH4" s="3407"/>
      <c r="RVI4" s="3407"/>
      <c r="RVJ4" s="3407"/>
      <c r="RVK4" s="3407"/>
      <c r="RVL4" s="3407"/>
      <c r="RVM4" s="3407"/>
      <c r="RVN4" s="3407"/>
      <c r="RVO4" s="3407"/>
      <c r="RVP4" s="3407"/>
      <c r="RVQ4" s="3407"/>
      <c r="RVR4" s="3407"/>
      <c r="RVS4" s="3407"/>
      <c r="RVT4" s="3407"/>
      <c r="RVU4" s="3407"/>
      <c r="RVV4" s="3407"/>
      <c r="RVW4" s="3407"/>
      <c r="RVX4" s="3407"/>
      <c r="RVY4" s="3407"/>
      <c r="RVZ4" s="3407"/>
      <c r="RWA4" s="3407"/>
      <c r="RWB4" s="3407"/>
      <c r="RWC4" s="3407"/>
      <c r="RWD4" s="3407"/>
      <c r="RWE4" s="3407"/>
      <c r="RWF4" s="3407"/>
      <c r="RWG4" s="3407"/>
      <c r="RWH4" s="3407"/>
      <c r="RWI4" s="3407"/>
      <c r="RWJ4" s="3407"/>
      <c r="RWK4" s="3407"/>
      <c r="RWL4" s="3407"/>
      <c r="RWM4" s="3407"/>
      <c r="RWN4" s="3407"/>
      <c r="RWO4" s="3407"/>
      <c r="RWP4" s="3407"/>
      <c r="RWQ4" s="3407"/>
      <c r="RWR4" s="3407"/>
      <c r="RWS4" s="3407"/>
      <c r="RWT4" s="3407"/>
      <c r="RWU4" s="3407"/>
      <c r="RWV4" s="3407"/>
      <c r="RWW4" s="3407"/>
      <c r="RWX4" s="3407"/>
      <c r="RWY4" s="3407"/>
      <c r="RWZ4" s="3407"/>
      <c r="RXA4" s="3407"/>
      <c r="RXB4" s="3407"/>
      <c r="RXC4" s="3407"/>
      <c r="RXD4" s="3407"/>
      <c r="RXE4" s="3407"/>
      <c r="RXF4" s="3407"/>
      <c r="RXG4" s="3407"/>
      <c r="RXH4" s="3407"/>
      <c r="RXI4" s="3407"/>
      <c r="RXJ4" s="3407"/>
      <c r="RXK4" s="3407"/>
      <c r="RXL4" s="3407"/>
      <c r="RXM4" s="3407"/>
      <c r="RXN4" s="3407"/>
      <c r="RXO4" s="3407"/>
      <c r="RXP4" s="3407"/>
      <c r="RXQ4" s="3407"/>
      <c r="RXR4" s="3407"/>
      <c r="RXS4" s="3407"/>
      <c r="RXT4" s="3407"/>
      <c r="RXU4" s="3407"/>
      <c r="RXV4" s="3407"/>
      <c r="RXW4" s="3407"/>
      <c r="RXX4" s="3407"/>
      <c r="RXY4" s="3407"/>
      <c r="RXZ4" s="3407"/>
      <c r="RYA4" s="3407"/>
      <c r="RYB4" s="3407"/>
      <c r="RYC4" s="3407"/>
      <c r="RYD4" s="3407"/>
      <c r="RYE4" s="3407"/>
      <c r="RYF4" s="3407"/>
      <c r="RYG4" s="3407"/>
      <c r="RYH4" s="3407"/>
      <c r="RYI4" s="3407"/>
      <c r="RYJ4" s="3407"/>
      <c r="RYK4" s="3407"/>
      <c r="RYL4" s="3407"/>
      <c r="RYM4" s="3407"/>
      <c r="RYN4" s="3407"/>
      <c r="RYO4" s="3407"/>
      <c r="RYP4" s="3407"/>
      <c r="RYQ4" s="3407"/>
      <c r="RYR4" s="3407"/>
      <c r="RYS4" s="3407"/>
      <c r="RYT4" s="3407"/>
      <c r="RYU4" s="3407"/>
      <c r="RYV4" s="3407"/>
      <c r="RYW4" s="3407"/>
      <c r="RYX4" s="3407"/>
      <c r="RYY4" s="3407"/>
      <c r="RYZ4" s="3407"/>
      <c r="RZA4" s="3407"/>
      <c r="RZB4" s="3407"/>
      <c r="RZC4" s="3407"/>
      <c r="RZD4" s="3407"/>
      <c r="RZE4" s="3407"/>
      <c r="RZF4" s="3407"/>
      <c r="RZG4" s="3407"/>
      <c r="RZH4" s="3407"/>
      <c r="RZI4" s="3407"/>
      <c r="RZJ4" s="3407"/>
      <c r="RZK4" s="3407"/>
      <c r="RZL4" s="3407"/>
      <c r="RZM4" s="3407"/>
      <c r="RZN4" s="3407"/>
      <c r="RZO4" s="3407"/>
      <c r="RZP4" s="3407"/>
      <c r="RZQ4" s="3407"/>
      <c r="RZR4" s="3407"/>
      <c r="RZS4" s="3407"/>
      <c r="RZT4" s="3407"/>
      <c r="RZU4" s="3407"/>
      <c r="RZV4" s="3407"/>
      <c r="RZW4" s="3407"/>
      <c r="RZX4" s="3407"/>
      <c r="RZY4" s="3407"/>
      <c r="RZZ4" s="3407"/>
      <c r="SAA4" s="3407"/>
      <c r="SAB4" s="3407"/>
      <c r="SAC4" s="3407"/>
      <c r="SAD4" s="3407"/>
      <c r="SAE4" s="3407"/>
      <c r="SAF4" s="3407"/>
      <c r="SAG4" s="3407"/>
      <c r="SAH4" s="3407"/>
      <c r="SAI4" s="3407"/>
      <c r="SAJ4" s="3407"/>
      <c r="SAK4" s="3407"/>
      <c r="SAL4" s="3407"/>
      <c r="SAM4" s="3407"/>
      <c r="SAN4" s="3407"/>
      <c r="SAO4" s="3407"/>
      <c r="SAP4" s="3407"/>
      <c r="SAQ4" s="3407"/>
      <c r="SAR4" s="3407"/>
      <c r="SAS4" s="3407"/>
      <c r="SAT4" s="3407"/>
      <c r="SAU4" s="3407"/>
      <c r="SAV4" s="3407"/>
      <c r="SAW4" s="3407"/>
      <c r="SAX4" s="3407"/>
      <c r="SAY4" s="3407"/>
      <c r="SAZ4" s="3407"/>
      <c r="SBA4" s="3407"/>
      <c r="SBB4" s="3407"/>
      <c r="SBC4" s="3407"/>
      <c r="SBD4" s="3407"/>
      <c r="SBE4" s="3407"/>
      <c r="SBF4" s="3407"/>
      <c r="SBG4" s="3407"/>
      <c r="SBH4" s="3407"/>
      <c r="SBI4" s="3407"/>
      <c r="SBJ4" s="3407"/>
      <c r="SBK4" s="3407"/>
      <c r="SBL4" s="3407"/>
      <c r="SBM4" s="3407"/>
      <c r="SBN4" s="3407"/>
      <c r="SBO4" s="3407"/>
      <c r="SBP4" s="3407"/>
      <c r="SBQ4" s="3407"/>
      <c r="SBR4" s="3407"/>
      <c r="SBS4" s="3407"/>
      <c r="SBT4" s="3407"/>
      <c r="SBU4" s="3407"/>
      <c r="SBV4" s="3407"/>
      <c r="SBW4" s="3407"/>
      <c r="SBX4" s="3407"/>
      <c r="SBY4" s="3407"/>
      <c r="SBZ4" s="3407"/>
      <c r="SCA4" s="3407"/>
      <c r="SCB4" s="3407"/>
      <c r="SCC4" s="3407"/>
      <c r="SCD4" s="3407"/>
      <c r="SCE4" s="3407"/>
      <c r="SCF4" s="3407"/>
      <c r="SCG4" s="3407"/>
      <c r="SCH4" s="3407"/>
      <c r="SCI4" s="3407"/>
      <c r="SCJ4" s="3407"/>
      <c r="SCK4" s="3407"/>
      <c r="SCL4" s="3407"/>
      <c r="SCM4" s="3407"/>
      <c r="SCN4" s="3407"/>
      <c r="SCO4" s="3407"/>
      <c r="SCP4" s="3407"/>
      <c r="SCQ4" s="3407"/>
      <c r="SCR4" s="3407"/>
      <c r="SCS4" s="3407"/>
      <c r="SCT4" s="3407"/>
      <c r="SCU4" s="3407"/>
      <c r="SCV4" s="3407"/>
      <c r="SCW4" s="3407"/>
      <c r="SCX4" s="3407"/>
      <c r="SCY4" s="3407"/>
      <c r="SCZ4" s="3407"/>
      <c r="SDA4" s="3407"/>
      <c r="SDB4" s="3407"/>
      <c r="SDC4" s="3407"/>
      <c r="SDD4" s="3407"/>
      <c r="SDE4" s="3407"/>
      <c r="SDF4" s="3407"/>
      <c r="SDG4" s="3407"/>
      <c r="SDH4" s="3407"/>
      <c r="SDI4" s="3407"/>
      <c r="SDJ4" s="3407"/>
      <c r="SDK4" s="3407"/>
      <c r="SDL4" s="3407"/>
      <c r="SDM4" s="3407"/>
      <c r="SDN4" s="3407"/>
      <c r="SDO4" s="3407"/>
      <c r="SDP4" s="3407"/>
      <c r="SDQ4" s="3407"/>
      <c r="SDR4" s="3407"/>
      <c r="SDS4" s="3407"/>
      <c r="SDT4" s="3407"/>
      <c r="SDU4" s="3407"/>
      <c r="SDV4" s="3407"/>
      <c r="SDW4" s="3407"/>
      <c r="SDX4" s="3407"/>
      <c r="SDY4" s="3407"/>
      <c r="SDZ4" s="3407"/>
      <c r="SEA4" s="3407"/>
      <c r="SEB4" s="3407"/>
      <c r="SEC4" s="3407"/>
      <c r="SED4" s="3407"/>
      <c r="SEE4" s="3407"/>
      <c r="SEF4" s="3407"/>
      <c r="SEG4" s="3407"/>
      <c r="SEH4" s="3407"/>
      <c r="SEI4" s="3407"/>
      <c r="SEJ4" s="3407"/>
      <c r="SEK4" s="3407"/>
      <c r="SEL4" s="3407"/>
      <c r="SEM4" s="3407"/>
      <c r="SEN4" s="3407"/>
      <c r="SEO4" s="3407"/>
      <c r="SEP4" s="3407"/>
      <c r="SEQ4" s="3407"/>
      <c r="SER4" s="3407"/>
      <c r="SES4" s="3407"/>
      <c r="SET4" s="3407"/>
      <c r="SEU4" s="3407"/>
      <c r="SEV4" s="3407"/>
      <c r="SEW4" s="3407"/>
      <c r="SEX4" s="3407"/>
      <c r="SEY4" s="3407"/>
      <c r="SEZ4" s="3407"/>
      <c r="SFA4" s="3407"/>
      <c r="SFB4" s="3407"/>
      <c r="SFC4" s="3407"/>
      <c r="SFD4" s="3407"/>
      <c r="SFE4" s="3407"/>
      <c r="SFF4" s="3407"/>
      <c r="SFG4" s="3407"/>
      <c r="SFH4" s="3407"/>
      <c r="SFI4" s="3407"/>
      <c r="SFJ4" s="3407"/>
      <c r="SFK4" s="3407"/>
      <c r="SFL4" s="3407"/>
      <c r="SFM4" s="3407"/>
      <c r="SFN4" s="3407"/>
      <c r="SFO4" s="3407"/>
      <c r="SFP4" s="3407"/>
      <c r="SFQ4" s="3407"/>
      <c r="SFR4" s="3407"/>
      <c r="SFS4" s="3407"/>
      <c r="SFT4" s="3407"/>
      <c r="SFU4" s="3407"/>
      <c r="SFV4" s="3407"/>
      <c r="SFW4" s="3407"/>
      <c r="SFX4" s="3407"/>
      <c r="SFY4" s="3407"/>
      <c r="SFZ4" s="3407"/>
      <c r="SGA4" s="3407"/>
      <c r="SGB4" s="3407"/>
      <c r="SGC4" s="3407"/>
      <c r="SGD4" s="3407"/>
      <c r="SGE4" s="3407"/>
      <c r="SGF4" s="3407"/>
      <c r="SGG4" s="3407"/>
      <c r="SGH4" s="3407"/>
      <c r="SGI4" s="3407"/>
      <c r="SGJ4" s="3407"/>
      <c r="SGK4" s="3407"/>
      <c r="SGL4" s="3407"/>
      <c r="SGM4" s="3407"/>
      <c r="SGN4" s="3407"/>
      <c r="SGO4" s="3407"/>
      <c r="SGP4" s="3407"/>
      <c r="SGQ4" s="3407"/>
      <c r="SGR4" s="3407"/>
      <c r="SGS4" s="3407"/>
      <c r="SGT4" s="3407"/>
      <c r="SGU4" s="3407"/>
      <c r="SGV4" s="3407"/>
      <c r="SGW4" s="3407"/>
      <c r="SGX4" s="3407"/>
      <c r="SGY4" s="3407"/>
      <c r="SGZ4" s="3407"/>
      <c r="SHA4" s="3407"/>
      <c r="SHB4" s="3407"/>
      <c r="SHC4" s="3407"/>
      <c r="SHD4" s="3407"/>
      <c r="SHE4" s="3407"/>
      <c r="SHF4" s="3407"/>
      <c r="SHG4" s="3407"/>
      <c r="SHH4" s="3407"/>
      <c r="SHI4" s="3407"/>
      <c r="SHJ4" s="3407"/>
      <c r="SHK4" s="3407"/>
      <c r="SHL4" s="3407"/>
      <c r="SHM4" s="3407"/>
      <c r="SHN4" s="3407"/>
      <c r="SHO4" s="3407"/>
      <c r="SHP4" s="3407"/>
      <c r="SHQ4" s="3407"/>
      <c r="SHR4" s="3407"/>
      <c r="SHS4" s="3407"/>
      <c r="SHT4" s="3407"/>
      <c r="SHU4" s="3407"/>
      <c r="SHV4" s="3407"/>
      <c r="SHW4" s="3407"/>
      <c r="SHX4" s="3407"/>
      <c r="SHY4" s="3407"/>
      <c r="SHZ4" s="3407"/>
      <c r="SIA4" s="3407"/>
      <c r="SIB4" s="3407"/>
      <c r="SIC4" s="3407"/>
      <c r="SID4" s="3407"/>
      <c r="SIE4" s="3407"/>
      <c r="SIF4" s="3407"/>
      <c r="SIG4" s="3407"/>
      <c r="SIH4" s="3407"/>
      <c r="SII4" s="3407"/>
      <c r="SIJ4" s="3407"/>
      <c r="SIK4" s="3407"/>
      <c r="SIL4" s="3407"/>
      <c r="SIM4" s="3407"/>
      <c r="SIN4" s="3407"/>
      <c r="SIO4" s="3407"/>
      <c r="SIP4" s="3407"/>
      <c r="SIQ4" s="3407"/>
      <c r="SIR4" s="3407"/>
      <c r="SIS4" s="3407"/>
      <c r="SIT4" s="3407"/>
      <c r="SIU4" s="3407"/>
      <c r="SIV4" s="3407"/>
      <c r="SIW4" s="3407"/>
      <c r="SIX4" s="3407"/>
      <c r="SIY4" s="3407"/>
      <c r="SIZ4" s="3407"/>
      <c r="SJA4" s="3407"/>
      <c r="SJB4" s="3407"/>
      <c r="SJC4" s="3407"/>
      <c r="SJD4" s="3407"/>
      <c r="SJE4" s="3407"/>
      <c r="SJF4" s="3407"/>
      <c r="SJG4" s="3407"/>
      <c r="SJH4" s="3407"/>
      <c r="SJI4" s="3407"/>
      <c r="SJJ4" s="3407"/>
      <c r="SJK4" s="3407"/>
      <c r="SJL4" s="3407"/>
      <c r="SJM4" s="3407"/>
      <c r="SJN4" s="3407"/>
      <c r="SJO4" s="3407"/>
      <c r="SJP4" s="3407"/>
      <c r="SJQ4" s="3407"/>
      <c r="SJR4" s="3407"/>
      <c r="SJS4" s="3407"/>
      <c r="SJT4" s="3407"/>
      <c r="SJU4" s="3407"/>
      <c r="SJV4" s="3407"/>
      <c r="SJW4" s="3407"/>
      <c r="SJX4" s="3407"/>
      <c r="SJY4" s="3407"/>
      <c r="SJZ4" s="3407"/>
      <c r="SKA4" s="3407"/>
      <c r="SKB4" s="3407"/>
      <c r="SKC4" s="3407"/>
      <c r="SKD4" s="3407"/>
      <c r="SKE4" s="3407"/>
      <c r="SKF4" s="3407"/>
      <c r="SKG4" s="3407"/>
      <c r="SKH4" s="3407"/>
      <c r="SKI4" s="3407"/>
      <c r="SKJ4" s="3407"/>
      <c r="SKK4" s="3407"/>
      <c r="SKL4" s="3407"/>
      <c r="SKM4" s="3407"/>
      <c r="SKN4" s="3407"/>
      <c r="SKO4" s="3407"/>
      <c r="SKP4" s="3407"/>
      <c r="SKQ4" s="3407"/>
      <c r="SKR4" s="3407"/>
      <c r="SKS4" s="3407"/>
      <c r="SKT4" s="3407"/>
      <c r="SKU4" s="3407"/>
      <c r="SKV4" s="3407"/>
      <c r="SKW4" s="3407"/>
      <c r="SKX4" s="3407"/>
      <c r="SKY4" s="3407"/>
      <c r="SKZ4" s="3407"/>
      <c r="SLA4" s="3407"/>
      <c r="SLB4" s="3407"/>
      <c r="SLC4" s="3407"/>
      <c r="SLD4" s="3407"/>
      <c r="SLE4" s="3407"/>
      <c r="SLF4" s="3407"/>
      <c r="SLG4" s="3407"/>
      <c r="SLH4" s="3407"/>
      <c r="SLI4" s="3407"/>
      <c r="SLJ4" s="3407"/>
      <c r="SLK4" s="3407"/>
      <c r="SLL4" s="3407"/>
      <c r="SLM4" s="3407"/>
      <c r="SLN4" s="3407"/>
      <c r="SLO4" s="3407"/>
      <c r="SLP4" s="3407"/>
      <c r="SLQ4" s="3407"/>
      <c r="SLR4" s="3407"/>
      <c r="SLS4" s="3407"/>
      <c r="SLT4" s="3407"/>
      <c r="SLU4" s="3407"/>
      <c r="SLV4" s="3407"/>
      <c r="SLW4" s="3407"/>
      <c r="SLX4" s="3407"/>
      <c r="SLY4" s="3407"/>
      <c r="SLZ4" s="3407"/>
      <c r="SMA4" s="3407"/>
      <c r="SMB4" s="3407"/>
      <c r="SMC4" s="3407"/>
      <c r="SMD4" s="3407"/>
      <c r="SME4" s="3407"/>
      <c r="SMF4" s="3407"/>
      <c r="SMG4" s="3407"/>
      <c r="SMH4" s="3407"/>
      <c r="SMI4" s="3407"/>
      <c r="SMJ4" s="3407"/>
      <c r="SMK4" s="3407"/>
      <c r="SML4" s="3407"/>
      <c r="SMM4" s="3407"/>
      <c r="SMN4" s="3407"/>
      <c r="SMO4" s="3407"/>
      <c r="SMP4" s="3407"/>
      <c r="SMQ4" s="3407"/>
      <c r="SMR4" s="3407"/>
      <c r="SMS4" s="3407"/>
      <c r="SMT4" s="3407"/>
      <c r="SMU4" s="3407"/>
      <c r="SMV4" s="3407"/>
      <c r="SMW4" s="3407"/>
      <c r="SMX4" s="3407"/>
      <c r="SMY4" s="3407"/>
      <c r="SMZ4" s="3407"/>
      <c r="SNA4" s="3407"/>
      <c r="SNB4" s="3407"/>
      <c r="SNC4" s="3407"/>
      <c r="SND4" s="3407"/>
      <c r="SNE4" s="3407"/>
      <c r="SNF4" s="3407"/>
      <c r="SNG4" s="3407"/>
      <c r="SNH4" s="3407"/>
      <c r="SNI4" s="3407"/>
      <c r="SNJ4" s="3407"/>
      <c r="SNK4" s="3407"/>
      <c r="SNL4" s="3407"/>
      <c r="SNM4" s="3407"/>
      <c r="SNN4" s="3407"/>
      <c r="SNO4" s="3407"/>
      <c r="SNP4" s="3407"/>
      <c r="SNQ4" s="3407"/>
      <c r="SNR4" s="3407"/>
      <c r="SNS4" s="3407"/>
      <c r="SNT4" s="3407"/>
      <c r="SNU4" s="3407"/>
      <c r="SNV4" s="3407"/>
      <c r="SNW4" s="3407"/>
      <c r="SNX4" s="3407"/>
      <c r="SNY4" s="3407"/>
      <c r="SNZ4" s="3407"/>
      <c r="SOA4" s="3407"/>
      <c r="SOB4" s="3407"/>
      <c r="SOC4" s="3407"/>
      <c r="SOD4" s="3407"/>
      <c r="SOE4" s="3407"/>
      <c r="SOF4" s="3407"/>
      <c r="SOG4" s="3407"/>
      <c r="SOH4" s="3407"/>
      <c r="SOI4" s="3407"/>
      <c r="SOJ4" s="3407"/>
      <c r="SOK4" s="3407"/>
      <c r="SOL4" s="3407"/>
      <c r="SOM4" s="3407"/>
      <c r="SON4" s="3407"/>
      <c r="SOO4" s="3407"/>
      <c r="SOP4" s="3407"/>
      <c r="SOQ4" s="3407"/>
      <c r="SOR4" s="3407"/>
      <c r="SOS4" s="3407"/>
      <c r="SOT4" s="3407"/>
      <c r="SOU4" s="3407"/>
      <c r="SOV4" s="3407"/>
      <c r="SOW4" s="3407"/>
      <c r="SOX4" s="3407"/>
      <c r="SOY4" s="3407"/>
      <c r="SOZ4" s="3407"/>
      <c r="SPA4" s="3407"/>
      <c r="SPB4" s="3407"/>
      <c r="SPC4" s="3407"/>
      <c r="SPD4" s="3407"/>
      <c r="SPE4" s="3407"/>
      <c r="SPF4" s="3407"/>
      <c r="SPG4" s="3407"/>
      <c r="SPH4" s="3407"/>
      <c r="SPI4" s="3407"/>
      <c r="SPJ4" s="3407"/>
      <c r="SPK4" s="3407"/>
      <c r="SPL4" s="3407"/>
      <c r="SPM4" s="3407"/>
      <c r="SPN4" s="3407"/>
      <c r="SPO4" s="3407"/>
      <c r="SPP4" s="3407"/>
      <c r="SPQ4" s="3407"/>
      <c r="SPR4" s="3407"/>
      <c r="SPS4" s="3407"/>
      <c r="SPT4" s="3407"/>
      <c r="SPU4" s="3407"/>
      <c r="SPV4" s="3407"/>
      <c r="SPW4" s="3407"/>
      <c r="SPX4" s="3407"/>
      <c r="SPY4" s="3407"/>
      <c r="SPZ4" s="3407"/>
      <c r="SQA4" s="3407"/>
      <c r="SQB4" s="3407"/>
      <c r="SQC4" s="3407"/>
      <c r="SQD4" s="3407"/>
      <c r="SQE4" s="3407"/>
      <c r="SQF4" s="3407"/>
      <c r="SQG4" s="3407"/>
      <c r="SQH4" s="3407"/>
      <c r="SQI4" s="3407"/>
      <c r="SQJ4" s="3407"/>
      <c r="SQK4" s="3407"/>
      <c r="SQL4" s="3407"/>
      <c r="SQM4" s="3407"/>
      <c r="SQN4" s="3407"/>
      <c r="SQO4" s="3407"/>
      <c r="SQP4" s="3407"/>
      <c r="SQQ4" s="3407"/>
      <c r="SQR4" s="3407"/>
      <c r="SQS4" s="3407"/>
      <c r="SQT4" s="3407"/>
      <c r="SQU4" s="3407"/>
      <c r="SQV4" s="3407"/>
      <c r="SQW4" s="3407"/>
      <c r="SQX4" s="3407"/>
      <c r="SQY4" s="3407"/>
      <c r="SQZ4" s="3407"/>
      <c r="SRA4" s="3407"/>
      <c r="SRB4" s="3407"/>
      <c r="SRC4" s="3407"/>
      <c r="SRD4" s="3407"/>
      <c r="SRE4" s="3407"/>
      <c r="SRF4" s="3407"/>
      <c r="SRG4" s="3407"/>
      <c r="SRH4" s="3407"/>
      <c r="SRI4" s="3407"/>
      <c r="SRJ4" s="3407"/>
      <c r="SRK4" s="3407"/>
      <c r="SRL4" s="3407"/>
      <c r="SRM4" s="3407"/>
      <c r="SRN4" s="3407"/>
      <c r="SRO4" s="3407"/>
      <c r="SRP4" s="3407"/>
      <c r="SRQ4" s="3407"/>
      <c r="SRR4" s="3407"/>
      <c r="SRS4" s="3407"/>
      <c r="SRT4" s="3407"/>
      <c r="SRU4" s="3407"/>
      <c r="SRV4" s="3407"/>
      <c r="SRW4" s="3407"/>
      <c r="SRX4" s="3407"/>
      <c r="SRY4" s="3407"/>
      <c r="SRZ4" s="3407"/>
      <c r="SSA4" s="3407"/>
      <c r="SSB4" s="3407"/>
      <c r="SSC4" s="3407"/>
      <c r="SSD4" s="3407"/>
      <c r="SSE4" s="3407"/>
      <c r="SSF4" s="3407"/>
      <c r="SSG4" s="3407"/>
      <c r="SSH4" s="3407"/>
      <c r="SSI4" s="3407"/>
      <c r="SSJ4" s="3407"/>
      <c r="SSK4" s="3407"/>
      <c r="SSL4" s="3407"/>
      <c r="SSM4" s="3407"/>
      <c r="SSN4" s="3407"/>
      <c r="SSO4" s="3407"/>
      <c r="SSP4" s="3407"/>
      <c r="SSQ4" s="3407"/>
      <c r="SSR4" s="3407"/>
      <c r="SSS4" s="3407"/>
      <c r="SST4" s="3407"/>
      <c r="SSU4" s="3407"/>
      <c r="SSV4" s="3407"/>
      <c r="SSW4" s="3407"/>
      <c r="SSX4" s="3407"/>
      <c r="SSY4" s="3407"/>
      <c r="SSZ4" s="3407"/>
      <c r="STA4" s="3407"/>
      <c r="STB4" s="3407"/>
      <c r="STC4" s="3407"/>
      <c r="STD4" s="3407"/>
      <c r="STE4" s="3407"/>
      <c r="STF4" s="3407"/>
      <c r="STG4" s="3407"/>
      <c r="STH4" s="3407"/>
      <c r="STI4" s="3407"/>
      <c r="STJ4" s="3407"/>
      <c r="STK4" s="3407"/>
      <c r="STL4" s="3407"/>
      <c r="STM4" s="3407"/>
      <c r="STN4" s="3407"/>
      <c r="STO4" s="3407"/>
      <c r="STP4" s="3407"/>
      <c r="STQ4" s="3407"/>
      <c r="STR4" s="3407"/>
      <c r="STS4" s="3407"/>
      <c r="STT4" s="3407"/>
      <c r="STU4" s="3407"/>
      <c r="STV4" s="3407"/>
      <c r="STW4" s="3407"/>
      <c r="STX4" s="3407"/>
      <c r="STY4" s="3407"/>
      <c r="STZ4" s="3407"/>
      <c r="SUA4" s="3407"/>
      <c r="SUB4" s="3407"/>
      <c r="SUC4" s="3407"/>
      <c r="SUD4" s="3407"/>
      <c r="SUE4" s="3407"/>
      <c r="SUF4" s="3407"/>
      <c r="SUG4" s="3407"/>
      <c r="SUH4" s="3407"/>
      <c r="SUI4" s="3407"/>
      <c r="SUJ4" s="3407"/>
      <c r="SUK4" s="3407"/>
      <c r="SUL4" s="3407"/>
      <c r="SUM4" s="3407"/>
      <c r="SUN4" s="3407"/>
      <c r="SUO4" s="3407"/>
      <c r="SUP4" s="3407"/>
      <c r="SUQ4" s="3407"/>
      <c r="SUR4" s="3407"/>
      <c r="SUS4" s="3407"/>
      <c r="SUT4" s="3407"/>
      <c r="SUU4" s="3407"/>
      <c r="SUV4" s="3407"/>
      <c r="SUW4" s="3407"/>
      <c r="SUX4" s="3407"/>
      <c r="SUY4" s="3407"/>
      <c r="SUZ4" s="3407"/>
      <c r="SVA4" s="3407"/>
      <c r="SVB4" s="3407"/>
      <c r="SVC4" s="3407"/>
      <c r="SVD4" s="3407"/>
      <c r="SVE4" s="3407"/>
      <c r="SVF4" s="3407"/>
      <c r="SVG4" s="3407"/>
      <c r="SVH4" s="3407"/>
      <c r="SVI4" s="3407"/>
      <c r="SVJ4" s="3407"/>
      <c r="SVK4" s="3407"/>
      <c r="SVL4" s="3407"/>
      <c r="SVM4" s="3407"/>
      <c r="SVN4" s="3407"/>
      <c r="SVO4" s="3407"/>
      <c r="SVP4" s="3407"/>
      <c r="SVQ4" s="3407"/>
      <c r="SVR4" s="3407"/>
      <c r="SVS4" s="3407"/>
      <c r="SVT4" s="3407"/>
      <c r="SVU4" s="3407"/>
      <c r="SVV4" s="3407"/>
      <c r="SVW4" s="3407"/>
      <c r="SVX4" s="3407"/>
      <c r="SVY4" s="3407"/>
      <c r="SVZ4" s="3407"/>
      <c r="SWA4" s="3407"/>
      <c r="SWB4" s="3407"/>
      <c r="SWC4" s="3407"/>
      <c r="SWD4" s="3407"/>
      <c r="SWE4" s="3407"/>
      <c r="SWF4" s="3407"/>
      <c r="SWG4" s="3407"/>
      <c r="SWH4" s="3407"/>
      <c r="SWI4" s="3407"/>
      <c r="SWJ4" s="3407"/>
      <c r="SWK4" s="3407"/>
      <c r="SWL4" s="3407"/>
      <c r="SWM4" s="3407"/>
      <c r="SWN4" s="3407"/>
      <c r="SWO4" s="3407"/>
      <c r="SWP4" s="3407"/>
      <c r="SWQ4" s="3407"/>
      <c r="SWR4" s="3407"/>
      <c r="SWS4" s="3407"/>
      <c r="SWT4" s="3407"/>
      <c r="SWU4" s="3407"/>
      <c r="SWV4" s="3407"/>
      <c r="SWW4" s="3407"/>
      <c r="SWX4" s="3407"/>
      <c r="SWY4" s="3407"/>
      <c r="SWZ4" s="3407"/>
      <c r="SXA4" s="3407"/>
      <c r="SXB4" s="3407"/>
      <c r="SXC4" s="3407"/>
      <c r="SXD4" s="3407"/>
      <c r="SXE4" s="3407"/>
      <c r="SXF4" s="3407"/>
      <c r="SXG4" s="3407"/>
      <c r="SXH4" s="3407"/>
      <c r="SXI4" s="3407"/>
      <c r="SXJ4" s="3407"/>
      <c r="SXK4" s="3407"/>
      <c r="SXL4" s="3407"/>
      <c r="SXM4" s="3407"/>
      <c r="SXN4" s="3407"/>
      <c r="SXO4" s="3407"/>
      <c r="SXP4" s="3407"/>
      <c r="SXQ4" s="3407"/>
      <c r="SXR4" s="3407"/>
      <c r="SXS4" s="3407"/>
      <c r="SXT4" s="3407"/>
      <c r="SXU4" s="3407"/>
      <c r="SXV4" s="3407"/>
      <c r="SXW4" s="3407"/>
      <c r="SXX4" s="3407"/>
      <c r="SXY4" s="3407"/>
      <c r="SXZ4" s="3407"/>
      <c r="SYA4" s="3407"/>
      <c r="SYB4" s="3407"/>
      <c r="SYC4" s="3407"/>
      <c r="SYD4" s="3407"/>
      <c r="SYE4" s="3407"/>
      <c r="SYF4" s="3407"/>
      <c r="SYG4" s="3407"/>
      <c r="SYH4" s="3407"/>
      <c r="SYI4" s="3407"/>
      <c r="SYJ4" s="3407"/>
      <c r="SYK4" s="3407"/>
      <c r="SYL4" s="3407"/>
      <c r="SYM4" s="3407"/>
      <c r="SYN4" s="3407"/>
      <c r="SYO4" s="3407"/>
      <c r="SYP4" s="3407"/>
      <c r="SYQ4" s="3407"/>
      <c r="SYR4" s="3407"/>
      <c r="SYS4" s="3407"/>
      <c r="SYT4" s="3407"/>
      <c r="SYU4" s="3407"/>
      <c r="SYV4" s="3407"/>
      <c r="SYW4" s="3407"/>
      <c r="SYX4" s="3407"/>
      <c r="SYY4" s="3407"/>
      <c r="SYZ4" s="3407"/>
      <c r="SZA4" s="3407"/>
      <c r="SZB4" s="3407"/>
      <c r="SZC4" s="3407"/>
      <c r="SZD4" s="3407"/>
      <c r="SZE4" s="3407"/>
      <c r="SZF4" s="3407"/>
      <c r="SZG4" s="3407"/>
      <c r="SZH4" s="3407"/>
      <c r="SZI4" s="3407"/>
      <c r="SZJ4" s="3407"/>
      <c r="SZK4" s="3407"/>
      <c r="SZL4" s="3407"/>
      <c r="SZM4" s="3407"/>
      <c r="SZN4" s="3407"/>
      <c r="SZO4" s="3407"/>
      <c r="SZP4" s="3407"/>
      <c r="SZQ4" s="3407"/>
      <c r="SZR4" s="3407"/>
      <c r="SZS4" s="3407"/>
      <c r="SZT4" s="3407"/>
      <c r="SZU4" s="3407"/>
      <c r="SZV4" s="3407"/>
      <c r="SZW4" s="3407"/>
      <c r="SZX4" s="3407"/>
      <c r="SZY4" s="3407"/>
      <c r="SZZ4" s="3407"/>
      <c r="TAA4" s="3407"/>
      <c r="TAB4" s="3407"/>
      <c r="TAC4" s="3407"/>
      <c r="TAD4" s="3407"/>
      <c r="TAE4" s="3407"/>
      <c r="TAF4" s="3407"/>
      <c r="TAG4" s="3407"/>
      <c r="TAH4" s="3407"/>
      <c r="TAI4" s="3407"/>
      <c r="TAJ4" s="3407"/>
      <c r="TAK4" s="3407"/>
      <c r="TAL4" s="3407"/>
      <c r="TAM4" s="3407"/>
      <c r="TAN4" s="3407"/>
      <c r="TAO4" s="3407"/>
      <c r="TAP4" s="3407"/>
      <c r="TAQ4" s="3407"/>
      <c r="TAR4" s="3407"/>
      <c r="TAS4" s="3407"/>
      <c r="TAT4" s="3407"/>
      <c r="TAU4" s="3407"/>
      <c r="TAV4" s="3407"/>
      <c r="TAW4" s="3407"/>
      <c r="TAX4" s="3407"/>
      <c r="TAY4" s="3407"/>
      <c r="TAZ4" s="3407"/>
      <c r="TBA4" s="3407"/>
      <c r="TBB4" s="3407"/>
      <c r="TBC4" s="3407"/>
      <c r="TBD4" s="3407"/>
      <c r="TBE4" s="3407"/>
      <c r="TBF4" s="3407"/>
      <c r="TBG4" s="3407"/>
      <c r="TBH4" s="3407"/>
      <c r="TBI4" s="3407"/>
      <c r="TBJ4" s="3407"/>
      <c r="TBK4" s="3407"/>
      <c r="TBL4" s="3407"/>
      <c r="TBM4" s="3407"/>
      <c r="TBN4" s="3407"/>
      <c r="TBO4" s="3407"/>
      <c r="TBP4" s="3407"/>
      <c r="TBQ4" s="3407"/>
      <c r="TBR4" s="3407"/>
      <c r="TBS4" s="3407"/>
      <c r="TBT4" s="3407"/>
      <c r="TBU4" s="3407"/>
      <c r="TBV4" s="3407"/>
      <c r="TBW4" s="3407"/>
      <c r="TBX4" s="3407"/>
      <c r="TBY4" s="3407"/>
      <c r="TBZ4" s="3407"/>
      <c r="TCA4" s="3407"/>
      <c r="TCB4" s="3407"/>
      <c r="TCC4" s="3407"/>
      <c r="TCD4" s="3407"/>
      <c r="TCE4" s="3407"/>
      <c r="TCF4" s="3407"/>
      <c r="TCG4" s="3407"/>
      <c r="TCH4" s="3407"/>
      <c r="TCI4" s="3407"/>
      <c r="TCJ4" s="3407"/>
      <c r="TCK4" s="3407"/>
      <c r="TCL4" s="3407"/>
      <c r="TCM4" s="3407"/>
      <c r="TCN4" s="3407"/>
      <c r="TCO4" s="3407"/>
      <c r="TCP4" s="3407"/>
      <c r="TCQ4" s="3407"/>
      <c r="TCR4" s="3407"/>
      <c r="TCS4" s="3407"/>
      <c r="TCT4" s="3407"/>
      <c r="TCU4" s="3407"/>
      <c r="TCV4" s="3407"/>
      <c r="TCW4" s="3407"/>
      <c r="TCX4" s="3407"/>
      <c r="TCY4" s="3407"/>
      <c r="TCZ4" s="3407"/>
      <c r="TDA4" s="3407"/>
      <c r="TDB4" s="3407"/>
      <c r="TDC4" s="3407"/>
      <c r="TDD4" s="3407"/>
      <c r="TDE4" s="3407"/>
      <c r="TDF4" s="3407"/>
      <c r="TDG4" s="3407"/>
      <c r="TDH4" s="3407"/>
      <c r="TDI4" s="3407"/>
      <c r="TDJ4" s="3407"/>
      <c r="TDK4" s="3407"/>
      <c r="TDL4" s="3407"/>
      <c r="TDM4" s="3407"/>
      <c r="TDN4" s="3407"/>
      <c r="TDO4" s="3407"/>
      <c r="TDP4" s="3407"/>
      <c r="TDQ4" s="3407"/>
      <c r="TDR4" s="3407"/>
      <c r="TDS4" s="3407"/>
      <c r="TDT4" s="3407"/>
      <c r="TDU4" s="3407"/>
      <c r="TDV4" s="3407"/>
      <c r="TDW4" s="3407"/>
      <c r="TDX4" s="3407"/>
      <c r="TDY4" s="3407"/>
      <c r="TDZ4" s="3407"/>
      <c r="TEA4" s="3407"/>
      <c r="TEB4" s="3407"/>
      <c r="TEC4" s="3407"/>
      <c r="TED4" s="3407"/>
      <c r="TEE4" s="3407"/>
      <c r="TEF4" s="3407"/>
      <c r="TEG4" s="3407"/>
      <c r="TEH4" s="3407"/>
      <c r="TEI4" s="3407"/>
      <c r="TEJ4" s="3407"/>
      <c r="TEK4" s="3407"/>
      <c r="TEL4" s="3407"/>
      <c r="TEM4" s="3407"/>
      <c r="TEN4" s="3407"/>
      <c r="TEO4" s="3407"/>
      <c r="TEP4" s="3407"/>
      <c r="TEQ4" s="3407"/>
      <c r="TER4" s="3407"/>
      <c r="TES4" s="3407"/>
      <c r="TET4" s="3407"/>
      <c r="TEU4" s="3407"/>
      <c r="TEV4" s="3407"/>
      <c r="TEW4" s="3407"/>
      <c r="TEX4" s="3407"/>
      <c r="TEY4" s="3407"/>
      <c r="TEZ4" s="3407"/>
      <c r="TFA4" s="3407"/>
      <c r="TFB4" s="3407"/>
      <c r="TFC4" s="3407"/>
      <c r="TFD4" s="3407"/>
      <c r="TFE4" s="3407"/>
      <c r="TFF4" s="3407"/>
      <c r="TFG4" s="3407"/>
      <c r="TFH4" s="3407"/>
      <c r="TFI4" s="3407"/>
      <c r="TFJ4" s="3407"/>
      <c r="TFK4" s="3407"/>
      <c r="TFL4" s="3407"/>
      <c r="TFM4" s="3407"/>
      <c r="TFN4" s="3407"/>
      <c r="TFO4" s="3407"/>
      <c r="TFP4" s="3407"/>
      <c r="TFQ4" s="3407"/>
      <c r="TFR4" s="3407"/>
      <c r="TFS4" s="3407"/>
      <c r="TFT4" s="3407"/>
      <c r="TFU4" s="3407"/>
      <c r="TFV4" s="3407"/>
      <c r="TFW4" s="3407"/>
      <c r="TFX4" s="3407"/>
      <c r="TFY4" s="3407"/>
      <c r="TFZ4" s="3407"/>
      <c r="TGA4" s="3407"/>
      <c r="TGB4" s="3407"/>
      <c r="TGC4" s="3407"/>
      <c r="TGD4" s="3407"/>
      <c r="TGE4" s="3407"/>
      <c r="TGF4" s="3407"/>
      <c r="TGG4" s="3407"/>
      <c r="TGH4" s="3407"/>
      <c r="TGI4" s="3407"/>
      <c r="TGJ4" s="3407"/>
      <c r="TGK4" s="3407"/>
      <c r="TGL4" s="3407"/>
      <c r="TGM4" s="3407"/>
      <c r="TGN4" s="3407"/>
      <c r="TGO4" s="3407"/>
      <c r="TGP4" s="3407"/>
      <c r="TGQ4" s="3407"/>
      <c r="TGR4" s="3407"/>
      <c r="TGS4" s="3407"/>
      <c r="TGT4" s="3407"/>
      <c r="TGU4" s="3407"/>
      <c r="TGV4" s="3407"/>
      <c r="TGW4" s="3407"/>
      <c r="TGX4" s="3407"/>
      <c r="TGY4" s="3407"/>
      <c r="TGZ4" s="3407"/>
      <c r="THA4" s="3407"/>
      <c r="THB4" s="3407"/>
      <c r="THC4" s="3407"/>
      <c r="THD4" s="3407"/>
      <c r="THE4" s="3407"/>
      <c r="THF4" s="3407"/>
      <c r="THG4" s="3407"/>
      <c r="THH4" s="3407"/>
      <c r="THI4" s="3407"/>
      <c r="THJ4" s="3407"/>
      <c r="THK4" s="3407"/>
      <c r="THL4" s="3407"/>
      <c r="THM4" s="3407"/>
      <c r="THN4" s="3407"/>
      <c r="THO4" s="3407"/>
      <c r="THP4" s="3407"/>
      <c r="THQ4" s="3407"/>
      <c r="THR4" s="3407"/>
      <c r="THS4" s="3407"/>
      <c r="THT4" s="3407"/>
      <c r="THU4" s="3407"/>
      <c r="THV4" s="3407"/>
      <c r="THW4" s="3407"/>
      <c r="THX4" s="3407"/>
      <c r="THY4" s="3407"/>
      <c r="THZ4" s="3407"/>
      <c r="TIA4" s="3407"/>
      <c r="TIB4" s="3407"/>
      <c r="TIC4" s="3407"/>
      <c r="TID4" s="3407"/>
      <c r="TIE4" s="3407"/>
      <c r="TIF4" s="3407"/>
      <c r="TIG4" s="3407"/>
      <c r="TIH4" s="3407"/>
      <c r="TII4" s="3407"/>
      <c r="TIJ4" s="3407"/>
      <c r="TIK4" s="3407"/>
      <c r="TIL4" s="3407"/>
      <c r="TIM4" s="3407"/>
      <c r="TIN4" s="3407"/>
      <c r="TIO4" s="3407"/>
      <c r="TIP4" s="3407"/>
      <c r="TIQ4" s="3407"/>
      <c r="TIR4" s="3407"/>
      <c r="TIS4" s="3407"/>
      <c r="TIT4" s="3407"/>
      <c r="TIU4" s="3407"/>
      <c r="TIV4" s="3407"/>
      <c r="TIW4" s="3407"/>
      <c r="TIX4" s="3407"/>
      <c r="TIY4" s="3407"/>
      <c r="TIZ4" s="3407"/>
      <c r="TJA4" s="3407"/>
      <c r="TJB4" s="3407"/>
      <c r="TJC4" s="3407"/>
      <c r="TJD4" s="3407"/>
      <c r="TJE4" s="3407"/>
      <c r="TJF4" s="3407"/>
      <c r="TJG4" s="3407"/>
      <c r="TJH4" s="3407"/>
      <c r="TJI4" s="3407"/>
      <c r="TJJ4" s="3407"/>
      <c r="TJK4" s="3407"/>
      <c r="TJL4" s="3407"/>
      <c r="TJM4" s="3407"/>
      <c r="TJN4" s="3407"/>
      <c r="TJO4" s="3407"/>
      <c r="TJP4" s="3407"/>
      <c r="TJQ4" s="3407"/>
      <c r="TJR4" s="3407"/>
      <c r="TJS4" s="3407"/>
      <c r="TJT4" s="3407"/>
      <c r="TJU4" s="3407"/>
      <c r="TJV4" s="3407"/>
      <c r="TJW4" s="3407"/>
      <c r="TJX4" s="3407"/>
      <c r="TJY4" s="3407"/>
      <c r="TJZ4" s="3407"/>
      <c r="TKA4" s="3407"/>
      <c r="TKB4" s="3407"/>
      <c r="TKC4" s="3407"/>
      <c r="TKD4" s="3407"/>
      <c r="TKE4" s="3407"/>
      <c r="TKF4" s="3407"/>
      <c r="TKG4" s="3407"/>
      <c r="TKH4" s="3407"/>
      <c r="TKI4" s="3407"/>
      <c r="TKJ4" s="3407"/>
      <c r="TKK4" s="3407"/>
      <c r="TKL4" s="3407"/>
      <c r="TKM4" s="3407"/>
      <c r="TKN4" s="3407"/>
      <c r="TKO4" s="3407"/>
      <c r="TKP4" s="3407"/>
      <c r="TKQ4" s="3407"/>
      <c r="TKR4" s="3407"/>
      <c r="TKS4" s="3407"/>
      <c r="TKT4" s="3407"/>
      <c r="TKU4" s="3407"/>
      <c r="TKV4" s="3407"/>
      <c r="TKW4" s="3407"/>
      <c r="TKX4" s="3407"/>
      <c r="TKY4" s="3407"/>
      <c r="TKZ4" s="3407"/>
      <c r="TLA4" s="3407"/>
      <c r="TLB4" s="3407"/>
      <c r="TLC4" s="3407"/>
      <c r="TLD4" s="3407"/>
      <c r="TLE4" s="3407"/>
      <c r="TLF4" s="3407"/>
      <c r="TLG4" s="3407"/>
      <c r="TLH4" s="3407"/>
      <c r="TLI4" s="3407"/>
      <c r="TLJ4" s="3407"/>
      <c r="TLK4" s="3407"/>
      <c r="TLL4" s="3407"/>
      <c r="TLM4" s="3407"/>
      <c r="TLN4" s="3407"/>
      <c r="TLO4" s="3407"/>
      <c r="TLP4" s="3407"/>
      <c r="TLQ4" s="3407"/>
      <c r="TLR4" s="3407"/>
      <c r="TLS4" s="3407"/>
      <c r="TLT4" s="3407"/>
      <c r="TLU4" s="3407"/>
      <c r="TLV4" s="3407"/>
      <c r="TLW4" s="3407"/>
      <c r="TLX4" s="3407"/>
      <c r="TLY4" s="3407"/>
      <c r="TLZ4" s="3407"/>
      <c r="TMA4" s="3407"/>
      <c r="TMB4" s="3407"/>
      <c r="TMC4" s="3407"/>
      <c r="TMD4" s="3407"/>
      <c r="TME4" s="3407"/>
      <c r="TMF4" s="3407"/>
      <c r="TMG4" s="3407"/>
      <c r="TMH4" s="3407"/>
      <c r="TMI4" s="3407"/>
      <c r="TMJ4" s="3407"/>
      <c r="TMK4" s="3407"/>
      <c r="TML4" s="3407"/>
      <c r="TMM4" s="3407"/>
      <c r="TMN4" s="3407"/>
      <c r="TMO4" s="3407"/>
      <c r="TMP4" s="3407"/>
      <c r="TMQ4" s="3407"/>
      <c r="TMR4" s="3407"/>
      <c r="TMS4" s="3407"/>
      <c r="TMT4" s="3407"/>
      <c r="TMU4" s="3407"/>
      <c r="TMV4" s="3407"/>
      <c r="TMW4" s="3407"/>
      <c r="TMX4" s="3407"/>
      <c r="TMY4" s="3407"/>
      <c r="TMZ4" s="3407"/>
      <c r="TNA4" s="3407"/>
      <c r="TNB4" s="3407"/>
      <c r="TNC4" s="3407"/>
      <c r="TND4" s="3407"/>
      <c r="TNE4" s="3407"/>
      <c r="TNF4" s="3407"/>
      <c r="TNG4" s="3407"/>
      <c r="TNH4" s="3407"/>
      <c r="TNI4" s="3407"/>
      <c r="TNJ4" s="3407"/>
      <c r="TNK4" s="3407"/>
      <c r="TNL4" s="3407"/>
      <c r="TNM4" s="3407"/>
      <c r="TNN4" s="3407"/>
      <c r="TNO4" s="3407"/>
      <c r="TNP4" s="3407"/>
      <c r="TNQ4" s="3407"/>
      <c r="TNR4" s="3407"/>
      <c r="TNS4" s="3407"/>
      <c r="TNT4" s="3407"/>
      <c r="TNU4" s="3407"/>
      <c r="TNV4" s="3407"/>
      <c r="TNW4" s="3407"/>
      <c r="TNX4" s="3407"/>
      <c r="TNY4" s="3407"/>
      <c r="TNZ4" s="3407"/>
      <c r="TOA4" s="3407"/>
      <c r="TOB4" s="3407"/>
      <c r="TOC4" s="3407"/>
      <c r="TOD4" s="3407"/>
      <c r="TOE4" s="3407"/>
      <c r="TOF4" s="3407"/>
      <c r="TOG4" s="3407"/>
      <c r="TOH4" s="3407"/>
      <c r="TOI4" s="3407"/>
      <c r="TOJ4" s="3407"/>
      <c r="TOK4" s="3407"/>
      <c r="TOL4" s="3407"/>
      <c r="TOM4" s="3407"/>
      <c r="TON4" s="3407"/>
      <c r="TOO4" s="3407"/>
      <c r="TOP4" s="3407"/>
      <c r="TOQ4" s="3407"/>
      <c r="TOR4" s="3407"/>
      <c r="TOS4" s="3407"/>
      <c r="TOT4" s="3407"/>
      <c r="TOU4" s="3407"/>
      <c r="TOV4" s="3407"/>
      <c r="TOW4" s="3407"/>
      <c r="TOX4" s="3407"/>
      <c r="TOY4" s="3407"/>
      <c r="TOZ4" s="3407"/>
      <c r="TPA4" s="3407"/>
      <c r="TPB4" s="3407"/>
      <c r="TPC4" s="3407"/>
      <c r="TPD4" s="3407"/>
      <c r="TPE4" s="3407"/>
      <c r="TPF4" s="3407"/>
      <c r="TPG4" s="3407"/>
      <c r="TPH4" s="3407"/>
      <c r="TPI4" s="3407"/>
      <c r="TPJ4" s="3407"/>
      <c r="TPK4" s="3407"/>
      <c r="TPL4" s="3407"/>
      <c r="TPM4" s="3407"/>
      <c r="TPN4" s="3407"/>
      <c r="TPO4" s="3407"/>
      <c r="TPP4" s="3407"/>
      <c r="TPQ4" s="3407"/>
      <c r="TPR4" s="3407"/>
      <c r="TPS4" s="3407"/>
      <c r="TPT4" s="3407"/>
      <c r="TPU4" s="3407"/>
      <c r="TPV4" s="3407"/>
      <c r="TPW4" s="3407"/>
      <c r="TPX4" s="3407"/>
      <c r="TPY4" s="3407"/>
      <c r="TPZ4" s="3407"/>
      <c r="TQA4" s="3407"/>
      <c r="TQB4" s="3407"/>
      <c r="TQC4" s="3407"/>
      <c r="TQD4" s="3407"/>
      <c r="TQE4" s="3407"/>
      <c r="TQF4" s="3407"/>
      <c r="TQG4" s="3407"/>
      <c r="TQH4" s="3407"/>
      <c r="TQI4" s="3407"/>
      <c r="TQJ4" s="3407"/>
      <c r="TQK4" s="3407"/>
      <c r="TQL4" s="3407"/>
      <c r="TQM4" s="3407"/>
      <c r="TQN4" s="3407"/>
      <c r="TQO4" s="3407"/>
      <c r="TQP4" s="3407"/>
      <c r="TQQ4" s="3407"/>
      <c r="TQR4" s="3407"/>
      <c r="TQS4" s="3407"/>
      <c r="TQT4" s="3407"/>
      <c r="TQU4" s="3407"/>
      <c r="TQV4" s="3407"/>
      <c r="TQW4" s="3407"/>
      <c r="TQX4" s="3407"/>
      <c r="TQY4" s="3407"/>
      <c r="TQZ4" s="3407"/>
      <c r="TRA4" s="3407"/>
      <c r="TRB4" s="3407"/>
      <c r="TRC4" s="3407"/>
      <c r="TRD4" s="3407"/>
      <c r="TRE4" s="3407"/>
      <c r="TRF4" s="3407"/>
      <c r="TRG4" s="3407"/>
      <c r="TRH4" s="3407"/>
      <c r="TRI4" s="3407"/>
      <c r="TRJ4" s="3407"/>
      <c r="TRK4" s="3407"/>
      <c r="TRL4" s="3407"/>
      <c r="TRM4" s="3407"/>
      <c r="TRN4" s="3407"/>
      <c r="TRO4" s="3407"/>
      <c r="TRP4" s="3407"/>
      <c r="TRQ4" s="3407"/>
      <c r="TRR4" s="3407"/>
      <c r="TRS4" s="3407"/>
      <c r="TRT4" s="3407"/>
      <c r="TRU4" s="3407"/>
      <c r="TRV4" s="3407"/>
      <c r="TRW4" s="3407"/>
      <c r="TRX4" s="3407"/>
      <c r="TRY4" s="3407"/>
      <c r="TRZ4" s="3407"/>
      <c r="TSA4" s="3407"/>
      <c r="TSB4" s="3407"/>
      <c r="TSC4" s="3407"/>
      <c r="TSD4" s="3407"/>
      <c r="TSE4" s="3407"/>
      <c r="TSF4" s="3407"/>
      <c r="TSG4" s="3407"/>
      <c r="TSH4" s="3407"/>
      <c r="TSI4" s="3407"/>
      <c r="TSJ4" s="3407"/>
      <c r="TSK4" s="3407"/>
      <c r="TSL4" s="3407"/>
      <c r="TSM4" s="3407"/>
      <c r="TSN4" s="3407"/>
      <c r="TSO4" s="3407"/>
      <c r="TSP4" s="3407"/>
      <c r="TSQ4" s="3407"/>
      <c r="TSR4" s="3407"/>
      <c r="TSS4" s="3407"/>
      <c r="TST4" s="3407"/>
      <c r="TSU4" s="3407"/>
      <c r="TSV4" s="3407"/>
      <c r="TSW4" s="3407"/>
      <c r="TSX4" s="3407"/>
      <c r="TSY4" s="3407"/>
      <c r="TSZ4" s="3407"/>
      <c r="TTA4" s="3407"/>
      <c r="TTB4" s="3407"/>
      <c r="TTC4" s="3407"/>
      <c r="TTD4" s="3407"/>
      <c r="TTE4" s="3407"/>
      <c r="TTF4" s="3407"/>
      <c r="TTG4" s="3407"/>
      <c r="TTH4" s="3407"/>
      <c r="TTI4" s="3407"/>
      <c r="TTJ4" s="3407"/>
      <c r="TTK4" s="3407"/>
      <c r="TTL4" s="3407"/>
      <c r="TTM4" s="3407"/>
      <c r="TTN4" s="3407"/>
      <c r="TTO4" s="3407"/>
      <c r="TTP4" s="3407"/>
      <c r="TTQ4" s="3407"/>
      <c r="TTR4" s="3407"/>
      <c r="TTS4" s="3407"/>
      <c r="TTT4" s="3407"/>
      <c r="TTU4" s="3407"/>
      <c r="TTV4" s="3407"/>
      <c r="TTW4" s="3407"/>
      <c r="TTX4" s="3407"/>
      <c r="TTY4" s="3407"/>
      <c r="TTZ4" s="3407"/>
      <c r="TUA4" s="3407"/>
      <c r="TUB4" s="3407"/>
      <c r="TUC4" s="3407"/>
      <c r="TUD4" s="3407"/>
      <c r="TUE4" s="3407"/>
      <c r="TUF4" s="3407"/>
      <c r="TUG4" s="3407"/>
      <c r="TUH4" s="3407"/>
      <c r="TUI4" s="3407"/>
      <c r="TUJ4" s="3407"/>
      <c r="TUK4" s="3407"/>
      <c r="TUL4" s="3407"/>
      <c r="TUM4" s="3407"/>
      <c r="TUN4" s="3407"/>
      <c r="TUO4" s="3407"/>
      <c r="TUP4" s="3407"/>
      <c r="TUQ4" s="3407"/>
      <c r="TUR4" s="3407"/>
      <c r="TUS4" s="3407"/>
      <c r="TUT4" s="3407"/>
      <c r="TUU4" s="3407"/>
      <c r="TUV4" s="3407"/>
      <c r="TUW4" s="3407"/>
      <c r="TUX4" s="3407"/>
      <c r="TUY4" s="3407"/>
      <c r="TUZ4" s="3407"/>
      <c r="TVA4" s="3407"/>
      <c r="TVB4" s="3407"/>
      <c r="TVC4" s="3407"/>
      <c r="TVD4" s="3407"/>
      <c r="TVE4" s="3407"/>
      <c r="TVF4" s="3407"/>
      <c r="TVG4" s="3407"/>
      <c r="TVH4" s="3407"/>
      <c r="TVI4" s="3407"/>
      <c r="TVJ4" s="3407"/>
      <c r="TVK4" s="3407"/>
      <c r="TVL4" s="3407"/>
      <c r="TVM4" s="3407"/>
      <c r="TVN4" s="3407"/>
      <c r="TVO4" s="3407"/>
      <c r="TVP4" s="3407"/>
      <c r="TVQ4" s="3407"/>
      <c r="TVR4" s="3407"/>
      <c r="TVS4" s="3407"/>
      <c r="TVT4" s="3407"/>
      <c r="TVU4" s="3407"/>
      <c r="TVV4" s="3407"/>
      <c r="TVW4" s="3407"/>
      <c r="TVX4" s="3407"/>
      <c r="TVY4" s="3407"/>
      <c r="TVZ4" s="3407"/>
      <c r="TWA4" s="3407"/>
      <c r="TWB4" s="3407"/>
      <c r="TWC4" s="3407"/>
      <c r="TWD4" s="3407"/>
      <c r="TWE4" s="3407"/>
      <c r="TWF4" s="3407"/>
      <c r="TWG4" s="3407"/>
      <c r="TWH4" s="3407"/>
      <c r="TWI4" s="3407"/>
      <c r="TWJ4" s="3407"/>
      <c r="TWK4" s="3407"/>
      <c r="TWL4" s="3407"/>
      <c r="TWM4" s="3407"/>
      <c r="TWN4" s="3407"/>
      <c r="TWO4" s="3407"/>
      <c r="TWP4" s="3407"/>
      <c r="TWQ4" s="3407"/>
      <c r="TWR4" s="3407"/>
      <c r="TWS4" s="3407"/>
      <c r="TWT4" s="3407"/>
      <c r="TWU4" s="3407"/>
      <c r="TWV4" s="3407"/>
      <c r="TWW4" s="3407"/>
      <c r="TWX4" s="3407"/>
      <c r="TWY4" s="3407"/>
      <c r="TWZ4" s="3407"/>
      <c r="TXA4" s="3407"/>
      <c r="TXB4" s="3407"/>
      <c r="TXC4" s="3407"/>
      <c r="TXD4" s="3407"/>
      <c r="TXE4" s="3407"/>
      <c r="TXF4" s="3407"/>
      <c r="TXG4" s="3407"/>
      <c r="TXH4" s="3407"/>
      <c r="TXI4" s="3407"/>
      <c r="TXJ4" s="3407"/>
      <c r="TXK4" s="3407"/>
      <c r="TXL4" s="3407"/>
      <c r="TXM4" s="3407"/>
      <c r="TXN4" s="3407"/>
      <c r="TXO4" s="3407"/>
      <c r="TXP4" s="3407"/>
      <c r="TXQ4" s="3407"/>
      <c r="TXR4" s="3407"/>
      <c r="TXS4" s="3407"/>
      <c r="TXT4" s="3407"/>
      <c r="TXU4" s="3407"/>
      <c r="TXV4" s="3407"/>
      <c r="TXW4" s="3407"/>
      <c r="TXX4" s="3407"/>
      <c r="TXY4" s="3407"/>
      <c r="TXZ4" s="3407"/>
      <c r="TYA4" s="3407"/>
      <c r="TYB4" s="3407"/>
      <c r="TYC4" s="3407"/>
      <c r="TYD4" s="3407"/>
      <c r="TYE4" s="3407"/>
      <c r="TYF4" s="3407"/>
      <c r="TYG4" s="3407"/>
      <c r="TYH4" s="3407"/>
      <c r="TYI4" s="3407"/>
      <c r="TYJ4" s="3407"/>
      <c r="TYK4" s="3407"/>
      <c r="TYL4" s="3407"/>
      <c r="TYM4" s="3407"/>
      <c r="TYN4" s="3407"/>
      <c r="TYO4" s="3407"/>
      <c r="TYP4" s="3407"/>
      <c r="TYQ4" s="3407"/>
      <c r="TYR4" s="3407"/>
      <c r="TYS4" s="3407"/>
      <c r="TYT4" s="3407"/>
      <c r="TYU4" s="3407"/>
      <c r="TYV4" s="3407"/>
      <c r="TYW4" s="3407"/>
      <c r="TYX4" s="3407"/>
      <c r="TYY4" s="3407"/>
      <c r="TYZ4" s="3407"/>
      <c r="TZA4" s="3407"/>
      <c r="TZB4" s="3407"/>
      <c r="TZC4" s="3407"/>
      <c r="TZD4" s="3407"/>
      <c r="TZE4" s="3407"/>
      <c r="TZF4" s="3407"/>
      <c r="TZG4" s="3407"/>
      <c r="TZH4" s="3407"/>
      <c r="TZI4" s="3407"/>
      <c r="TZJ4" s="3407"/>
      <c r="TZK4" s="3407"/>
      <c r="TZL4" s="3407"/>
      <c r="TZM4" s="3407"/>
      <c r="TZN4" s="3407"/>
      <c r="TZO4" s="3407"/>
      <c r="TZP4" s="3407"/>
      <c r="TZQ4" s="3407"/>
      <c r="TZR4" s="3407"/>
      <c r="TZS4" s="3407"/>
      <c r="TZT4" s="3407"/>
      <c r="TZU4" s="3407"/>
      <c r="TZV4" s="3407"/>
      <c r="TZW4" s="3407"/>
      <c r="TZX4" s="3407"/>
      <c r="TZY4" s="3407"/>
      <c r="TZZ4" s="3407"/>
      <c r="UAA4" s="3407"/>
      <c r="UAB4" s="3407"/>
      <c r="UAC4" s="3407"/>
      <c r="UAD4" s="3407"/>
      <c r="UAE4" s="3407"/>
      <c r="UAF4" s="3407"/>
      <c r="UAG4" s="3407"/>
      <c r="UAH4" s="3407"/>
      <c r="UAI4" s="3407"/>
      <c r="UAJ4" s="3407"/>
      <c r="UAK4" s="3407"/>
      <c r="UAL4" s="3407"/>
      <c r="UAM4" s="3407"/>
      <c r="UAN4" s="3407"/>
      <c r="UAO4" s="3407"/>
      <c r="UAP4" s="3407"/>
      <c r="UAQ4" s="3407"/>
      <c r="UAR4" s="3407"/>
      <c r="UAS4" s="3407"/>
      <c r="UAT4" s="3407"/>
      <c r="UAU4" s="3407"/>
      <c r="UAV4" s="3407"/>
      <c r="UAW4" s="3407"/>
      <c r="UAX4" s="3407"/>
      <c r="UAY4" s="3407"/>
      <c r="UAZ4" s="3407"/>
      <c r="UBA4" s="3407"/>
      <c r="UBB4" s="3407"/>
      <c r="UBC4" s="3407"/>
      <c r="UBD4" s="3407"/>
      <c r="UBE4" s="3407"/>
      <c r="UBF4" s="3407"/>
      <c r="UBG4" s="3407"/>
      <c r="UBH4" s="3407"/>
      <c r="UBI4" s="3407"/>
      <c r="UBJ4" s="3407"/>
      <c r="UBK4" s="3407"/>
      <c r="UBL4" s="3407"/>
      <c r="UBM4" s="3407"/>
      <c r="UBN4" s="3407"/>
      <c r="UBO4" s="3407"/>
      <c r="UBP4" s="3407"/>
      <c r="UBQ4" s="3407"/>
      <c r="UBR4" s="3407"/>
      <c r="UBS4" s="3407"/>
      <c r="UBT4" s="3407"/>
      <c r="UBU4" s="3407"/>
      <c r="UBV4" s="3407"/>
      <c r="UBW4" s="3407"/>
      <c r="UBX4" s="3407"/>
      <c r="UBY4" s="3407"/>
      <c r="UBZ4" s="3407"/>
      <c r="UCA4" s="3407"/>
      <c r="UCB4" s="3407"/>
      <c r="UCC4" s="3407"/>
      <c r="UCD4" s="3407"/>
      <c r="UCE4" s="3407"/>
      <c r="UCF4" s="3407"/>
      <c r="UCG4" s="3407"/>
      <c r="UCH4" s="3407"/>
      <c r="UCI4" s="3407"/>
      <c r="UCJ4" s="3407"/>
      <c r="UCK4" s="3407"/>
      <c r="UCL4" s="3407"/>
      <c r="UCM4" s="3407"/>
      <c r="UCN4" s="3407"/>
      <c r="UCO4" s="3407"/>
      <c r="UCP4" s="3407"/>
      <c r="UCQ4" s="3407"/>
      <c r="UCR4" s="3407"/>
      <c r="UCS4" s="3407"/>
      <c r="UCT4" s="3407"/>
      <c r="UCU4" s="3407"/>
      <c r="UCV4" s="3407"/>
      <c r="UCW4" s="3407"/>
      <c r="UCX4" s="3407"/>
      <c r="UCY4" s="3407"/>
      <c r="UCZ4" s="3407"/>
      <c r="UDA4" s="3407"/>
      <c r="UDB4" s="3407"/>
      <c r="UDC4" s="3407"/>
      <c r="UDD4" s="3407"/>
      <c r="UDE4" s="3407"/>
      <c r="UDF4" s="3407"/>
      <c r="UDG4" s="3407"/>
      <c r="UDH4" s="3407"/>
      <c r="UDI4" s="3407"/>
      <c r="UDJ4" s="3407"/>
      <c r="UDK4" s="3407"/>
      <c r="UDL4" s="3407"/>
      <c r="UDM4" s="3407"/>
      <c r="UDN4" s="3407"/>
      <c r="UDO4" s="3407"/>
      <c r="UDP4" s="3407"/>
      <c r="UDQ4" s="3407"/>
      <c r="UDR4" s="3407"/>
      <c r="UDS4" s="3407"/>
      <c r="UDT4" s="3407"/>
      <c r="UDU4" s="3407"/>
      <c r="UDV4" s="3407"/>
      <c r="UDW4" s="3407"/>
      <c r="UDX4" s="3407"/>
      <c r="UDY4" s="3407"/>
      <c r="UDZ4" s="3407"/>
      <c r="UEA4" s="3407"/>
      <c r="UEB4" s="3407"/>
      <c r="UEC4" s="3407"/>
      <c r="UED4" s="3407"/>
      <c r="UEE4" s="3407"/>
      <c r="UEF4" s="3407"/>
      <c r="UEG4" s="3407"/>
      <c r="UEH4" s="3407"/>
      <c r="UEI4" s="3407"/>
      <c r="UEJ4" s="3407"/>
      <c r="UEK4" s="3407"/>
      <c r="UEL4" s="3407"/>
      <c r="UEM4" s="3407"/>
      <c r="UEN4" s="3407"/>
      <c r="UEO4" s="3407"/>
      <c r="UEP4" s="3407"/>
      <c r="UEQ4" s="3407"/>
      <c r="UER4" s="3407"/>
      <c r="UES4" s="3407"/>
      <c r="UET4" s="3407"/>
      <c r="UEU4" s="3407"/>
      <c r="UEV4" s="3407"/>
      <c r="UEW4" s="3407"/>
      <c r="UEX4" s="3407"/>
      <c r="UEY4" s="3407"/>
      <c r="UEZ4" s="3407"/>
      <c r="UFA4" s="3407"/>
      <c r="UFB4" s="3407"/>
      <c r="UFC4" s="3407"/>
      <c r="UFD4" s="3407"/>
      <c r="UFE4" s="3407"/>
      <c r="UFF4" s="3407"/>
      <c r="UFG4" s="3407"/>
      <c r="UFH4" s="3407"/>
      <c r="UFI4" s="3407"/>
      <c r="UFJ4" s="3407"/>
      <c r="UFK4" s="3407"/>
      <c r="UFL4" s="3407"/>
      <c r="UFM4" s="3407"/>
      <c r="UFN4" s="3407"/>
      <c r="UFO4" s="3407"/>
      <c r="UFP4" s="3407"/>
      <c r="UFQ4" s="3407"/>
      <c r="UFR4" s="3407"/>
      <c r="UFS4" s="3407"/>
      <c r="UFT4" s="3407"/>
      <c r="UFU4" s="3407"/>
      <c r="UFV4" s="3407"/>
      <c r="UFW4" s="3407"/>
      <c r="UFX4" s="3407"/>
      <c r="UFY4" s="3407"/>
      <c r="UFZ4" s="3407"/>
      <c r="UGA4" s="3407"/>
      <c r="UGB4" s="3407"/>
      <c r="UGC4" s="3407"/>
      <c r="UGD4" s="3407"/>
      <c r="UGE4" s="3407"/>
      <c r="UGF4" s="3407"/>
      <c r="UGG4" s="3407"/>
      <c r="UGH4" s="3407"/>
      <c r="UGI4" s="3407"/>
      <c r="UGJ4" s="3407"/>
      <c r="UGK4" s="3407"/>
      <c r="UGL4" s="3407"/>
      <c r="UGM4" s="3407"/>
      <c r="UGN4" s="3407"/>
      <c r="UGO4" s="3407"/>
      <c r="UGP4" s="3407"/>
      <c r="UGQ4" s="3407"/>
      <c r="UGR4" s="3407"/>
      <c r="UGS4" s="3407"/>
      <c r="UGT4" s="3407"/>
      <c r="UGU4" s="3407"/>
      <c r="UGV4" s="3407"/>
      <c r="UGW4" s="3407"/>
      <c r="UGX4" s="3407"/>
      <c r="UGY4" s="3407"/>
      <c r="UGZ4" s="3407"/>
      <c r="UHA4" s="3407"/>
      <c r="UHB4" s="3407"/>
      <c r="UHC4" s="3407"/>
      <c r="UHD4" s="3407"/>
      <c r="UHE4" s="3407"/>
      <c r="UHF4" s="3407"/>
      <c r="UHG4" s="3407"/>
      <c r="UHH4" s="3407"/>
      <c r="UHI4" s="3407"/>
      <c r="UHJ4" s="3407"/>
      <c r="UHK4" s="3407"/>
      <c r="UHL4" s="3407"/>
      <c r="UHM4" s="3407"/>
      <c r="UHN4" s="3407"/>
      <c r="UHO4" s="3407"/>
      <c r="UHP4" s="3407"/>
      <c r="UHQ4" s="3407"/>
      <c r="UHR4" s="3407"/>
      <c r="UHS4" s="3407"/>
      <c r="UHT4" s="3407"/>
      <c r="UHU4" s="3407"/>
      <c r="UHV4" s="3407"/>
      <c r="UHW4" s="3407"/>
      <c r="UHX4" s="3407"/>
      <c r="UHY4" s="3407"/>
      <c r="UHZ4" s="3407"/>
      <c r="UIA4" s="3407"/>
      <c r="UIB4" s="3407"/>
      <c r="UIC4" s="3407"/>
      <c r="UID4" s="3407"/>
      <c r="UIE4" s="3407"/>
      <c r="UIF4" s="3407"/>
      <c r="UIG4" s="3407"/>
      <c r="UIH4" s="3407"/>
      <c r="UII4" s="3407"/>
      <c r="UIJ4" s="3407"/>
      <c r="UIK4" s="3407"/>
      <c r="UIL4" s="3407"/>
      <c r="UIM4" s="3407"/>
      <c r="UIN4" s="3407"/>
      <c r="UIO4" s="3407"/>
      <c r="UIP4" s="3407"/>
      <c r="UIQ4" s="3407"/>
      <c r="UIR4" s="3407"/>
      <c r="UIS4" s="3407"/>
      <c r="UIT4" s="3407"/>
      <c r="UIU4" s="3407"/>
      <c r="UIV4" s="3407"/>
      <c r="UIW4" s="3407"/>
      <c r="UIX4" s="3407"/>
      <c r="UIY4" s="3407"/>
      <c r="UIZ4" s="3407"/>
      <c r="UJA4" s="3407"/>
      <c r="UJB4" s="3407"/>
      <c r="UJC4" s="3407"/>
      <c r="UJD4" s="3407"/>
      <c r="UJE4" s="3407"/>
      <c r="UJF4" s="3407"/>
      <c r="UJG4" s="3407"/>
      <c r="UJH4" s="3407"/>
      <c r="UJI4" s="3407"/>
      <c r="UJJ4" s="3407"/>
      <c r="UJK4" s="3407"/>
      <c r="UJL4" s="3407"/>
      <c r="UJM4" s="3407"/>
      <c r="UJN4" s="3407"/>
      <c r="UJO4" s="3407"/>
      <c r="UJP4" s="3407"/>
      <c r="UJQ4" s="3407"/>
      <c r="UJR4" s="3407"/>
      <c r="UJS4" s="3407"/>
      <c r="UJT4" s="3407"/>
      <c r="UJU4" s="3407"/>
      <c r="UJV4" s="3407"/>
      <c r="UJW4" s="3407"/>
      <c r="UJX4" s="3407"/>
      <c r="UJY4" s="3407"/>
      <c r="UJZ4" s="3407"/>
      <c r="UKA4" s="3407"/>
      <c r="UKB4" s="3407"/>
      <c r="UKC4" s="3407"/>
      <c r="UKD4" s="3407"/>
      <c r="UKE4" s="3407"/>
      <c r="UKF4" s="3407"/>
      <c r="UKG4" s="3407"/>
      <c r="UKH4" s="3407"/>
      <c r="UKI4" s="3407"/>
      <c r="UKJ4" s="3407"/>
      <c r="UKK4" s="3407"/>
      <c r="UKL4" s="3407"/>
      <c r="UKM4" s="3407"/>
      <c r="UKN4" s="3407"/>
      <c r="UKO4" s="3407"/>
      <c r="UKP4" s="3407"/>
      <c r="UKQ4" s="3407"/>
      <c r="UKR4" s="3407"/>
      <c r="UKS4" s="3407"/>
      <c r="UKT4" s="3407"/>
      <c r="UKU4" s="3407"/>
      <c r="UKV4" s="3407"/>
      <c r="UKW4" s="3407"/>
      <c r="UKX4" s="3407"/>
      <c r="UKY4" s="3407"/>
      <c r="UKZ4" s="3407"/>
      <c r="ULA4" s="3407"/>
      <c r="ULB4" s="3407"/>
      <c r="ULC4" s="3407"/>
      <c r="ULD4" s="3407"/>
      <c r="ULE4" s="3407"/>
      <c r="ULF4" s="3407"/>
      <c r="ULG4" s="3407"/>
      <c r="ULH4" s="3407"/>
      <c r="ULI4" s="3407"/>
      <c r="ULJ4" s="3407"/>
      <c r="ULK4" s="3407"/>
      <c r="ULL4" s="3407"/>
      <c r="ULM4" s="3407"/>
      <c r="ULN4" s="3407"/>
      <c r="ULO4" s="3407"/>
      <c r="ULP4" s="3407"/>
      <c r="ULQ4" s="3407"/>
      <c r="ULR4" s="3407"/>
      <c r="ULS4" s="3407"/>
      <c r="ULT4" s="3407"/>
      <c r="ULU4" s="3407"/>
      <c r="ULV4" s="3407"/>
      <c r="ULW4" s="3407"/>
      <c r="ULX4" s="3407"/>
      <c r="ULY4" s="3407"/>
      <c r="ULZ4" s="3407"/>
      <c r="UMA4" s="3407"/>
      <c r="UMB4" s="3407"/>
      <c r="UMC4" s="3407"/>
      <c r="UMD4" s="3407"/>
      <c r="UME4" s="3407"/>
      <c r="UMF4" s="3407"/>
      <c r="UMG4" s="3407"/>
      <c r="UMH4" s="3407"/>
      <c r="UMI4" s="3407"/>
      <c r="UMJ4" s="3407"/>
      <c r="UMK4" s="3407"/>
      <c r="UML4" s="3407"/>
      <c r="UMM4" s="3407"/>
      <c r="UMN4" s="3407"/>
      <c r="UMO4" s="3407"/>
      <c r="UMP4" s="3407"/>
      <c r="UMQ4" s="3407"/>
      <c r="UMR4" s="3407"/>
      <c r="UMS4" s="3407"/>
      <c r="UMT4" s="3407"/>
      <c r="UMU4" s="3407"/>
      <c r="UMV4" s="3407"/>
      <c r="UMW4" s="3407"/>
      <c r="UMX4" s="3407"/>
      <c r="UMY4" s="3407"/>
      <c r="UMZ4" s="3407"/>
      <c r="UNA4" s="3407"/>
      <c r="UNB4" s="3407"/>
      <c r="UNC4" s="3407"/>
      <c r="UND4" s="3407"/>
      <c r="UNE4" s="3407"/>
      <c r="UNF4" s="3407"/>
      <c r="UNG4" s="3407"/>
      <c r="UNH4" s="3407"/>
      <c r="UNI4" s="3407"/>
      <c r="UNJ4" s="3407"/>
      <c r="UNK4" s="3407"/>
      <c r="UNL4" s="3407"/>
      <c r="UNM4" s="3407"/>
      <c r="UNN4" s="3407"/>
      <c r="UNO4" s="3407"/>
      <c r="UNP4" s="3407"/>
      <c r="UNQ4" s="3407"/>
      <c r="UNR4" s="3407"/>
      <c r="UNS4" s="3407"/>
      <c r="UNT4" s="3407"/>
      <c r="UNU4" s="3407"/>
      <c r="UNV4" s="3407"/>
      <c r="UNW4" s="3407"/>
      <c r="UNX4" s="3407"/>
      <c r="UNY4" s="3407"/>
      <c r="UNZ4" s="3407"/>
      <c r="UOA4" s="3407"/>
      <c r="UOB4" s="3407"/>
      <c r="UOC4" s="3407"/>
      <c r="UOD4" s="3407"/>
      <c r="UOE4" s="3407"/>
      <c r="UOF4" s="3407"/>
      <c r="UOG4" s="3407"/>
      <c r="UOH4" s="3407"/>
      <c r="UOI4" s="3407"/>
      <c r="UOJ4" s="3407"/>
      <c r="UOK4" s="3407"/>
      <c r="UOL4" s="3407"/>
      <c r="UOM4" s="3407"/>
      <c r="UON4" s="3407"/>
      <c r="UOO4" s="3407"/>
      <c r="UOP4" s="3407"/>
      <c r="UOQ4" s="3407"/>
      <c r="UOR4" s="3407"/>
      <c r="UOS4" s="3407"/>
      <c r="UOT4" s="3407"/>
      <c r="UOU4" s="3407"/>
      <c r="UOV4" s="3407"/>
      <c r="UOW4" s="3407"/>
      <c r="UOX4" s="3407"/>
      <c r="UOY4" s="3407"/>
      <c r="UOZ4" s="3407"/>
      <c r="UPA4" s="3407"/>
      <c r="UPB4" s="3407"/>
      <c r="UPC4" s="3407"/>
      <c r="UPD4" s="3407"/>
      <c r="UPE4" s="3407"/>
      <c r="UPF4" s="3407"/>
      <c r="UPG4" s="3407"/>
      <c r="UPH4" s="3407"/>
      <c r="UPI4" s="3407"/>
      <c r="UPJ4" s="3407"/>
      <c r="UPK4" s="3407"/>
      <c r="UPL4" s="3407"/>
      <c r="UPM4" s="3407"/>
      <c r="UPN4" s="3407"/>
      <c r="UPO4" s="3407"/>
      <c r="UPP4" s="3407"/>
      <c r="UPQ4" s="3407"/>
      <c r="UPR4" s="3407"/>
      <c r="UPS4" s="3407"/>
      <c r="UPT4" s="3407"/>
      <c r="UPU4" s="3407"/>
      <c r="UPV4" s="3407"/>
      <c r="UPW4" s="3407"/>
      <c r="UPX4" s="3407"/>
      <c r="UPY4" s="3407"/>
      <c r="UPZ4" s="3407"/>
      <c r="UQA4" s="3407"/>
      <c r="UQB4" s="3407"/>
      <c r="UQC4" s="3407"/>
      <c r="UQD4" s="3407"/>
      <c r="UQE4" s="3407"/>
      <c r="UQF4" s="3407"/>
      <c r="UQG4" s="3407"/>
      <c r="UQH4" s="3407"/>
      <c r="UQI4" s="3407"/>
      <c r="UQJ4" s="3407"/>
      <c r="UQK4" s="3407"/>
      <c r="UQL4" s="3407"/>
      <c r="UQM4" s="3407"/>
      <c r="UQN4" s="3407"/>
      <c r="UQO4" s="3407"/>
      <c r="UQP4" s="3407"/>
      <c r="UQQ4" s="3407"/>
      <c r="UQR4" s="3407"/>
      <c r="UQS4" s="3407"/>
      <c r="UQT4" s="3407"/>
      <c r="UQU4" s="3407"/>
      <c r="UQV4" s="3407"/>
      <c r="UQW4" s="3407"/>
      <c r="UQX4" s="3407"/>
      <c r="UQY4" s="3407"/>
      <c r="UQZ4" s="3407"/>
      <c r="URA4" s="3407"/>
      <c r="URB4" s="3407"/>
      <c r="URC4" s="3407"/>
      <c r="URD4" s="3407"/>
      <c r="URE4" s="3407"/>
      <c r="URF4" s="3407"/>
      <c r="URG4" s="3407"/>
      <c r="URH4" s="3407"/>
      <c r="URI4" s="3407"/>
      <c r="URJ4" s="3407"/>
      <c r="URK4" s="3407"/>
      <c r="URL4" s="3407"/>
      <c r="URM4" s="3407"/>
      <c r="URN4" s="3407"/>
      <c r="URO4" s="3407"/>
      <c r="URP4" s="3407"/>
      <c r="URQ4" s="3407"/>
      <c r="URR4" s="3407"/>
      <c r="URS4" s="3407"/>
      <c r="URT4" s="3407"/>
      <c r="URU4" s="3407"/>
      <c r="URV4" s="3407"/>
      <c r="URW4" s="3407"/>
      <c r="URX4" s="3407"/>
      <c r="URY4" s="3407"/>
      <c r="URZ4" s="3407"/>
      <c r="USA4" s="3407"/>
      <c r="USB4" s="3407"/>
      <c r="USC4" s="3407"/>
      <c r="USD4" s="3407"/>
      <c r="USE4" s="3407"/>
      <c r="USF4" s="3407"/>
      <c r="USG4" s="3407"/>
      <c r="USH4" s="3407"/>
      <c r="USI4" s="3407"/>
      <c r="USJ4" s="3407"/>
      <c r="USK4" s="3407"/>
      <c r="USL4" s="3407"/>
      <c r="USM4" s="3407"/>
      <c r="USN4" s="3407"/>
      <c r="USO4" s="3407"/>
      <c r="USP4" s="3407"/>
      <c r="USQ4" s="3407"/>
      <c r="USR4" s="3407"/>
      <c r="USS4" s="3407"/>
      <c r="UST4" s="3407"/>
      <c r="USU4" s="3407"/>
      <c r="USV4" s="3407"/>
      <c r="USW4" s="3407"/>
      <c r="USX4" s="3407"/>
      <c r="USY4" s="3407"/>
      <c r="USZ4" s="3407"/>
      <c r="UTA4" s="3407"/>
      <c r="UTB4" s="3407"/>
      <c r="UTC4" s="3407"/>
      <c r="UTD4" s="3407"/>
      <c r="UTE4" s="3407"/>
      <c r="UTF4" s="3407"/>
      <c r="UTG4" s="3407"/>
      <c r="UTH4" s="3407"/>
      <c r="UTI4" s="3407"/>
      <c r="UTJ4" s="3407"/>
      <c r="UTK4" s="3407"/>
      <c r="UTL4" s="3407"/>
      <c r="UTM4" s="3407"/>
      <c r="UTN4" s="3407"/>
      <c r="UTO4" s="3407"/>
      <c r="UTP4" s="3407"/>
      <c r="UTQ4" s="3407"/>
      <c r="UTR4" s="3407"/>
      <c r="UTS4" s="3407"/>
      <c r="UTT4" s="3407"/>
      <c r="UTU4" s="3407"/>
      <c r="UTV4" s="3407"/>
      <c r="UTW4" s="3407"/>
      <c r="UTX4" s="3407"/>
      <c r="UTY4" s="3407"/>
      <c r="UTZ4" s="3407"/>
      <c r="UUA4" s="3407"/>
      <c r="UUB4" s="3407"/>
      <c r="UUC4" s="3407"/>
      <c r="UUD4" s="3407"/>
      <c r="UUE4" s="3407"/>
      <c r="UUF4" s="3407"/>
      <c r="UUG4" s="3407"/>
      <c r="UUH4" s="3407"/>
      <c r="UUI4" s="3407"/>
      <c r="UUJ4" s="3407"/>
      <c r="UUK4" s="3407"/>
      <c r="UUL4" s="3407"/>
      <c r="UUM4" s="3407"/>
      <c r="UUN4" s="3407"/>
      <c r="UUO4" s="3407"/>
      <c r="UUP4" s="3407"/>
      <c r="UUQ4" s="3407"/>
      <c r="UUR4" s="3407"/>
      <c r="UUS4" s="3407"/>
      <c r="UUT4" s="3407"/>
      <c r="UUU4" s="3407"/>
      <c r="UUV4" s="3407"/>
      <c r="UUW4" s="3407"/>
      <c r="UUX4" s="3407"/>
      <c r="UUY4" s="3407"/>
      <c r="UUZ4" s="3407"/>
      <c r="UVA4" s="3407"/>
      <c r="UVB4" s="3407"/>
      <c r="UVC4" s="3407"/>
      <c r="UVD4" s="3407"/>
      <c r="UVE4" s="3407"/>
      <c r="UVF4" s="3407"/>
      <c r="UVG4" s="3407"/>
      <c r="UVH4" s="3407"/>
      <c r="UVI4" s="3407"/>
      <c r="UVJ4" s="3407"/>
      <c r="UVK4" s="3407"/>
      <c r="UVL4" s="3407"/>
      <c r="UVM4" s="3407"/>
      <c r="UVN4" s="3407"/>
      <c r="UVO4" s="3407"/>
      <c r="UVP4" s="3407"/>
      <c r="UVQ4" s="3407"/>
      <c r="UVR4" s="3407"/>
      <c r="UVS4" s="3407"/>
      <c r="UVT4" s="3407"/>
      <c r="UVU4" s="3407"/>
      <c r="UVV4" s="3407"/>
      <c r="UVW4" s="3407"/>
      <c r="UVX4" s="3407"/>
      <c r="UVY4" s="3407"/>
      <c r="UVZ4" s="3407"/>
      <c r="UWA4" s="3407"/>
      <c r="UWB4" s="3407"/>
      <c r="UWC4" s="3407"/>
      <c r="UWD4" s="3407"/>
      <c r="UWE4" s="3407"/>
      <c r="UWF4" s="3407"/>
      <c r="UWG4" s="3407"/>
      <c r="UWH4" s="3407"/>
      <c r="UWI4" s="3407"/>
      <c r="UWJ4" s="3407"/>
      <c r="UWK4" s="3407"/>
      <c r="UWL4" s="3407"/>
      <c r="UWM4" s="3407"/>
      <c r="UWN4" s="3407"/>
      <c r="UWO4" s="3407"/>
      <c r="UWP4" s="3407"/>
      <c r="UWQ4" s="3407"/>
      <c r="UWR4" s="3407"/>
      <c r="UWS4" s="3407"/>
      <c r="UWT4" s="3407"/>
      <c r="UWU4" s="3407"/>
      <c r="UWV4" s="3407"/>
      <c r="UWW4" s="3407"/>
      <c r="UWX4" s="3407"/>
      <c r="UWY4" s="3407"/>
      <c r="UWZ4" s="3407"/>
      <c r="UXA4" s="3407"/>
      <c r="UXB4" s="3407"/>
      <c r="UXC4" s="3407"/>
      <c r="UXD4" s="3407"/>
      <c r="UXE4" s="3407"/>
      <c r="UXF4" s="3407"/>
      <c r="UXG4" s="3407"/>
      <c r="UXH4" s="3407"/>
      <c r="UXI4" s="3407"/>
      <c r="UXJ4" s="3407"/>
      <c r="UXK4" s="3407"/>
      <c r="UXL4" s="3407"/>
      <c r="UXM4" s="3407"/>
      <c r="UXN4" s="3407"/>
      <c r="UXO4" s="3407"/>
      <c r="UXP4" s="3407"/>
      <c r="UXQ4" s="3407"/>
      <c r="UXR4" s="3407"/>
      <c r="UXS4" s="3407"/>
      <c r="UXT4" s="3407"/>
      <c r="UXU4" s="3407"/>
      <c r="UXV4" s="3407"/>
      <c r="UXW4" s="3407"/>
      <c r="UXX4" s="3407"/>
      <c r="UXY4" s="3407"/>
      <c r="UXZ4" s="3407"/>
      <c r="UYA4" s="3407"/>
      <c r="UYB4" s="3407"/>
      <c r="UYC4" s="3407"/>
      <c r="UYD4" s="3407"/>
      <c r="UYE4" s="3407"/>
      <c r="UYF4" s="3407"/>
      <c r="UYG4" s="3407"/>
      <c r="UYH4" s="3407"/>
      <c r="UYI4" s="3407"/>
      <c r="UYJ4" s="3407"/>
      <c r="UYK4" s="3407"/>
      <c r="UYL4" s="3407"/>
      <c r="UYM4" s="3407"/>
      <c r="UYN4" s="3407"/>
      <c r="UYO4" s="3407"/>
      <c r="UYP4" s="3407"/>
      <c r="UYQ4" s="3407"/>
      <c r="UYR4" s="3407"/>
      <c r="UYS4" s="3407"/>
      <c r="UYT4" s="3407"/>
      <c r="UYU4" s="3407"/>
      <c r="UYV4" s="3407"/>
      <c r="UYW4" s="3407"/>
      <c r="UYX4" s="3407"/>
      <c r="UYY4" s="3407"/>
      <c r="UYZ4" s="3407"/>
      <c r="UZA4" s="3407"/>
      <c r="UZB4" s="3407"/>
      <c r="UZC4" s="3407"/>
      <c r="UZD4" s="3407"/>
      <c r="UZE4" s="3407"/>
      <c r="UZF4" s="3407"/>
      <c r="UZG4" s="3407"/>
      <c r="UZH4" s="3407"/>
      <c r="UZI4" s="3407"/>
      <c r="UZJ4" s="3407"/>
      <c r="UZK4" s="3407"/>
      <c r="UZL4" s="3407"/>
      <c r="UZM4" s="3407"/>
      <c r="UZN4" s="3407"/>
      <c r="UZO4" s="3407"/>
      <c r="UZP4" s="3407"/>
      <c r="UZQ4" s="3407"/>
      <c r="UZR4" s="3407"/>
      <c r="UZS4" s="3407"/>
      <c r="UZT4" s="3407"/>
      <c r="UZU4" s="3407"/>
      <c r="UZV4" s="3407"/>
      <c r="UZW4" s="3407"/>
      <c r="UZX4" s="3407"/>
      <c r="UZY4" s="3407"/>
      <c r="UZZ4" s="3407"/>
      <c r="VAA4" s="3407"/>
      <c r="VAB4" s="3407"/>
      <c r="VAC4" s="3407"/>
      <c r="VAD4" s="3407"/>
      <c r="VAE4" s="3407"/>
      <c r="VAF4" s="3407"/>
      <c r="VAG4" s="3407"/>
      <c r="VAH4" s="3407"/>
      <c r="VAI4" s="3407"/>
      <c r="VAJ4" s="3407"/>
      <c r="VAK4" s="3407"/>
      <c r="VAL4" s="3407"/>
      <c r="VAM4" s="3407"/>
      <c r="VAN4" s="3407"/>
      <c r="VAO4" s="3407"/>
      <c r="VAP4" s="3407"/>
      <c r="VAQ4" s="3407"/>
      <c r="VAR4" s="3407"/>
      <c r="VAS4" s="3407"/>
      <c r="VAT4" s="3407"/>
      <c r="VAU4" s="3407"/>
      <c r="VAV4" s="3407"/>
      <c r="VAW4" s="3407"/>
      <c r="VAX4" s="3407"/>
      <c r="VAY4" s="3407"/>
      <c r="VAZ4" s="3407"/>
      <c r="VBA4" s="3407"/>
      <c r="VBB4" s="3407"/>
      <c r="VBC4" s="3407"/>
      <c r="VBD4" s="3407"/>
      <c r="VBE4" s="3407"/>
      <c r="VBF4" s="3407"/>
      <c r="VBG4" s="3407"/>
      <c r="VBH4" s="3407"/>
      <c r="VBI4" s="3407"/>
      <c r="VBJ4" s="3407"/>
      <c r="VBK4" s="3407"/>
      <c r="VBL4" s="3407"/>
      <c r="VBM4" s="3407"/>
      <c r="VBN4" s="3407"/>
      <c r="VBO4" s="3407"/>
      <c r="VBP4" s="3407"/>
      <c r="VBQ4" s="3407"/>
      <c r="VBR4" s="3407"/>
      <c r="VBS4" s="3407"/>
      <c r="VBT4" s="3407"/>
      <c r="VBU4" s="3407"/>
      <c r="VBV4" s="3407"/>
      <c r="VBW4" s="3407"/>
      <c r="VBX4" s="3407"/>
      <c r="VBY4" s="3407"/>
      <c r="VBZ4" s="3407"/>
      <c r="VCA4" s="3407"/>
      <c r="VCB4" s="3407"/>
      <c r="VCC4" s="3407"/>
      <c r="VCD4" s="3407"/>
      <c r="VCE4" s="3407"/>
      <c r="VCF4" s="3407"/>
      <c r="VCG4" s="3407"/>
      <c r="VCH4" s="3407"/>
      <c r="VCI4" s="3407"/>
      <c r="VCJ4" s="3407"/>
      <c r="VCK4" s="3407"/>
      <c r="VCL4" s="3407"/>
      <c r="VCM4" s="3407"/>
      <c r="VCN4" s="3407"/>
      <c r="VCO4" s="3407"/>
      <c r="VCP4" s="3407"/>
      <c r="VCQ4" s="3407"/>
      <c r="VCR4" s="3407"/>
      <c r="VCS4" s="3407"/>
      <c r="VCT4" s="3407"/>
      <c r="VCU4" s="3407"/>
      <c r="VCV4" s="3407"/>
      <c r="VCW4" s="3407"/>
      <c r="VCX4" s="3407"/>
      <c r="VCY4" s="3407"/>
      <c r="VCZ4" s="3407"/>
      <c r="VDA4" s="3407"/>
      <c r="VDB4" s="3407"/>
      <c r="VDC4" s="3407"/>
      <c r="VDD4" s="3407"/>
      <c r="VDE4" s="3407"/>
      <c r="VDF4" s="3407"/>
      <c r="VDG4" s="3407"/>
      <c r="VDH4" s="3407"/>
      <c r="VDI4" s="3407"/>
      <c r="VDJ4" s="3407"/>
      <c r="VDK4" s="3407"/>
      <c r="VDL4" s="3407"/>
      <c r="VDM4" s="3407"/>
      <c r="VDN4" s="3407"/>
      <c r="VDO4" s="3407"/>
      <c r="VDP4" s="3407"/>
      <c r="VDQ4" s="3407"/>
      <c r="VDR4" s="3407"/>
      <c r="VDS4" s="3407"/>
      <c r="VDT4" s="3407"/>
      <c r="VDU4" s="3407"/>
      <c r="VDV4" s="3407"/>
      <c r="VDW4" s="3407"/>
      <c r="VDX4" s="3407"/>
      <c r="VDY4" s="3407"/>
      <c r="VDZ4" s="3407"/>
      <c r="VEA4" s="3407"/>
      <c r="VEB4" s="3407"/>
      <c r="VEC4" s="3407"/>
      <c r="VED4" s="3407"/>
      <c r="VEE4" s="3407"/>
      <c r="VEF4" s="3407"/>
      <c r="VEG4" s="3407"/>
      <c r="VEH4" s="3407"/>
      <c r="VEI4" s="3407"/>
      <c r="VEJ4" s="3407"/>
      <c r="VEK4" s="3407"/>
      <c r="VEL4" s="3407"/>
      <c r="VEM4" s="3407"/>
      <c r="VEN4" s="3407"/>
      <c r="VEO4" s="3407"/>
      <c r="VEP4" s="3407"/>
      <c r="VEQ4" s="3407"/>
      <c r="VER4" s="3407"/>
      <c r="VES4" s="3407"/>
      <c r="VET4" s="3407"/>
      <c r="VEU4" s="3407"/>
      <c r="VEV4" s="3407"/>
      <c r="VEW4" s="3407"/>
      <c r="VEX4" s="3407"/>
      <c r="VEY4" s="3407"/>
      <c r="VEZ4" s="3407"/>
      <c r="VFA4" s="3407"/>
      <c r="VFB4" s="3407"/>
      <c r="VFC4" s="3407"/>
      <c r="VFD4" s="3407"/>
      <c r="VFE4" s="3407"/>
      <c r="VFF4" s="3407"/>
      <c r="VFG4" s="3407"/>
      <c r="VFH4" s="3407"/>
      <c r="VFI4" s="3407"/>
      <c r="VFJ4" s="3407"/>
      <c r="VFK4" s="3407"/>
      <c r="VFL4" s="3407"/>
      <c r="VFM4" s="3407"/>
      <c r="VFN4" s="3407"/>
      <c r="VFO4" s="3407"/>
      <c r="VFP4" s="3407"/>
      <c r="VFQ4" s="3407"/>
      <c r="VFR4" s="3407"/>
      <c r="VFS4" s="3407"/>
      <c r="VFT4" s="3407"/>
      <c r="VFU4" s="3407"/>
      <c r="VFV4" s="3407"/>
      <c r="VFW4" s="3407"/>
      <c r="VFX4" s="3407"/>
      <c r="VFY4" s="3407"/>
      <c r="VFZ4" s="3407"/>
      <c r="VGA4" s="3407"/>
      <c r="VGB4" s="3407"/>
      <c r="VGC4" s="3407"/>
      <c r="VGD4" s="3407"/>
      <c r="VGE4" s="3407"/>
      <c r="VGF4" s="3407"/>
      <c r="VGG4" s="3407"/>
      <c r="VGH4" s="3407"/>
      <c r="VGI4" s="3407"/>
      <c r="VGJ4" s="3407"/>
      <c r="VGK4" s="3407"/>
      <c r="VGL4" s="3407"/>
      <c r="VGM4" s="3407"/>
      <c r="VGN4" s="3407"/>
      <c r="VGO4" s="3407"/>
      <c r="VGP4" s="3407"/>
      <c r="VGQ4" s="3407"/>
      <c r="VGR4" s="3407"/>
      <c r="VGS4" s="3407"/>
      <c r="VGT4" s="3407"/>
      <c r="VGU4" s="3407"/>
      <c r="VGV4" s="3407"/>
      <c r="VGW4" s="3407"/>
      <c r="VGX4" s="3407"/>
      <c r="VGY4" s="3407"/>
      <c r="VGZ4" s="3407"/>
      <c r="VHA4" s="3407"/>
      <c r="VHB4" s="3407"/>
      <c r="VHC4" s="3407"/>
      <c r="VHD4" s="3407"/>
      <c r="VHE4" s="3407"/>
      <c r="VHF4" s="3407"/>
      <c r="VHG4" s="3407"/>
      <c r="VHH4" s="3407"/>
      <c r="VHI4" s="3407"/>
      <c r="VHJ4" s="3407"/>
      <c r="VHK4" s="3407"/>
      <c r="VHL4" s="3407"/>
      <c r="VHM4" s="3407"/>
      <c r="VHN4" s="3407"/>
      <c r="VHO4" s="3407"/>
      <c r="VHP4" s="3407"/>
      <c r="VHQ4" s="3407"/>
      <c r="VHR4" s="3407"/>
      <c r="VHS4" s="3407"/>
      <c r="VHT4" s="3407"/>
      <c r="VHU4" s="3407"/>
      <c r="VHV4" s="3407"/>
      <c r="VHW4" s="3407"/>
      <c r="VHX4" s="3407"/>
      <c r="VHY4" s="3407"/>
      <c r="VHZ4" s="3407"/>
      <c r="VIA4" s="3407"/>
      <c r="VIB4" s="3407"/>
      <c r="VIC4" s="3407"/>
      <c r="VID4" s="3407"/>
      <c r="VIE4" s="3407"/>
      <c r="VIF4" s="3407"/>
      <c r="VIG4" s="3407"/>
      <c r="VIH4" s="3407"/>
      <c r="VII4" s="3407"/>
      <c r="VIJ4" s="3407"/>
      <c r="VIK4" s="3407"/>
      <c r="VIL4" s="3407"/>
      <c r="VIM4" s="3407"/>
      <c r="VIN4" s="3407"/>
      <c r="VIO4" s="3407"/>
      <c r="VIP4" s="3407"/>
      <c r="VIQ4" s="3407"/>
      <c r="VIR4" s="3407"/>
      <c r="VIS4" s="3407"/>
      <c r="VIT4" s="3407"/>
      <c r="VIU4" s="3407"/>
      <c r="VIV4" s="3407"/>
      <c r="VIW4" s="3407"/>
      <c r="VIX4" s="3407"/>
      <c r="VIY4" s="3407"/>
      <c r="VIZ4" s="3407"/>
      <c r="VJA4" s="3407"/>
      <c r="VJB4" s="3407"/>
      <c r="VJC4" s="3407"/>
      <c r="VJD4" s="3407"/>
      <c r="VJE4" s="3407"/>
      <c r="VJF4" s="3407"/>
      <c r="VJG4" s="3407"/>
      <c r="VJH4" s="3407"/>
      <c r="VJI4" s="3407"/>
      <c r="VJJ4" s="3407"/>
      <c r="VJK4" s="3407"/>
      <c r="VJL4" s="3407"/>
      <c r="VJM4" s="3407"/>
      <c r="VJN4" s="3407"/>
      <c r="VJO4" s="3407"/>
      <c r="VJP4" s="3407"/>
      <c r="VJQ4" s="3407"/>
      <c r="VJR4" s="3407"/>
      <c r="VJS4" s="3407"/>
      <c r="VJT4" s="3407"/>
      <c r="VJU4" s="3407"/>
      <c r="VJV4" s="3407"/>
      <c r="VJW4" s="3407"/>
      <c r="VJX4" s="3407"/>
      <c r="VJY4" s="3407"/>
      <c r="VJZ4" s="3407"/>
      <c r="VKA4" s="3407"/>
      <c r="VKB4" s="3407"/>
      <c r="VKC4" s="3407"/>
      <c r="VKD4" s="3407"/>
      <c r="VKE4" s="3407"/>
      <c r="VKF4" s="3407"/>
      <c r="VKG4" s="3407"/>
      <c r="VKH4" s="3407"/>
      <c r="VKI4" s="3407"/>
      <c r="VKJ4" s="3407"/>
      <c r="VKK4" s="3407"/>
      <c r="VKL4" s="3407"/>
      <c r="VKM4" s="3407"/>
      <c r="VKN4" s="3407"/>
      <c r="VKO4" s="3407"/>
      <c r="VKP4" s="3407"/>
      <c r="VKQ4" s="3407"/>
      <c r="VKR4" s="3407"/>
      <c r="VKS4" s="3407"/>
      <c r="VKT4" s="3407"/>
      <c r="VKU4" s="3407"/>
      <c r="VKV4" s="3407"/>
      <c r="VKW4" s="3407"/>
      <c r="VKX4" s="3407"/>
      <c r="VKY4" s="3407"/>
      <c r="VKZ4" s="3407"/>
      <c r="VLA4" s="3407"/>
      <c r="VLB4" s="3407"/>
      <c r="VLC4" s="3407"/>
      <c r="VLD4" s="3407"/>
      <c r="VLE4" s="3407"/>
      <c r="VLF4" s="3407"/>
      <c r="VLG4" s="3407"/>
      <c r="VLH4" s="3407"/>
      <c r="VLI4" s="3407"/>
      <c r="VLJ4" s="3407"/>
      <c r="VLK4" s="3407"/>
      <c r="VLL4" s="3407"/>
      <c r="VLM4" s="3407"/>
      <c r="VLN4" s="3407"/>
      <c r="VLO4" s="3407"/>
      <c r="VLP4" s="3407"/>
      <c r="VLQ4" s="3407"/>
      <c r="VLR4" s="3407"/>
      <c r="VLS4" s="3407"/>
      <c r="VLT4" s="3407"/>
      <c r="VLU4" s="3407"/>
      <c r="VLV4" s="3407"/>
      <c r="VLW4" s="3407"/>
      <c r="VLX4" s="3407"/>
      <c r="VLY4" s="3407"/>
      <c r="VLZ4" s="3407"/>
      <c r="VMA4" s="3407"/>
      <c r="VMB4" s="3407"/>
      <c r="VMC4" s="3407"/>
      <c r="VMD4" s="3407"/>
      <c r="VME4" s="3407"/>
      <c r="VMF4" s="3407"/>
      <c r="VMG4" s="3407"/>
      <c r="VMH4" s="3407"/>
      <c r="VMI4" s="3407"/>
      <c r="VMJ4" s="3407"/>
      <c r="VMK4" s="3407"/>
      <c r="VML4" s="3407"/>
      <c r="VMM4" s="3407"/>
      <c r="VMN4" s="3407"/>
      <c r="VMO4" s="3407"/>
      <c r="VMP4" s="3407"/>
      <c r="VMQ4" s="3407"/>
      <c r="VMR4" s="3407"/>
      <c r="VMS4" s="3407"/>
      <c r="VMT4" s="3407"/>
      <c r="VMU4" s="3407"/>
      <c r="VMV4" s="3407"/>
      <c r="VMW4" s="3407"/>
      <c r="VMX4" s="3407"/>
      <c r="VMY4" s="3407"/>
      <c r="VMZ4" s="3407"/>
      <c r="VNA4" s="3407"/>
      <c r="VNB4" s="3407"/>
      <c r="VNC4" s="3407"/>
      <c r="VND4" s="3407"/>
      <c r="VNE4" s="3407"/>
      <c r="VNF4" s="3407"/>
      <c r="VNG4" s="3407"/>
      <c r="VNH4" s="3407"/>
      <c r="VNI4" s="3407"/>
      <c r="VNJ4" s="3407"/>
      <c r="VNK4" s="3407"/>
      <c r="VNL4" s="3407"/>
      <c r="VNM4" s="3407"/>
      <c r="VNN4" s="3407"/>
      <c r="VNO4" s="3407"/>
      <c r="VNP4" s="3407"/>
      <c r="VNQ4" s="3407"/>
      <c r="VNR4" s="3407"/>
      <c r="VNS4" s="3407"/>
      <c r="VNT4" s="3407"/>
      <c r="VNU4" s="3407"/>
      <c r="VNV4" s="3407"/>
      <c r="VNW4" s="3407"/>
      <c r="VNX4" s="3407"/>
      <c r="VNY4" s="3407"/>
      <c r="VNZ4" s="3407"/>
      <c r="VOA4" s="3407"/>
      <c r="VOB4" s="3407"/>
      <c r="VOC4" s="3407"/>
      <c r="VOD4" s="3407"/>
      <c r="VOE4" s="3407"/>
      <c r="VOF4" s="3407"/>
      <c r="VOG4" s="3407"/>
      <c r="VOH4" s="3407"/>
      <c r="VOI4" s="3407"/>
      <c r="VOJ4" s="3407"/>
      <c r="VOK4" s="3407"/>
      <c r="VOL4" s="3407"/>
      <c r="VOM4" s="3407"/>
      <c r="VON4" s="3407"/>
      <c r="VOO4" s="3407"/>
      <c r="VOP4" s="3407"/>
      <c r="VOQ4" s="3407"/>
      <c r="VOR4" s="3407"/>
      <c r="VOS4" s="3407"/>
      <c r="VOT4" s="3407"/>
      <c r="VOU4" s="3407"/>
      <c r="VOV4" s="3407"/>
      <c r="VOW4" s="3407"/>
      <c r="VOX4" s="3407"/>
      <c r="VOY4" s="3407"/>
      <c r="VOZ4" s="3407"/>
      <c r="VPA4" s="3407"/>
      <c r="VPB4" s="3407"/>
      <c r="VPC4" s="3407"/>
      <c r="VPD4" s="3407"/>
      <c r="VPE4" s="3407"/>
      <c r="VPF4" s="3407"/>
      <c r="VPG4" s="3407"/>
      <c r="VPH4" s="3407"/>
      <c r="VPI4" s="3407"/>
      <c r="VPJ4" s="3407"/>
      <c r="VPK4" s="3407"/>
      <c r="VPL4" s="3407"/>
      <c r="VPM4" s="3407"/>
      <c r="VPN4" s="3407"/>
      <c r="VPO4" s="3407"/>
      <c r="VPP4" s="3407"/>
      <c r="VPQ4" s="3407"/>
      <c r="VPR4" s="3407"/>
      <c r="VPS4" s="3407"/>
      <c r="VPT4" s="3407"/>
      <c r="VPU4" s="3407"/>
      <c r="VPV4" s="3407"/>
      <c r="VPW4" s="3407"/>
      <c r="VPX4" s="3407"/>
      <c r="VPY4" s="3407"/>
      <c r="VPZ4" s="3407"/>
      <c r="VQA4" s="3407"/>
      <c r="VQB4" s="3407"/>
      <c r="VQC4" s="3407"/>
      <c r="VQD4" s="3407"/>
      <c r="VQE4" s="3407"/>
      <c r="VQF4" s="3407"/>
      <c r="VQG4" s="3407"/>
      <c r="VQH4" s="3407"/>
      <c r="VQI4" s="3407"/>
      <c r="VQJ4" s="3407"/>
      <c r="VQK4" s="3407"/>
      <c r="VQL4" s="3407"/>
      <c r="VQM4" s="3407"/>
      <c r="VQN4" s="3407"/>
      <c r="VQO4" s="3407"/>
      <c r="VQP4" s="3407"/>
      <c r="VQQ4" s="3407"/>
      <c r="VQR4" s="3407"/>
      <c r="VQS4" s="3407"/>
      <c r="VQT4" s="3407"/>
      <c r="VQU4" s="3407"/>
      <c r="VQV4" s="3407"/>
      <c r="VQW4" s="3407"/>
      <c r="VQX4" s="3407"/>
      <c r="VQY4" s="3407"/>
      <c r="VQZ4" s="3407"/>
      <c r="VRA4" s="3407"/>
      <c r="VRB4" s="3407"/>
      <c r="VRC4" s="3407"/>
      <c r="VRD4" s="3407"/>
      <c r="VRE4" s="3407"/>
      <c r="VRF4" s="3407"/>
      <c r="VRG4" s="3407"/>
      <c r="VRH4" s="3407"/>
      <c r="VRI4" s="3407"/>
      <c r="VRJ4" s="3407"/>
      <c r="VRK4" s="3407"/>
      <c r="VRL4" s="3407"/>
      <c r="VRM4" s="3407"/>
      <c r="VRN4" s="3407"/>
      <c r="VRO4" s="3407"/>
      <c r="VRP4" s="3407"/>
      <c r="VRQ4" s="3407"/>
      <c r="VRR4" s="3407"/>
      <c r="VRS4" s="3407"/>
      <c r="VRT4" s="3407"/>
      <c r="VRU4" s="3407"/>
      <c r="VRV4" s="3407"/>
      <c r="VRW4" s="3407"/>
      <c r="VRX4" s="3407"/>
      <c r="VRY4" s="3407"/>
      <c r="VRZ4" s="3407"/>
      <c r="VSA4" s="3407"/>
      <c r="VSB4" s="3407"/>
      <c r="VSC4" s="3407"/>
      <c r="VSD4" s="3407"/>
      <c r="VSE4" s="3407"/>
      <c r="VSF4" s="3407"/>
      <c r="VSG4" s="3407"/>
      <c r="VSH4" s="3407"/>
      <c r="VSI4" s="3407"/>
      <c r="VSJ4" s="3407"/>
      <c r="VSK4" s="3407"/>
      <c r="VSL4" s="3407"/>
      <c r="VSM4" s="3407"/>
      <c r="VSN4" s="3407"/>
      <c r="VSO4" s="3407"/>
      <c r="VSP4" s="3407"/>
      <c r="VSQ4" s="3407"/>
      <c r="VSR4" s="3407"/>
      <c r="VSS4" s="3407"/>
      <c r="VST4" s="3407"/>
      <c r="VSU4" s="3407"/>
      <c r="VSV4" s="3407"/>
      <c r="VSW4" s="3407"/>
      <c r="VSX4" s="3407"/>
      <c r="VSY4" s="3407"/>
      <c r="VSZ4" s="3407"/>
      <c r="VTA4" s="3407"/>
      <c r="VTB4" s="3407"/>
      <c r="VTC4" s="3407"/>
      <c r="VTD4" s="3407"/>
      <c r="VTE4" s="3407"/>
      <c r="VTF4" s="3407"/>
      <c r="VTG4" s="3407"/>
      <c r="VTH4" s="3407"/>
      <c r="VTI4" s="3407"/>
      <c r="VTJ4" s="3407"/>
      <c r="VTK4" s="3407"/>
      <c r="VTL4" s="3407"/>
      <c r="VTM4" s="3407"/>
      <c r="VTN4" s="3407"/>
      <c r="VTO4" s="3407"/>
      <c r="VTP4" s="3407"/>
      <c r="VTQ4" s="3407"/>
      <c r="VTR4" s="3407"/>
      <c r="VTS4" s="3407"/>
      <c r="VTT4" s="3407"/>
      <c r="VTU4" s="3407"/>
      <c r="VTV4" s="3407"/>
      <c r="VTW4" s="3407"/>
      <c r="VTX4" s="3407"/>
      <c r="VTY4" s="3407"/>
      <c r="VTZ4" s="3407"/>
      <c r="VUA4" s="3407"/>
      <c r="VUB4" s="3407"/>
      <c r="VUC4" s="3407"/>
      <c r="VUD4" s="3407"/>
      <c r="VUE4" s="3407"/>
      <c r="VUF4" s="3407"/>
      <c r="VUG4" s="3407"/>
      <c r="VUH4" s="3407"/>
      <c r="VUI4" s="3407"/>
      <c r="VUJ4" s="3407"/>
      <c r="VUK4" s="3407"/>
      <c r="VUL4" s="3407"/>
      <c r="VUM4" s="3407"/>
      <c r="VUN4" s="3407"/>
      <c r="VUO4" s="3407"/>
      <c r="VUP4" s="3407"/>
      <c r="VUQ4" s="3407"/>
      <c r="VUR4" s="3407"/>
      <c r="VUS4" s="3407"/>
      <c r="VUT4" s="3407"/>
      <c r="VUU4" s="3407"/>
      <c r="VUV4" s="3407"/>
      <c r="VUW4" s="3407"/>
      <c r="VUX4" s="3407"/>
      <c r="VUY4" s="3407"/>
      <c r="VUZ4" s="3407"/>
      <c r="VVA4" s="3407"/>
      <c r="VVB4" s="3407"/>
      <c r="VVC4" s="3407"/>
      <c r="VVD4" s="3407"/>
      <c r="VVE4" s="3407"/>
      <c r="VVF4" s="3407"/>
      <c r="VVG4" s="3407"/>
      <c r="VVH4" s="3407"/>
      <c r="VVI4" s="3407"/>
      <c r="VVJ4" s="3407"/>
      <c r="VVK4" s="3407"/>
      <c r="VVL4" s="3407"/>
      <c r="VVM4" s="3407"/>
      <c r="VVN4" s="3407"/>
      <c r="VVO4" s="3407"/>
      <c r="VVP4" s="3407"/>
      <c r="VVQ4" s="3407"/>
      <c r="VVR4" s="3407"/>
      <c r="VVS4" s="3407"/>
      <c r="VVT4" s="3407"/>
      <c r="VVU4" s="3407"/>
      <c r="VVV4" s="3407"/>
      <c r="VVW4" s="3407"/>
      <c r="VVX4" s="3407"/>
      <c r="VVY4" s="3407"/>
      <c r="VVZ4" s="3407"/>
      <c r="VWA4" s="3407"/>
      <c r="VWB4" s="3407"/>
      <c r="VWC4" s="3407"/>
      <c r="VWD4" s="3407"/>
      <c r="VWE4" s="3407"/>
      <c r="VWF4" s="3407"/>
      <c r="VWG4" s="3407"/>
      <c r="VWH4" s="3407"/>
      <c r="VWI4" s="3407"/>
      <c r="VWJ4" s="3407"/>
      <c r="VWK4" s="3407"/>
      <c r="VWL4" s="3407"/>
      <c r="VWM4" s="3407"/>
      <c r="VWN4" s="3407"/>
      <c r="VWO4" s="3407"/>
      <c r="VWP4" s="3407"/>
      <c r="VWQ4" s="3407"/>
      <c r="VWR4" s="3407"/>
      <c r="VWS4" s="3407"/>
      <c r="VWT4" s="3407"/>
      <c r="VWU4" s="3407"/>
      <c r="VWV4" s="3407"/>
      <c r="VWW4" s="3407"/>
      <c r="VWX4" s="3407"/>
      <c r="VWY4" s="3407"/>
      <c r="VWZ4" s="3407"/>
      <c r="VXA4" s="3407"/>
      <c r="VXB4" s="3407"/>
      <c r="VXC4" s="3407"/>
      <c r="VXD4" s="3407"/>
      <c r="VXE4" s="3407"/>
      <c r="VXF4" s="3407"/>
      <c r="VXG4" s="3407"/>
      <c r="VXH4" s="3407"/>
      <c r="VXI4" s="3407"/>
      <c r="VXJ4" s="3407"/>
      <c r="VXK4" s="3407"/>
      <c r="VXL4" s="3407"/>
      <c r="VXM4" s="3407"/>
      <c r="VXN4" s="3407"/>
      <c r="VXO4" s="3407"/>
      <c r="VXP4" s="3407"/>
      <c r="VXQ4" s="3407"/>
      <c r="VXR4" s="3407"/>
      <c r="VXS4" s="3407"/>
      <c r="VXT4" s="3407"/>
      <c r="VXU4" s="3407"/>
      <c r="VXV4" s="3407"/>
      <c r="VXW4" s="3407"/>
      <c r="VXX4" s="3407"/>
      <c r="VXY4" s="3407"/>
      <c r="VXZ4" s="3407"/>
      <c r="VYA4" s="3407"/>
      <c r="VYB4" s="3407"/>
      <c r="VYC4" s="3407"/>
      <c r="VYD4" s="3407"/>
      <c r="VYE4" s="3407"/>
      <c r="VYF4" s="3407"/>
      <c r="VYG4" s="3407"/>
      <c r="VYH4" s="3407"/>
      <c r="VYI4" s="3407"/>
      <c r="VYJ4" s="3407"/>
      <c r="VYK4" s="3407"/>
      <c r="VYL4" s="3407"/>
      <c r="VYM4" s="3407"/>
      <c r="VYN4" s="3407"/>
      <c r="VYO4" s="3407"/>
      <c r="VYP4" s="3407"/>
      <c r="VYQ4" s="3407"/>
      <c r="VYR4" s="3407"/>
      <c r="VYS4" s="3407"/>
      <c r="VYT4" s="3407"/>
      <c r="VYU4" s="3407"/>
      <c r="VYV4" s="3407"/>
      <c r="VYW4" s="3407"/>
      <c r="VYX4" s="3407"/>
      <c r="VYY4" s="3407"/>
      <c r="VYZ4" s="3407"/>
      <c r="VZA4" s="3407"/>
      <c r="VZB4" s="3407"/>
      <c r="VZC4" s="3407"/>
      <c r="VZD4" s="3407"/>
      <c r="VZE4" s="3407"/>
      <c r="VZF4" s="3407"/>
      <c r="VZG4" s="3407"/>
      <c r="VZH4" s="3407"/>
      <c r="VZI4" s="3407"/>
      <c r="VZJ4" s="3407"/>
      <c r="VZK4" s="3407"/>
      <c r="VZL4" s="3407"/>
      <c r="VZM4" s="3407"/>
      <c r="VZN4" s="3407"/>
      <c r="VZO4" s="3407"/>
      <c r="VZP4" s="3407"/>
      <c r="VZQ4" s="3407"/>
      <c r="VZR4" s="3407"/>
      <c r="VZS4" s="3407"/>
      <c r="VZT4" s="3407"/>
      <c r="VZU4" s="3407"/>
      <c r="VZV4" s="3407"/>
      <c r="VZW4" s="3407"/>
      <c r="VZX4" s="3407"/>
      <c r="VZY4" s="3407"/>
      <c r="VZZ4" s="3407"/>
      <c r="WAA4" s="3407"/>
      <c r="WAB4" s="3407"/>
      <c r="WAC4" s="3407"/>
      <c r="WAD4" s="3407"/>
      <c r="WAE4" s="3407"/>
      <c r="WAF4" s="3407"/>
      <c r="WAG4" s="3407"/>
      <c r="WAH4" s="3407"/>
      <c r="WAI4" s="3407"/>
      <c r="WAJ4" s="3407"/>
      <c r="WAK4" s="3407"/>
      <c r="WAL4" s="3407"/>
      <c r="WAM4" s="3407"/>
      <c r="WAN4" s="3407"/>
      <c r="WAO4" s="3407"/>
      <c r="WAP4" s="3407"/>
      <c r="WAQ4" s="3407"/>
      <c r="WAR4" s="3407"/>
      <c r="WAS4" s="3407"/>
      <c r="WAT4" s="3407"/>
      <c r="WAU4" s="3407"/>
      <c r="WAV4" s="3407"/>
      <c r="WAW4" s="3407"/>
      <c r="WAX4" s="3407"/>
      <c r="WAY4" s="3407"/>
      <c r="WAZ4" s="3407"/>
      <c r="WBA4" s="3407"/>
      <c r="WBB4" s="3407"/>
      <c r="WBC4" s="3407"/>
      <c r="WBD4" s="3407"/>
      <c r="WBE4" s="3407"/>
      <c r="WBF4" s="3407"/>
      <c r="WBG4" s="3407"/>
      <c r="WBH4" s="3407"/>
      <c r="WBI4" s="3407"/>
      <c r="WBJ4" s="3407"/>
      <c r="WBK4" s="3407"/>
      <c r="WBL4" s="3407"/>
      <c r="WBM4" s="3407"/>
      <c r="WBN4" s="3407"/>
      <c r="WBO4" s="3407"/>
      <c r="WBP4" s="3407"/>
      <c r="WBQ4" s="3407"/>
      <c r="WBR4" s="3407"/>
      <c r="WBS4" s="3407"/>
      <c r="WBT4" s="3407"/>
      <c r="WBU4" s="3407"/>
      <c r="WBV4" s="3407"/>
      <c r="WBW4" s="3407"/>
      <c r="WBX4" s="3407"/>
      <c r="WBY4" s="3407"/>
      <c r="WBZ4" s="3407"/>
      <c r="WCA4" s="3407"/>
      <c r="WCB4" s="3407"/>
      <c r="WCC4" s="3407"/>
      <c r="WCD4" s="3407"/>
      <c r="WCE4" s="3407"/>
      <c r="WCF4" s="3407"/>
      <c r="WCG4" s="3407"/>
      <c r="WCH4" s="3407"/>
      <c r="WCI4" s="3407"/>
      <c r="WCJ4" s="3407"/>
      <c r="WCK4" s="3407"/>
      <c r="WCL4" s="3407"/>
      <c r="WCM4" s="3407"/>
      <c r="WCN4" s="3407"/>
      <c r="WCO4" s="3407"/>
      <c r="WCP4" s="3407"/>
      <c r="WCQ4" s="3407"/>
      <c r="WCR4" s="3407"/>
      <c r="WCS4" s="3407"/>
      <c r="WCT4" s="3407"/>
      <c r="WCU4" s="3407"/>
      <c r="WCV4" s="3407"/>
      <c r="WCW4" s="3407"/>
      <c r="WCX4" s="3407"/>
      <c r="WCY4" s="3407"/>
      <c r="WCZ4" s="3407"/>
      <c r="WDA4" s="3407"/>
      <c r="WDB4" s="3407"/>
      <c r="WDC4" s="3407"/>
      <c r="WDD4" s="3407"/>
      <c r="WDE4" s="3407"/>
      <c r="WDF4" s="3407"/>
      <c r="WDG4" s="3407"/>
      <c r="WDH4" s="3407"/>
      <c r="WDI4" s="3407"/>
      <c r="WDJ4" s="3407"/>
      <c r="WDK4" s="3407"/>
      <c r="WDL4" s="3407"/>
      <c r="WDM4" s="3407"/>
      <c r="WDN4" s="3407"/>
      <c r="WDO4" s="3407"/>
      <c r="WDP4" s="3407"/>
      <c r="WDQ4" s="3407"/>
      <c r="WDR4" s="3407"/>
      <c r="WDS4" s="3407"/>
      <c r="WDT4" s="3407"/>
      <c r="WDU4" s="3407"/>
      <c r="WDV4" s="3407"/>
      <c r="WDW4" s="3407"/>
      <c r="WDX4" s="3407"/>
      <c r="WDY4" s="3407"/>
      <c r="WDZ4" s="3407"/>
      <c r="WEA4" s="3407"/>
      <c r="WEB4" s="3407"/>
      <c r="WEC4" s="3407"/>
      <c r="WED4" s="3407"/>
      <c r="WEE4" s="3407"/>
      <c r="WEF4" s="3407"/>
      <c r="WEG4" s="3407"/>
      <c r="WEH4" s="3407"/>
      <c r="WEI4" s="3407"/>
      <c r="WEJ4" s="3407"/>
      <c r="WEK4" s="3407"/>
      <c r="WEL4" s="3407"/>
      <c r="WEM4" s="3407"/>
      <c r="WEN4" s="3407"/>
      <c r="WEO4" s="3407"/>
      <c r="WEP4" s="3407"/>
      <c r="WEQ4" s="3407"/>
      <c r="WER4" s="3407"/>
      <c r="WES4" s="3407"/>
      <c r="WET4" s="3407"/>
      <c r="WEU4" s="3407"/>
      <c r="WEV4" s="3407"/>
      <c r="WEW4" s="3407"/>
      <c r="WEX4" s="3407"/>
      <c r="WEY4" s="3407"/>
      <c r="WEZ4" s="3407"/>
      <c r="WFA4" s="3407"/>
      <c r="WFB4" s="3407"/>
      <c r="WFC4" s="3407"/>
      <c r="WFD4" s="3407"/>
      <c r="WFE4" s="3407"/>
      <c r="WFF4" s="3407"/>
      <c r="WFG4" s="3407"/>
      <c r="WFH4" s="3407"/>
      <c r="WFI4" s="3407"/>
      <c r="WFJ4" s="3407"/>
      <c r="WFK4" s="3407"/>
      <c r="WFL4" s="3407"/>
      <c r="WFM4" s="3407"/>
      <c r="WFN4" s="3407"/>
      <c r="WFO4" s="3407"/>
      <c r="WFP4" s="3407"/>
      <c r="WFQ4" s="3407"/>
      <c r="WFR4" s="3407"/>
      <c r="WFS4" s="3407"/>
      <c r="WFT4" s="3407"/>
      <c r="WFU4" s="3407"/>
      <c r="WFV4" s="3407"/>
      <c r="WFW4" s="3407"/>
      <c r="WFX4" s="3407"/>
      <c r="WFY4" s="3407"/>
      <c r="WFZ4" s="3407"/>
      <c r="WGA4" s="3407"/>
      <c r="WGB4" s="3407"/>
      <c r="WGC4" s="3407"/>
      <c r="WGD4" s="3407"/>
      <c r="WGE4" s="3407"/>
      <c r="WGF4" s="3407"/>
      <c r="WGG4" s="3407"/>
      <c r="WGH4" s="3407"/>
      <c r="WGI4" s="3407"/>
      <c r="WGJ4" s="3407"/>
      <c r="WGK4" s="3407"/>
      <c r="WGL4" s="3407"/>
      <c r="WGM4" s="3407"/>
      <c r="WGN4" s="3407"/>
      <c r="WGO4" s="3407"/>
      <c r="WGP4" s="3407"/>
      <c r="WGQ4" s="3407"/>
      <c r="WGR4" s="3407"/>
      <c r="WGS4" s="3407"/>
      <c r="WGT4" s="3407"/>
      <c r="WGU4" s="3407"/>
      <c r="WGV4" s="3407"/>
      <c r="WGW4" s="3407"/>
      <c r="WGX4" s="3407"/>
      <c r="WGY4" s="3407"/>
      <c r="WGZ4" s="3407"/>
      <c r="WHA4" s="3407"/>
      <c r="WHB4" s="3407"/>
      <c r="WHC4" s="3407"/>
      <c r="WHD4" s="3407"/>
      <c r="WHE4" s="3407"/>
      <c r="WHF4" s="3407"/>
      <c r="WHG4" s="3407"/>
      <c r="WHH4" s="3407"/>
      <c r="WHI4" s="3407"/>
      <c r="WHJ4" s="3407"/>
      <c r="WHK4" s="3407"/>
      <c r="WHL4" s="3407"/>
      <c r="WHM4" s="3407"/>
      <c r="WHN4" s="3407"/>
      <c r="WHO4" s="3407"/>
      <c r="WHP4" s="3407"/>
      <c r="WHQ4" s="3407"/>
      <c r="WHR4" s="3407"/>
      <c r="WHS4" s="3407"/>
      <c r="WHT4" s="3407"/>
      <c r="WHU4" s="3407"/>
      <c r="WHV4" s="3407"/>
      <c r="WHW4" s="3407"/>
      <c r="WHX4" s="3407"/>
      <c r="WHY4" s="3407"/>
      <c r="WHZ4" s="3407"/>
      <c r="WIA4" s="3407"/>
      <c r="WIB4" s="3407"/>
      <c r="WIC4" s="3407"/>
      <c r="WID4" s="3407"/>
      <c r="WIE4" s="3407"/>
      <c r="WIF4" s="3407"/>
      <c r="WIG4" s="3407"/>
      <c r="WIH4" s="3407"/>
      <c r="WII4" s="3407"/>
      <c r="WIJ4" s="3407"/>
      <c r="WIK4" s="3407"/>
      <c r="WIL4" s="3407"/>
      <c r="WIM4" s="3407"/>
      <c r="WIN4" s="3407"/>
      <c r="WIO4" s="3407"/>
      <c r="WIP4" s="3407"/>
      <c r="WIQ4" s="3407"/>
      <c r="WIR4" s="3407"/>
      <c r="WIS4" s="3407"/>
      <c r="WIT4" s="3407"/>
      <c r="WIU4" s="3407"/>
      <c r="WIV4" s="3407"/>
      <c r="WIW4" s="3407"/>
      <c r="WIX4" s="3407"/>
      <c r="WIY4" s="3407"/>
      <c r="WIZ4" s="3407"/>
      <c r="WJA4" s="3407"/>
      <c r="WJB4" s="3407"/>
      <c r="WJC4" s="3407"/>
      <c r="WJD4" s="3407"/>
      <c r="WJE4" s="3407"/>
      <c r="WJF4" s="3407"/>
      <c r="WJG4" s="3407"/>
      <c r="WJH4" s="3407"/>
      <c r="WJI4" s="3407"/>
      <c r="WJJ4" s="3407"/>
      <c r="WJK4" s="3407"/>
      <c r="WJL4" s="3407"/>
      <c r="WJM4" s="3407"/>
      <c r="WJN4" s="3407"/>
      <c r="WJO4" s="3407"/>
      <c r="WJP4" s="3407"/>
      <c r="WJQ4" s="3407"/>
      <c r="WJR4" s="3407"/>
      <c r="WJS4" s="3407"/>
      <c r="WJT4" s="3407"/>
      <c r="WJU4" s="3407"/>
      <c r="WJV4" s="3407"/>
      <c r="WJW4" s="3407"/>
      <c r="WJX4" s="3407"/>
      <c r="WJY4" s="3407"/>
      <c r="WJZ4" s="3407"/>
      <c r="WKA4" s="3407"/>
      <c r="WKB4" s="3407"/>
      <c r="WKC4" s="3407"/>
      <c r="WKD4" s="3407"/>
      <c r="WKE4" s="3407"/>
      <c r="WKF4" s="3407"/>
      <c r="WKG4" s="3407"/>
      <c r="WKH4" s="3407"/>
      <c r="WKI4" s="3407"/>
      <c r="WKJ4" s="3407"/>
      <c r="WKK4" s="3407"/>
      <c r="WKL4" s="3407"/>
      <c r="WKM4" s="3407"/>
      <c r="WKN4" s="3407"/>
      <c r="WKO4" s="3407"/>
      <c r="WKP4" s="3407"/>
      <c r="WKQ4" s="3407"/>
      <c r="WKR4" s="3407"/>
      <c r="WKS4" s="3407"/>
      <c r="WKT4" s="3407"/>
      <c r="WKU4" s="3407"/>
      <c r="WKV4" s="3407"/>
      <c r="WKW4" s="3407"/>
      <c r="WKX4" s="3407"/>
      <c r="WKY4" s="3407"/>
      <c r="WKZ4" s="3407"/>
      <c r="WLA4" s="3407"/>
      <c r="WLB4" s="3407"/>
      <c r="WLC4" s="3407"/>
      <c r="WLD4" s="3407"/>
      <c r="WLE4" s="3407"/>
      <c r="WLF4" s="3407"/>
      <c r="WLG4" s="3407"/>
      <c r="WLH4" s="3407"/>
      <c r="WLI4" s="3407"/>
      <c r="WLJ4" s="3407"/>
      <c r="WLK4" s="3407"/>
      <c r="WLL4" s="3407"/>
      <c r="WLM4" s="3407"/>
      <c r="WLN4" s="3407"/>
      <c r="WLO4" s="3407"/>
      <c r="WLP4" s="3407"/>
      <c r="WLQ4" s="3407"/>
      <c r="WLR4" s="3407"/>
      <c r="WLS4" s="3407"/>
      <c r="WLT4" s="3407"/>
      <c r="WLU4" s="3407"/>
      <c r="WLV4" s="3407"/>
      <c r="WLW4" s="3407"/>
      <c r="WLX4" s="3407"/>
      <c r="WLY4" s="3407"/>
      <c r="WLZ4" s="3407"/>
      <c r="WMA4" s="3407"/>
      <c r="WMB4" s="3407"/>
      <c r="WMC4" s="3407"/>
      <c r="WMD4" s="3407"/>
      <c r="WME4" s="3407"/>
      <c r="WMF4" s="3407"/>
      <c r="WMG4" s="3407"/>
      <c r="WMH4" s="3407"/>
      <c r="WMI4" s="3407"/>
      <c r="WMJ4" s="3407"/>
      <c r="WMK4" s="3407"/>
      <c r="WML4" s="3407"/>
      <c r="WMM4" s="3407"/>
      <c r="WMN4" s="3407"/>
      <c r="WMO4" s="3407"/>
      <c r="WMP4" s="3407"/>
      <c r="WMQ4" s="3407"/>
      <c r="WMR4" s="3407"/>
      <c r="WMS4" s="3407"/>
      <c r="WMT4" s="3407"/>
      <c r="WMU4" s="3407"/>
      <c r="WMV4" s="3407"/>
      <c r="WMW4" s="3407"/>
      <c r="WMX4" s="3407"/>
      <c r="WMY4" s="3407"/>
      <c r="WMZ4" s="3407"/>
      <c r="WNA4" s="3407"/>
      <c r="WNB4" s="3407"/>
      <c r="WNC4" s="3407"/>
      <c r="WND4" s="3407"/>
      <c r="WNE4" s="3407"/>
      <c r="WNF4" s="3407"/>
      <c r="WNG4" s="3407"/>
      <c r="WNH4" s="3407"/>
      <c r="WNI4" s="3407"/>
      <c r="WNJ4" s="3407"/>
      <c r="WNK4" s="3407"/>
      <c r="WNL4" s="3407"/>
      <c r="WNM4" s="3407"/>
      <c r="WNN4" s="3407"/>
      <c r="WNO4" s="3407"/>
      <c r="WNP4" s="3407"/>
      <c r="WNQ4" s="3407"/>
      <c r="WNR4" s="3407"/>
      <c r="WNS4" s="3407"/>
      <c r="WNT4" s="3407"/>
      <c r="WNU4" s="3407"/>
      <c r="WNV4" s="3407"/>
      <c r="WNW4" s="3407"/>
      <c r="WNX4" s="3407"/>
      <c r="WNY4" s="3407"/>
      <c r="WNZ4" s="3407"/>
      <c r="WOA4" s="3407"/>
      <c r="WOB4" s="3407"/>
      <c r="WOC4" s="3407"/>
      <c r="WOD4" s="3407"/>
      <c r="WOE4" s="3407"/>
      <c r="WOF4" s="3407"/>
      <c r="WOG4" s="3407"/>
      <c r="WOH4" s="3407"/>
      <c r="WOI4" s="3407"/>
      <c r="WOJ4" s="3407"/>
      <c r="WOK4" s="3407"/>
      <c r="WOL4" s="3407"/>
      <c r="WOM4" s="3407"/>
      <c r="WON4" s="3407"/>
      <c r="WOO4" s="3407"/>
      <c r="WOP4" s="3407"/>
      <c r="WOQ4" s="3407"/>
      <c r="WOR4" s="3407"/>
      <c r="WOS4" s="3407"/>
      <c r="WOT4" s="3407"/>
      <c r="WOU4" s="3407"/>
      <c r="WOV4" s="3407"/>
      <c r="WOW4" s="3407"/>
      <c r="WOX4" s="3407"/>
      <c r="WOY4" s="3407"/>
      <c r="WOZ4" s="3407"/>
      <c r="WPA4" s="3407"/>
      <c r="WPB4" s="3407"/>
      <c r="WPC4" s="3407"/>
      <c r="WPD4" s="3407"/>
      <c r="WPE4" s="3407"/>
      <c r="WPF4" s="3407"/>
      <c r="WPG4" s="3407"/>
      <c r="WPH4" s="3407"/>
      <c r="WPI4" s="3407"/>
      <c r="WPJ4" s="3407"/>
      <c r="WPK4" s="3407"/>
      <c r="WPL4" s="3407"/>
      <c r="WPM4" s="3407"/>
      <c r="WPN4" s="3407"/>
      <c r="WPO4" s="3407"/>
      <c r="WPP4" s="3407"/>
      <c r="WPQ4" s="3407"/>
      <c r="WPR4" s="3407"/>
      <c r="WPS4" s="3407"/>
      <c r="WPT4" s="3407"/>
      <c r="WPU4" s="3407"/>
      <c r="WPV4" s="3407"/>
      <c r="WPW4" s="3407"/>
      <c r="WPX4" s="3407"/>
      <c r="WPY4" s="3407"/>
      <c r="WPZ4" s="3407"/>
      <c r="WQA4" s="3407"/>
      <c r="WQB4" s="3407"/>
      <c r="WQC4" s="3407"/>
      <c r="WQD4" s="3407"/>
      <c r="WQE4" s="3407"/>
      <c r="WQF4" s="3407"/>
      <c r="WQG4" s="3407"/>
      <c r="WQH4" s="3407"/>
      <c r="WQI4" s="3407"/>
      <c r="WQJ4" s="3407"/>
      <c r="WQK4" s="3407"/>
      <c r="WQL4" s="3407"/>
      <c r="WQM4" s="3407"/>
      <c r="WQN4" s="3407"/>
      <c r="WQO4" s="3407"/>
      <c r="WQP4" s="3407"/>
      <c r="WQQ4" s="3407"/>
      <c r="WQR4" s="3407"/>
      <c r="WQS4" s="3407"/>
      <c r="WQT4" s="3407"/>
      <c r="WQU4" s="3407"/>
      <c r="WQV4" s="3407"/>
      <c r="WQW4" s="3407"/>
      <c r="WQX4" s="3407"/>
      <c r="WQY4" s="3407"/>
      <c r="WQZ4" s="3407"/>
      <c r="WRA4" s="3407"/>
      <c r="WRB4" s="3407"/>
      <c r="WRC4" s="3407"/>
      <c r="WRD4" s="3407"/>
      <c r="WRE4" s="3407"/>
      <c r="WRF4" s="3407"/>
      <c r="WRG4" s="3407"/>
      <c r="WRH4" s="3407"/>
      <c r="WRI4" s="3407"/>
      <c r="WRJ4" s="3407"/>
      <c r="WRK4" s="3407"/>
      <c r="WRL4" s="3407"/>
      <c r="WRM4" s="3407"/>
      <c r="WRN4" s="3407"/>
      <c r="WRO4" s="3407"/>
      <c r="WRP4" s="3407"/>
      <c r="WRQ4" s="3407"/>
      <c r="WRR4" s="3407"/>
      <c r="WRS4" s="3407"/>
      <c r="WRT4" s="3407"/>
      <c r="WRU4" s="3407"/>
      <c r="WRV4" s="3407"/>
      <c r="WRW4" s="3407"/>
      <c r="WRX4" s="3407"/>
      <c r="WRY4" s="3407"/>
      <c r="WRZ4" s="3407"/>
      <c r="WSA4" s="3407"/>
      <c r="WSB4" s="3407"/>
      <c r="WSC4" s="3407"/>
      <c r="WSD4" s="3407"/>
      <c r="WSE4" s="3407"/>
      <c r="WSF4" s="3407"/>
      <c r="WSG4" s="3407"/>
      <c r="WSH4" s="3407"/>
      <c r="WSI4" s="3407"/>
      <c r="WSJ4" s="3407"/>
      <c r="WSK4" s="3407"/>
      <c r="WSL4" s="3407"/>
      <c r="WSM4" s="3407"/>
      <c r="WSN4" s="3407"/>
      <c r="WSO4" s="3407"/>
      <c r="WSP4" s="3407"/>
      <c r="WSQ4" s="3407"/>
      <c r="WSR4" s="3407"/>
      <c r="WSS4" s="3407"/>
      <c r="WST4" s="3407"/>
      <c r="WSU4" s="3407"/>
      <c r="WSV4" s="3407"/>
      <c r="WSW4" s="3407"/>
      <c r="WSX4" s="3407"/>
      <c r="WSY4" s="3407"/>
      <c r="WSZ4" s="3407"/>
      <c r="WTA4" s="3407"/>
      <c r="WTB4" s="3407"/>
      <c r="WTC4" s="3407"/>
      <c r="WTD4" s="3407"/>
      <c r="WTE4" s="3407"/>
      <c r="WTF4" s="3407"/>
      <c r="WTG4" s="3407"/>
      <c r="WTH4" s="3407"/>
      <c r="WTI4" s="3407"/>
      <c r="WTJ4" s="3407"/>
      <c r="WTK4" s="3407"/>
      <c r="WTL4" s="3407"/>
      <c r="WTM4" s="3407"/>
      <c r="WTN4" s="3407"/>
      <c r="WTO4" s="3407"/>
      <c r="WTP4" s="3407"/>
      <c r="WTQ4" s="3407"/>
      <c r="WTR4" s="3407"/>
      <c r="WTS4" s="3407"/>
      <c r="WTT4" s="3407"/>
      <c r="WTU4" s="3407"/>
      <c r="WTV4" s="3407"/>
      <c r="WTW4" s="3407"/>
      <c r="WTX4" s="3407"/>
      <c r="WTY4" s="3407"/>
      <c r="WTZ4" s="3407"/>
      <c r="WUA4" s="3407"/>
      <c r="WUB4" s="3407"/>
      <c r="WUC4" s="3407"/>
      <c r="WUD4" s="3407"/>
      <c r="WUE4" s="3407"/>
      <c r="WUF4" s="3407"/>
      <c r="WUG4" s="3407"/>
      <c r="WUH4" s="3407"/>
      <c r="WUI4" s="3407"/>
      <c r="WUJ4" s="3407"/>
      <c r="WUK4" s="3407"/>
      <c r="WUL4" s="3407"/>
      <c r="WUM4" s="3407"/>
      <c r="WUN4" s="3407"/>
      <c r="WUO4" s="3407"/>
      <c r="WUP4" s="3407"/>
      <c r="WUQ4" s="3407"/>
      <c r="WUR4" s="3407"/>
      <c r="WUS4" s="3407"/>
      <c r="WUT4" s="3407"/>
      <c r="WUU4" s="3407"/>
      <c r="WUV4" s="3407"/>
      <c r="WUW4" s="3407"/>
      <c r="WUX4" s="3407"/>
      <c r="WUY4" s="3407"/>
      <c r="WUZ4" s="3407"/>
      <c r="WVA4" s="3407"/>
      <c r="WVB4" s="3407"/>
      <c r="WVC4" s="3407"/>
      <c r="WVD4" s="3407"/>
      <c r="WVE4" s="3407"/>
      <c r="WVF4" s="3407"/>
      <c r="WVG4" s="3407"/>
      <c r="WVH4" s="3407"/>
      <c r="WVI4" s="3407"/>
      <c r="WVJ4" s="3407"/>
      <c r="WVK4" s="3407"/>
      <c r="WVL4" s="3407"/>
      <c r="WVM4" s="3407"/>
      <c r="WVN4" s="3407"/>
      <c r="WVO4" s="3407"/>
      <c r="WVP4" s="3407"/>
      <c r="WVQ4" s="3407"/>
      <c r="WVR4" s="3407"/>
      <c r="WVS4" s="3407"/>
      <c r="WVT4" s="3407"/>
      <c r="WVU4" s="3407"/>
      <c r="WVV4" s="3407"/>
      <c r="WVW4" s="3407"/>
      <c r="WVX4" s="3407"/>
      <c r="WVY4" s="3407"/>
      <c r="WVZ4" s="3407"/>
      <c r="WWA4" s="3407"/>
      <c r="WWB4" s="3407"/>
      <c r="WWC4" s="3407"/>
      <c r="WWD4" s="3407"/>
      <c r="WWE4" s="3407"/>
      <c r="WWF4" s="3407"/>
      <c r="WWG4" s="3407"/>
      <c r="WWH4" s="3407"/>
      <c r="WWI4" s="3407"/>
      <c r="WWJ4" s="3407"/>
      <c r="WWK4" s="3407"/>
      <c r="WWL4" s="3407"/>
      <c r="WWM4" s="3407"/>
      <c r="WWN4" s="3407"/>
      <c r="WWO4" s="3407"/>
      <c r="WWP4" s="3407"/>
      <c r="WWQ4" s="3407"/>
      <c r="WWR4" s="3407"/>
      <c r="WWS4" s="3407"/>
      <c r="WWT4" s="3407"/>
      <c r="WWU4" s="3407"/>
      <c r="WWV4" s="3407"/>
      <c r="WWW4" s="3407"/>
      <c r="WWX4" s="3407"/>
      <c r="WWY4" s="3407"/>
      <c r="WWZ4" s="3407"/>
      <c r="WXA4" s="3407"/>
      <c r="WXB4" s="3407"/>
      <c r="WXC4" s="3407"/>
      <c r="WXD4" s="3407"/>
      <c r="WXE4" s="3407"/>
      <c r="WXF4" s="3407"/>
      <c r="WXG4" s="3407"/>
      <c r="WXH4" s="3407"/>
      <c r="WXI4" s="3407"/>
      <c r="WXJ4" s="3407"/>
      <c r="WXK4" s="3407"/>
      <c r="WXL4" s="3407"/>
      <c r="WXM4" s="3407"/>
      <c r="WXN4" s="3407"/>
      <c r="WXO4" s="3407"/>
      <c r="WXP4" s="3407"/>
      <c r="WXQ4" s="3407"/>
      <c r="WXR4" s="3407"/>
      <c r="WXS4" s="3407"/>
      <c r="WXT4" s="3407"/>
      <c r="WXU4" s="3407"/>
      <c r="WXV4" s="3407"/>
      <c r="WXW4" s="3407"/>
      <c r="WXX4" s="3407"/>
      <c r="WXY4" s="3407"/>
      <c r="WXZ4" s="3407"/>
      <c r="WYA4" s="3407"/>
      <c r="WYB4" s="3407"/>
      <c r="WYC4" s="3407"/>
      <c r="WYD4" s="3407"/>
      <c r="WYE4" s="3407"/>
      <c r="WYF4" s="3407"/>
      <c r="WYG4" s="3407"/>
      <c r="WYH4" s="3407"/>
      <c r="WYI4" s="3407"/>
      <c r="WYJ4" s="3407"/>
      <c r="WYK4" s="3407"/>
      <c r="WYL4" s="3407"/>
      <c r="WYM4" s="3407"/>
      <c r="WYN4" s="3407"/>
      <c r="WYO4" s="3407"/>
      <c r="WYP4" s="3407"/>
      <c r="WYQ4" s="3407"/>
      <c r="WYR4" s="3407"/>
      <c r="WYS4" s="3407"/>
      <c r="WYT4" s="3407"/>
      <c r="WYU4" s="3407"/>
      <c r="WYV4" s="3407"/>
      <c r="WYW4" s="3407"/>
      <c r="WYX4" s="3407"/>
      <c r="WYY4" s="3407"/>
      <c r="WYZ4" s="3407"/>
      <c r="WZA4" s="3407"/>
      <c r="WZB4" s="3407"/>
      <c r="WZC4" s="3407"/>
      <c r="WZD4" s="3407"/>
      <c r="WZE4" s="3407"/>
      <c r="WZF4" s="3407"/>
      <c r="WZG4" s="3407"/>
      <c r="WZH4" s="3407"/>
      <c r="WZI4" s="3407"/>
      <c r="WZJ4" s="3407"/>
      <c r="WZK4" s="3407"/>
      <c r="WZL4" s="3407"/>
      <c r="WZM4" s="3407"/>
      <c r="WZN4" s="3407"/>
      <c r="WZO4" s="3407"/>
      <c r="WZP4" s="3407"/>
      <c r="WZQ4" s="3407"/>
      <c r="WZR4" s="3407"/>
      <c r="WZS4" s="3407"/>
      <c r="WZT4" s="3407"/>
      <c r="WZU4" s="3407"/>
      <c r="WZV4" s="3407"/>
      <c r="WZW4" s="3407"/>
      <c r="WZX4" s="3407"/>
      <c r="WZY4" s="3407"/>
      <c r="WZZ4" s="3407"/>
      <c r="XAA4" s="3407"/>
      <c r="XAB4" s="3407"/>
      <c r="XAC4" s="3407"/>
      <c r="XAD4" s="3407"/>
      <c r="XAE4" s="3407"/>
      <c r="XAF4" s="3407"/>
      <c r="XAG4" s="3407"/>
      <c r="XAH4" s="3407"/>
      <c r="XAI4" s="3407"/>
      <c r="XAJ4" s="3407"/>
      <c r="XAK4" s="3407"/>
      <c r="XAL4" s="3407"/>
      <c r="XAM4" s="3407"/>
      <c r="XAN4" s="3407"/>
      <c r="XAO4" s="3407"/>
      <c r="XAP4" s="3407"/>
      <c r="XAQ4" s="3407"/>
      <c r="XAR4" s="3407"/>
      <c r="XAS4" s="3407"/>
      <c r="XAT4" s="3407"/>
      <c r="XAU4" s="3407"/>
      <c r="XAV4" s="3407"/>
      <c r="XAW4" s="3407"/>
      <c r="XAX4" s="3407"/>
      <c r="XAY4" s="3407"/>
      <c r="XAZ4" s="3407"/>
      <c r="XBA4" s="3407"/>
      <c r="XBB4" s="3407"/>
      <c r="XBC4" s="3407"/>
      <c r="XBD4" s="3407"/>
      <c r="XBE4" s="3407"/>
      <c r="XBF4" s="3407"/>
      <c r="XBG4" s="3407"/>
      <c r="XBH4" s="3407"/>
      <c r="XBI4" s="3407"/>
      <c r="XBJ4" s="3407"/>
      <c r="XBK4" s="3407"/>
      <c r="XBL4" s="3407"/>
      <c r="XBM4" s="3407"/>
      <c r="XBN4" s="3407"/>
      <c r="XBO4" s="3407"/>
      <c r="XBP4" s="3407"/>
      <c r="XBQ4" s="3407"/>
      <c r="XBR4" s="3407"/>
      <c r="XBS4" s="3407"/>
      <c r="XBT4" s="3407"/>
      <c r="XBU4" s="3407"/>
      <c r="XBV4" s="3407"/>
      <c r="XBW4" s="3407"/>
      <c r="XBX4" s="3407"/>
      <c r="XBY4" s="3407"/>
      <c r="XBZ4" s="3407"/>
      <c r="XCA4" s="3407"/>
      <c r="XCB4" s="3407"/>
      <c r="XCC4" s="3407"/>
      <c r="XCD4" s="3407"/>
      <c r="XCE4" s="3407"/>
      <c r="XCF4" s="3407"/>
      <c r="XCG4" s="3407"/>
      <c r="XCH4" s="3407"/>
      <c r="XCI4" s="3407"/>
      <c r="XCJ4" s="3407"/>
      <c r="XCK4" s="3407"/>
      <c r="XCL4" s="3407"/>
      <c r="XCM4" s="3407"/>
      <c r="XCN4" s="3407"/>
      <c r="XCO4" s="3407"/>
      <c r="XCP4" s="3407"/>
      <c r="XCQ4" s="3407"/>
      <c r="XCR4" s="3407"/>
      <c r="XCS4" s="3407"/>
      <c r="XCT4" s="3407"/>
      <c r="XCU4" s="3407"/>
      <c r="XCV4" s="3407"/>
      <c r="XCW4" s="3407"/>
      <c r="XCX4" s="3407"/>
      <c r="XCY4" s="3407"/>
      <c r="XCZ4" s="3407"/>
      <c r="XDA4" s="3407"/>
      <c r="XDB4" s="3407"/>
      <c r="XDC4" s="3407"/>
      <c r="XDD4" s="3407"/>
      <c r="XDE4" s="3407"/>
      <c r="XDF4" s="3407"/>
      <c r="XDG4" s="3407"/>
      <c r="XDH4" s="3407"/>
      <c r="XDI4" s="3407"/>
      <c r="XDJ4" s="3407"/>
      <c r="XDK4" s="3407"/>
      <c r="XDL4" s="3407"/>
      <c r="XDM4" s="3407"/>
      <c r="XDN4" s="3407"/>
      <c r="XDO4" s="3407"/>
      <c r="XDP4" s="3407"/>
      <c r="XDQ4" s="3407"/>
      <c r="XDR4" s="3407"/>
      <c r="XDS4" s="3407"/>
      <c r="XDT4" s="3407"/>
      <c r="XDU4" s="3407"/>
      <c r="XDV4" s="3407"/>
      <c r="XDW4" s="3407"/>
      <c r="XDX4" s="3407"/>
      <c r="XDY4" s="3407"/>
      <c r="XDZ4" s="3407"/>
      <c r="XEA4" s="3407"/>
      <c r="XEB4" s="3407"/>
      <c r="XEC4" s="3407"/>
    </row>
    <row r="5" spans="1:16357" s="3401" customFormat="1" ht="37.5" customHeight="1">
      <c r="A5" s="3411" t="s">
        <v>3520</v>
      </c>
      <c r="B5" s="3403" t="s">
        <v>3459</v>
      </c>
      <c r="C5" s="3403" t="s">
        <v>3460</v>
      </c>
      <c r="D5" s="3403">
        <v>401615.3</v>
      </c>
      <c r="E5" s="3403">
        <v>401615</v>
      </c>
      <c r="F5" s="3403">
        <v>1</v>
      </c>
      <c r="G5" s="3403" t="s">
        <v>3465</v>
      </c>
      <c r="H5" s="3403">
        <v>109378.8</v>
      </c>
      <c r="I5" s="3403">
        <v>181.56</v>
      </c>
      <c r="J5" s="3403">
        <v>2723.46</v>
      </c>
      <c r="K5" s="3403">
        <f>H5*10000/D5</f>
        <v>2723.4719394405543</v>
      </c>
      <c r="L5" s="3403" t="s">
        <v>2820</v>
      </c>
      <c r="M5" s="3403">
        <v>0</v>
      </c>
      <c r="N5" s="3403" t="s">
        <v>3462</v>
      </c>
      <c r="O5" s="3403" t="s">
        <v>2820</v>
      </c>
      <c r="P5" s="3403" t="s">
        <v>2820</v>
      </c>
      <c r="Q5" s="3403" t="s">
        <v>2820</v>
      </c>
      <c r="R5" s="3403"/>
      <c r="S5" s="3404"/>
      <c r="T5" s="3404"/>
      <c r="U5" s="3404"/>
      <c r="V5" s="3404"/>
      <c r="W5" s="3404"/>
      <c r="X5" s="3404"/>
      <c r="Y5" s="3404"/>
      <c r="Z5" s="3404"/>
      <c r="AA5" s="3404"/>
      <c r="AB5" s="3404"/>
      <c r="AC5" s="3404"/>
      <c r="AD5" s="3404"/>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4"/>
      <c r="BC5" s="3404"/>
      <c r="BD5" s="3404"/>
      <c r="BE5" s="3404"/>
      <c r="BF5" s="3404"/>
      <c r="BG5" s="3404"/>
      <c r="BH5" s="3404"/>
      <c r="BI5" s="3404"/>
      <c r="BJ5" s="3404"/>
      <c r="BK5" s="3404"/>
      <c r="BL5" s="3404"/>
      <c r="BM5" s="3404"/>
      <c r="BN5" s="3404"/>
      <c r="BO5" s="3404"/>
      <c r="BP5" s="3404"/>
      <c r="BQ5" s="3404"/>
      <c r="BR5" s="3404"/>
      <c r="BS5" s="3404"/>
      <c r="BT5" s="3404"/>
      <c r="BU5" s="3404"/>
      <c r="BV5" s="3404"/>
      <c r="BW5" s="3404"/>
      <c r="BX5" s="3404"/>
      <c r="BY5" s="3404"/>
      <c r="BZ5" s="3404"/>
      <c r="CA5" s="3404"/>
      <c r="CB5" s="3404"/>
      <c r="CC5" s="3404"/>
      <c r="CD5" s="3404"/>
      <c r="CE5" s="3404"/>
      <c r="CF5" s="3404"/>
      <c r="CG5" s="3404"/>
      <c r="CH5" s="3404"/>
      <c r="CI5" s="3404"/>
      <c r="CJ5" s="3404"/>
      <c r="CK5" s="3404"/>
      <c r="CL5" s="3404"/>
      <c r="CM5" s="3404"/>
      <c r="CN5" s="3404"/>
      <c r="CO5" s="3404"/>
      <c r="CP5" s="3404"/>
      <c r="CQ5" s="3404"/>
      <c r="CR5" s="3404"/>
      <c r="CS5" s="3404"/>
      <c r="CT5" s="3404"/>
      <c r="CU5" s="3404"/>
      <c r="CV5" s="3404"/>
      <c r="CW5" s="3404"/>
      <c r="CX5" s="3404"/>
      <c r="CY5" s="3404"/>
      <c r="CZ5" s="3404"/>
      <c r="DA5" s="3404"/>
      <c r="DB5" s="3404"/>
      <c r="DC5" s="3404"/>
      <c r="DD5" s="3404"/>
      <c r="DE5" s="3404"/>
      <c r="DF5" s="3404"/>
      <c r="DG5" s="3404"/>
      <c r="DH5" s="3404"/>
      <c r="DI5" s="3404"/>
      <c r="DJ5" s="3404"/>
      <c r="DK5" s="3404"/>
      <c r="DL5" s="3404"/>
      <c r="DM5" s="3404"/>
      <c r="DN5" s="3404"/>
      <c r="DO5" s="3404"/>
      <c r="DP5" s="3404"/>
      <c r="DQ5" s="3404"/>
      <c r="DR5" s="3404"/>
      <c r="DS5" s="3404"/>
      <c r="DT5" s="3404"/>
      <c r="DU5" s="3404"/>
      <c r="DV5" s="3404"/>
      <c r="DW5" s="3404"/>
      <c r="DX5" s="3404"/>
      <c r="DY5" s="3404"/>
      <c r="DZ5" s="3404"/>
      <c r="EA5" s="3404"/>
      <c r="EB5" s="3404"/>
      <c r="EC5" s="3404"/>
      <c r="ED5" s="3404"/>
      <c r="EE5" s="3404"/>
      <c r="EF5" s="3404"/>
      <c r="EG5" s="3404"/>
      <c r="EH5" s="3404"/>
      <c r="EI5" s="3404"/>
      <c r="EJ5" s="3404"/>
      <c r="EK5" s="3404"/>
      <c r="EL5" s="3404"/>
      <c r="EM5" s="3404"/>
      <c r="EN5" s="3404"/>
      <c r="EO5" s="3404"/>
      <c r="EP5" s="3404"/>
      <c r="EQ5" s="3404"/>
      <c r="ER5" s="3404"/>
      <c r="ES5" s="3404"/>
      <c r="ET5" s="3404"/>
      <c r="EU5" s="3404"/>
      <c r="EV5" s="3404"/>
      <c r="EW5" s="3404"/>
      <c r="EX5" s="3404"/>
      <c r="EY5" s="3404"/>
      <c r="EZ5" s="3404"/>
      <c r="FA5" s="3404"/>
      <c r="FB5" s="3404"/>
      <c r="FC5" s="3404"/>
      <c r="FD5" s="3404"/>
      <c r="FE5" s="3404"/>
      <c r="FF5" s="3404"/>
      <c r="FG5" s="3404"/>
      <c r="FH5" s="3404"/>
      <c r="FI5" s="3404"/>
      <c r="FJ5" s="3404"/>
      <c r="FK5" s="3404"/>
      <c r="FL5" s="3404"/>
      <c r="FM5" s="3404"/>
      <c r="FN5" s="3404"/>
      <c r="FO5" s="3404"/>
      <c r="FP5" s="3404"/>
      <c r="FQ5" s="3404"/>
      <c r="FR5" s="3404"/>
      <c r="FS5" s="3404"/>
      <c r="FT5" s="3404"/>
      <c r="FU5" s="3404"/>
      <c r="FV5" s="3404"/>
      <c r="FW5" s="3404"/>
      <c r="FX5" s="3404"/>
      <c r="FY5" s="3404"/>
      <c r="FZ5" s="3404"/>
      <c r="GA5" s="3404"/>
      <c r="GB5" s="3404"/>
      <c r="GC5" s="3404"/>
      <c r="GD5" s="3404"/>
      <c r="GE5" s="3404"/>
      <c r="GF5" s="3404"/>
      <c r="GG5" s="3404"/>
      <c r="GH5" s="3404"/>
      <c r="GI5" s="3404"/>
      <c r="GJ5" s="3404"/>
      <c r="GK5" s="3404"/>
      <c r="GL5" s="3404"/>
      <c r="GM5" s="3404"/>
      <c r="GN5" s="3404"/>
      <c r="GO5" s="3404"/>
      <c r="GP5" s="3404"/>
      <c r="GQ5" s="3404"/>
      <c r="GR5" s="3404"/>
      <c r="GS5" s="3404"/>
      <c r="GT5" s="3404"/>
      <c r="GU5" s="3404"/>
      <c r="GV5" s="3404"/>
      <c r="GW5" s="3404"/>
      <c r="GX5" s="3404"/>
      <c r="GY5" s="3404"/>
      <c r="GZ5" s="3404"/>
      <c r="HA5" s="3404"/>
      <c r="HB5" s="3404"/>
      <c r="HC5" s="3404"/>
      <c r="HD5" s="3404"/>
      <c r="HE5" s="3404"/>
      <c r="HF5" s="3404"/>
      <c r="HG5" s="3404"/>
      <c r="HH5" s="3404"/>
      <c r="HI5" s="3404"/>
      <c r="HJ5" s="3404"/>
      <c r="HK5" s="3404"/>
      <c r="HL5" s="3404"/>
      <c r="HM5" s="3404"/>
      <c r="HN5" s="3404"/>
      <c r="HO5" s="3404"/>
      <c r="HP5" s="3404"/>
      <c r="HQ5" s="3404"/>
      <c r="HR5" s="3404"/>
      <c r="HS5" s="3404"/>
      <c r="HT5" s="3404"/>
      <c r="HU5" s="3404"/>
      <c r="HV5" s="3404"/>
      <c r="HW5" s="3404"/>
      <c r="HX5" s="3404"/>
      <c r="HY5" s="3404"/>
      <c r="HZ5" s="3404"/>
      <c r="IA5" s="3404"/>
      <c r="IB5" s="3404"/>
      <c r="IC5" s="3404"/>
      <c r="ID5" s="3404"/>
      <c r="IE5" s="3404"/>
      <c r="IF5" s="3404"/>
      <c r="IG5" s="3404"/>
      <c r="IH5" s="3404"/>
      <c r="II5" s="3404"/>
      <c r="IJ5" s="3404"/>
      <c r="IK5" s="3404"/>
      <c r="IL5" s="3404"/>
      <c r="IM5" s="3404"/>
      <c r="IN5" s="3404"/>
      <c r="IO5" s="3404"/>
      <c r="IP5" s="3404"/>
      <c r="IQ5" s="3404"/>
      <c r="IR5" s="3404"/>
      <c r="IS5" s="3404"/>
      <c r="IT5" s="3404"/>
      <c r="IU5" s="3404"/>
      <c r="IV5" s="3404"/>
      <c r="IW5" s="3404"/>
      <c r="IX5" s="3404"/>
      <c r="IY5" s="3404"/>
      <c r="IZ5" s="3404"/>
      <c r="JA5" s="3404"/>
      <c r="JB5" s="3404"/>
      <c r="JC5" s="3404"/>
      <c r="JD5" s="3404"/>
      <c r="JE5" s="3404"/>
      <c r="JF5" s="3404"/>
      <c r="JG5" s="3404"/>
      <c r="JH5" s="3404"/>
      <c r="JI5" s="3404"/>
      <c r="JJ5" s="3404"/>
      <c r="JK5" s="3404"/>
      <c r="JL5" s="3404"/>
      <c r="JM5" s="3404"/>
      <c r="JN5" s="3404"/>
      <c r="JO5" s="3404"/>
      <c r="JP5" s="3404"/>
      <c r="JQ5" s="3404"/>
      <c r="JR5" s="3404"/>
      <c r="JS5" s="3404"/>
      <c r="JT5" s="3404"/>
      <c r="JU5" s="3404"/>
      <c r="JV5" s="3404"/>
      <c r="JW5" s="3404"/>
      <c r="JX5" s="3404"/>
      <c r="JY5" s="3404"/>
      <c r="JZ5" s="3404"/>
      <c r="KA5" s="3404"/>
      <c r="KB5" s="3404"/>
      <c r="KC5" s="3404"/>
      <c r="KD5" s="3404"/>
      <c r="KE5" s="3404"/>
      <c r="KF5" s="3404"/>
      <c r="KG5" s="3404"/>
      <c r="KH5" s="3404"/>
      <c r="KI5" s="3404"/>
      <c r="KJ5" s="3404"/>
      <c r="KK5" s="3404"/>
      <c r="KL5" s="3404"/>
      <c r="KM5" s="3404"/>
      <c r="KN5" s="3404"/>
      <c r="KO5" s="3404"/>
      <c r="KP5" s="3404"/>
      <c r="KQ5" s="3404"/>
      <c r="KR5" s="3404"/>
      <c r="KS5" s="3404"/>
      <c r="KT5" s="3404"/>
      <c r="KU5" s="3404"/>
      <c r="KV5" s="3404"/>
      <c r="KW5" s="3404"/>
      <c r="KX5" s="3404"/>
      <c r="KY5" s="3404"/>
      <c r="KZ5" s="3404"/>
      <c r="LA5" s="3404"/>
      <c r="LB5" s="3404"/>
      <c r="LC5" s="3404"/>
      <c r="LD5" s="3404"/>
      <c r="LE5" s="3404"/>
      <c r="LF5" s="3404"/>
      <c r="LG5" s="3404"/>
      <c r="LH5" s="3404"/>
      <c r="LI5" s="3404"/>
      <c r="LJ5" s="3404"/>
      <c r="LK5" s="3404"/>
      <c r="LL5" s="3404"/>
      <c r="LM5" s="3404"/>
      <c r="LN5" s="3404"/>
      <c r="LO5" s="3404"/>
      <c r="LP5" s="3404"/>
      <c r="LQ5" s="3404"/>
      <c r="LR5" s="3404"/>
      <c r="LS5" s="3404"/>
      <c r="LT5" s="3404"/>
      <c r="LU5" s="3404"/>
      <c r="LV5" s="3404"/>
      <c r="LW5" s="3404"/>
      <c r="LX5" s="3404"/>
      <c r="LY5" s="3404"/>
      <c r="LZ5" s="3404"/>
      <c r="MA5" s="3404"/>
      <c r="MB5" s="3404"/>
      <c r="MC5" s="3404"/>
      <c r="MD5" s="3404"/>
      <c r="ME5" s="3404"/>
      <c r="MF5" s="3404"/>
      <c r="MG5" s="3404"/>
      <c r="MH5" s="3404"/>
      <c r="MI5" s="3404"/>
      <c r="MJ5" s="3404"/>
      <c r="MK5" s="3404"/>
      <c r="ML5" s="3404"/>
      <c r="MM5" s="3404"/>
      <c r="MN5" s="3404"/>
      <c r="MO5" s="3404"/>
      <c r="MP5" s="3404"/>
      <c r="MQ5" s="3404"/>
      <c r="MR5" s="3404"/>
      <c r="MS5" s="3404"/>
      <c r="MT5" s="3404"/>
      <c r="MU5" s="3404"/>
      <c r="MV5" s="3404"/>
      <c r="MW5" s="3404"/>
      <c r="MX5" s="3404"/>
      <c r="MY5" s="3404"/>
      <c r="MZ5" s="3404"/>
      <c r="NA5" s="3404"/>
      <c r="NB5" s="3404"/>
      <c r="NC5" s="3404"/>
      <c r="ND5" s="3404"/>
      <c r="NE5" s="3404"/>
      <c r="NF5" s="3404"/>
      <c r="NG5" s="3404"/>
      <c r="NH5" s="3404"/>
      <c r="NI5" s="3404"/>
      <c r="NJ5" s="3404"/>
      <c r="NK5" s="3404"/>
      <c r="NL5" s="3404"/>
      <c r="NM5" s="3404"/>
      <c r="NN5" s="3404"/>
      <c r="NO5" s="3404"/>
      <c r="NP5" s="3404"/>
      <c r="NQ5" s="3404"/>
      <c r="NR5" s="3404"/>
      <c r="NS5" s="3404"/>
      <c r="NT5" s="3404"/>
      <c r="NU5" s="3404"/>
      <c r="NV5" s="3404"/>
      <c r="NW5" s="3404"/>
      <c r="NX5" s="3404"/>
      <c r="NY5" s="3404"/>
      <c r="NZ5" s="3404"/>
      <c r="OA5" s="3404"/>
      <c r="OB5" s="3404"/>
      <c r="OC5" s="3404"/>
      <c r="OD5" s="3404"/>
      <c r="OE5" s="3404"/>
      <c r="OF5" s="3404"/>
      <c r="OG5" s="3404"/>
      <c r="OH5" s="3404"/>
      <c r="OI5" s="3404"/>
      <c r="OJ5" s="3404"/>
      <c r="OK5" s="3404"/>
      <c r="OL5" s="3404"/>
      <c r="OM5" s="3404"/>
      <c r="ON5" s="3404"/>
      <c r="OO5" s="3404"/>
      <c r="OP5" s="3404"/>
      <c r="OQ5" s="3404"/>
      <c r="OR5" s="3404"/>
      <c r="OS5" s="3404"/>
      <c r="OT5" s="3404"/>
      <c r="OU5" s="3404"/>
      <c r="OV5" s="3404"/>
      <c r="OW5" s="3404"/>
      <c r="OX5" s="3404"/>
      <c r="OY5" s="3404"/>
      <c r="OZ5" s="3404"/>
      <c r="PA5" s="3404"/>
      <c r="PB5" s="3404"/>
      <c r="PC5" s="3404"/>
      <c r="PD5" s="3404"/>
      <c r="PE5" s="3404"/>
      <c r="PF5" s="3404"/>
      <c r="PG5" s="3404"/>
      <c r="PH5" s="3404"/>
      <c r="PI5" s="3404"/>
      <c r="PJ5" s="3404"/>
      <c r="PK5" s="3404"/>
      <c r="PL5" s="3404"/>
      <c r="PM5" s="3404"/>
      <c r="PN5" s="3404"/>
      <c r="PO5" s="3404"/>
      <c r="PP5" s="3404"/>
      <c r="PQ5" s="3404"/>
      <c r="PR5" s="3404"/>
      <c r="PS5" s="3404"/>
      <c r="PT5" s="3404"/>
      <c r="PU5" s="3404"/>
      <c r="PV5" s="3404"/>
      <c r="PW5" s="3404"/>
      <c r="PX5" s="3404"/>
      <c r="PY5" s="3404"/>
      <c r="PZ5" s="3404"/>
      <c r="QA5" s="3404"/>
      <c r="QB5" s="3404"/>
      <c r="QC5" s="3404"/>
      <c r="QD5" s="3404"/>
      <c r="QE5" s="3404"/>
      <c r="QF5" s="3404"/>
      <c r="QG5" s="3404"/>
      <c r="QH5" s="3404"/>
      <c r="QI5" s="3404"/>
      <c r="QJ5" s="3404"/>
      <c r="QK5" s="3404"/>
      <c r="QL5" s="3404"/>
      <c r="QM5" s="3404"/>
      <c r="QN5" s="3404"/>
      <c r="QO5" s="3404"/>
      <c r="QP5" s="3404"/>
      <c r="QQ5" s="3404"/>
      <c r="QR5" s="3404"/>
      <c r="QS5" s="3404"/>
      <c r="QT5" s="3404"/>
      <c r="QU5" s="3404"/>
      <c r="QV5" s="3404"/>
      <c r="QW5" s="3404"/>
      <c r="QX5" s="3404"/>
      <c r="QY5" s="3404"/>
      <c r="QZ5" s="3404"/>
      <c r="RA5" s="3404"/>
      <c r="RB5" s="3404"/>
      <c r="RC5" s="3404"/>
      <c r="RD5" s="3404"/>
      <c r="RE5" s="3404"/>
      <c r="RF5" s="3404"/>
      <c r="RG5" s="3404"/>
      <c r="RH5" s="3404"/>
      <c r="RI5" s="3404"/>
      <c r="RJ5" s="3404"/>
      <c r="RK5" s="3404"/>
      <c r="RL5" s="3404"/>
      <c r="RM5" s="3404"/>
      <c r="RN5" s="3404"/>
      <c r="RO5" s="3404"/>
      <c r="RP5" s="3404"/>
      <c r="RQ5" s="3404"/>
      <c r="RR5" s="3404"/>
      <c r="RS5" s="3404"/>
      <c r="RT5" s="3404"/>
      <c r="RU5" s="3404"/>
      <c r="RV5" s="3404"/>
      <c r="RW5" s="3404"/>
      <c r="RX5" s="3404"/>
      <c r="RY5" s="3404"/>
      <c r="RZ5" s="3404"/>
      <c r="SA5" s="3404"/>
      <c r="SB5" s="3404"/>
      <c r="SC5" s="3404"/>
      <c r="SD5" s="3404"/>
      <c r="SE5" s="3404"/>
      <c r="SF5" s="3404"/>
      <c r="SG5" s="3404"/>
      <c r="SH5" s="3404"/>
      <c r="SI5" s="3404"/>
      <c r="SJ5" s="3404"/>
      <c r="SK5" s="3404"/>
      <c r="SL5" s="3404"/>
      <c r="SM5" s="3404"/>
      <c r="SN5" s="3404"/>
      <c r="SO5" s="3404"/>
      <c r="SP5" s="3404"/>
      <c r="SQ5" s="3404"/>
      <c r="SR5" s="3404"/>
      <c r="SS5" s="3404"/>
      <c r="ST5" s="3404"/>
      <c r="SU5" s="3404"/>
      <c r="SV5" s="3404"/>
      <c r="SW5" s="3404"/>
      <c r="SX5" s="3404"/>
      <c r="SY5" s="3404"/>
      <c r="SZ5" s="3404"/>
      <c r="TA5" s="3404"/>
      <c r="TB5" s="3404"/>
      <c r="TC5" s="3404"/>
      <c r="TD5" s="3404"/>
      <c r="TE5" s="3404"/>
      <c r="TF5" s="3404"/>
      <c r="TG5" s="3404"/>
      <c r="TH5" s="3404"/>
      <c r="TI5" s="3404"/>
      <c r="TJ5" s="3404"/>
      <c r="TK5" s="3404"/>
      <c r="TL5" s="3404"/>
      <c r="TM5" s="3404"/>
      <c r="TN5" s="3404"/>
      <c r="TO5" s="3404"/>
      <c r="TP5" s="3404"/>
      <c r="TQ5" s="3404"/>
      <c r="TR5" s="3404"/>
      <c r="TS5" s="3404"/>
      <c r="TT5" s="3404"/>
      <c r="TU5" s="3404"/>
      <c r="TV5" s="3404"/>
      <c r="TW5" s="3404"/>
      <c r="TX5" s="3404"/>
      <c r="TY5" s="3404"/>
      <c r="TZ5" s="3404"/>
      <c r="UA5" s="3404"/>
      <c r="UB5" s="3404"/>
      <c r="UC5" s="3404"/>
      <c r="UD5" s="3404"/>
      <c r="UE5" s="3404"/>
      <c r="UF5" s="3404"/>
      <c r="UG5" s="3404"/>
      <c r="UH5" s="3404"/>
      <c r="UI5" s="3404"/>
      <c r="UJ5" s="3404"/>
      <c r="UK5" s="3404"/>
      <c r="UL5" s="3404"/>
      <c r="UM5" s="3404"/>
      <c r="UN5" s="3404"/>
      <c r="UO5" s="3404"/>
      <c r="UP5" s="3404"/>
      <c r="UQ5" s="3404"/>
      <c r="UR5" s="3404"/>
      <c r="US5" s="3404"/>
      <c r="UT5" s="3404"/>
      <c r="UU5" s="3404"/>
      <c r="UV5" s="3404"/>
      <c r="UW5" s="3404"/>
      <c r="UX5" s="3404"/>
      <c r="UY5" s="3404"/>
      <c r="UZ5" s="3404"/>
      <c r="VA5" s="3404"/>
      <c r="VB5" s="3404"/>
      <c r="VC5" s="3404"/>
      <c r="VD5" s="3404"/>
      <c r="VE5" s="3404"/>
      <c r="VF5" s="3404"/>
      <c r="VG5" s="3404"/>
      <c r="VH5" s="3404"/>
      <c r="VI5" s="3404"/>
      <c r="VJ5" s="3404"/>
      <c r="VK5" s="3404"/>
      <c r="VL5" s="3404"/>
      <c r="VM5" s="3404"/>
      <c r="VN5" s="3404"/>
      <c r="VO5" s="3404"/>
      <c r="VP5" s="3404"/>
      <c r="VQ5" s="3404"/>
      <c r="VR5" s="3404"/>
      <c r="VS5" s="3404"/>
      <c r="VT5" s="3404"/>
      <c r="VU5" s="3404"/>
      <c r="VV5" s="3404"/>
      <c r="VW5" s="3404"/>
      <c r="VX5" s="3404"/>
      <c r="VY5" s="3404"/>
      <c r="VZ5" s="3404"/>
      <c r="WA5" s="3404"/>
      <c r="WB5" s="3404"/>
      <c r="WC5" s="3404"/>
      <c r="WD5" s="3404"/>
      <c r="WE5" s="3404"/>
      <c r="WF5" s="3404"/>
      <c r="WG5" s="3404"/>
      <c r="WH5" s="3404"/>
      <c r="WI5" s="3404"/>
      <c r="WJ5" s="3404"/>
      <c r="WK5" s="3404"/>
      <c r="WL5" s="3404"/>
      <c r="WM5" s="3404"/>
      <c r="WN5" s="3404"/>
      <c r="WO5" s="3404"/>
      <c r="WP5" s="3404"/>
      <c r="WQ5" s="3404"/>
      <c r="WR5" s="3404"/>
      <c r="WS5" s="3404"/>
      <c r="WT5" s="3404"/>
      <c r="WU5" s="3404"/>
      <c r="WV5" s="3404"/>
      <c r="WW5" s="3404"/>
      <c r="WX5" s="3404"/>
      <c r="WY5" s="3404"/>
      <c r="WZ5" s="3404"/>
      <c r="XA5" s="3404"/>
      <c r="XB5" s="3404"/>
      <c r="XC5" s="3404"/>
      <c r="XD5" s="3404"/>
      <c r="XE5" s="3404"/>
      <c r="XF5" s="3404"/>
      <c r="XG5" s="3404"/>
      <c r="XH5" s="3404"/>
      <c r="XI5" s="3404"/>
      <c r="XJ5" s="3404"/>
      <c r="XK5" s="3404"/>
      <c r="XL5" s="3404"/>
      <c r="XM5" s="3404"/>
      <c r="XN5" s="3404"/>
      <c r="XO5" s="3404"/>
      <c r="XP5" s="3404"/>
      <c r="XQ5" s="3404"/>
      <c r="XR5" s="3404"/>
      <c r="XS5" s="3404"/>
      <c r="XT5" s="3404"/>
      <c r="XU5" s="3404"/>
      <c r="XV5" s="3404"/>
      <c r="XW5" s="3404"/>
      <c r="XX5" s="3404"/>
      <c r="XY5" s="3404"/>
      <c r="XZ5" s="3404"/>
      <c r="YA5" s="3404"/>
      <c r="YB5" s="3404"/>
      <c r="YC5" s="3404"/>
      <c r="YD5" s="3404"/>
      <c r="YE5" s="3404"/>
      <c r="YF5" s="3404"/>
      <c r="YG5" s="3404"/>
      <c r="YH5" s="3404"/>
      <c r="YI5" s="3404"/>
      <c r="YJ5" s="3404"/>
      <c r="YK5" s="3404"/>
      <c r="YL5" s="3404"/>
      <c r="YM5" s="3404"/>
      <c r="YN5" s="3404"/>
      <c r="YO5" s="3404"/>
      <c r="YP5" s="3404"/>
      <c r="YQ5" s="3404"/>
      <c r="YR5" s="3404"/>
      <c r="YS5" s="3404"/>
      <c r="YT5" s="3404"/>
      <c r="YU5" s="3404"/>
      <c r="YV5" s="3404"/>
      <c r="YW5" s="3404"/>
      <c r="YX5" s="3404"/>
      <c r="YY5" s="3404"/>
      <c r="YZ5" s="3404"/>
      <c r="ZA5" s="3404"/>
      <c r="ZB5" s="3404"/>
      <c r="ZC5" s="3404"/>
      <c r="ZD5" s="3404"/>
      <c r="ZE5" s="3404"/>
      <c r="ZF5" s="3404"/>
      <c r="ZG5" s="3404"/>
      <c r="ZH5" s="3404"/>
      <c r="ZI5" s="3404"/>
      <c r="ZJ5" s="3404"/>
      <c r="ZK5" s="3404"/>
      <c r="ZL5" s="3404"/>
      <c r="ZM5" s="3404"/>
      <c r="ZN5" s="3404"/>
      <c r="ZO5" s="3404"/>
      <c r="ZP5" s="3404"/>
      <c r="ZQ5" s="3404"/>
      <c r="ZR5" s="3404"/>
      <c r="ZS5" s="3404"/>
      <c r="ZT5" s="3404"/>
      <c r="ZU5" s="3404"/>
      <c r="ZV5" s="3404"/>
      <c r="ZW5" s="3404"/>
      <c r="ZX5" s="3404"/>
      <c r="ZY5" s="3404"/>
      <c r="ZZ5" s="3404"/>
      <c r="AAA5" s="3404"/>
      <c r="AAB5" s="3404"/>
      <c r="AAC5" s="3404"/>
      <c r="AAD5" s="3404"/>
      <c r="AAE5" s="3404"/>
      <c r="AAF5" s="3404"/>
      <c r="AAG5" s="3404"/>
      <c r="AAH5" s="3404"/>
      <c r="AAI5" s="3404"/>
      <c r="AAJ5" s="3404"/>
      <c r="AAK5" s="3404"/>
      <c r="AAL5" s="3404"/>
      <c r="AAM5" s="3404"/>
      <c r="AAN5" s="3404"/>
      <c r="AAO5" s="3404"/>
      <c r="AAP5" s="3404"/>
      <c r="AAQ5" s="3404"/>
      <c r="AAR5" s="3404"/>
      <c r="AAS5" s="3404"/>
      <c r="AAT5" s="3404"/>
      <c r="AAU5" s="3404"/>
      <c r="AAV5" s="3404"/>
      <c r="AAW5" s="3404"/>
      <c r="AAX5" s="3404"/>
      <c r="AAY5" s="3404"/>
      <c r="AAZ5" s="3404"/>
      <c r="ABA5" s="3404"/>
      <c r="ABB5" s="3404"/>
      <c r="ABC5" s="3404"/>
      <c r="ABD5" s="3404"/>
      <c r="ABE5" s="3404"/>
      <c r="ABF5" s="3404"/>
      <c r="ABG5" s="3404"/>
      <c r="ABH5" s="3404"/>
      <c r="ABI5" s="3404"/>
      <c r="ABJ5" s="3404"/>
      <c r="ABK5" s="3404"/>
      <c r="ABL5" s="3404"/>
      <c r="ABM5" s="3404"/>
      <c r="ABN5" s="3404"/>
      <c r="ABO5" s="3404"/>
      <c r="ABP5" s="3404"/>
      <c r="ABQ5" s="3404"/>
      <c r="ABR5" s="3404"/>
      <c r="ABS5" s="3404"/>
      <c r="ABT5" s="3404"/>
      <c r="ABU5" s="3404"/>
      <c r="ABV5" s="3404"/>
      <c r="ABW5" s="3404"/>
      <c r="ABX5" s="3404"/>
      <c r="ABY5" s="3404"/>
      <c r="ABZ5" s="3404"/>
      <c r="ACA5" s="3404"/>
      <c r="ACB5" s="3404"/>
      <c r="ACC5" s="3404"/>
      <c r="ACD5" s="3404"/>
      <c r="ACE5" s="3404"/>
      <c r="ACF5" s="3404"/>
      <c r="ACG5" s="3404"/>
      <c r="ACH5" s="3404"/>
      <c r="ACI5" s="3404"/>
      <c r="ACJ5" s="3404"/>
      <c r="ACK5" s="3404"/>
      <c r="ACL5" s="3404"/>
      <c r="ACM5" s="3404"/>
      <c r="ACN5" s="3404"/>
      <c r="ACO5" s="3404"/>
      <c r="ACP5" s="3404"/>
      <c r="ACQ5" s="3404"/>
      <c r="ACR5" s="3404"/>
      <c r="ACS5" s="3404"/>
      <c r="ACT5" s="3404"/>
      <c r="ACU5" s="3404"/>
      <c r="ACV5" s="3404"/>
      <c r="ACW5" s="3404"/>
      <c r="ACX5" s="3404"/>
      <c r="ACY5" s="3404"/>
      <c r="ACZ5" s="3404"/>
      <c r="ADA5" s="3404"/>
      <c r="ADB5" s="3404"/>
      <c r="ADC5" s="3404"/>
      <c r="ADD5" s="3404"/>
      <c r="ADE5" s="3404"/>
      <c r="ADF5" s="3404"/>
      <c r="ADG5" s="3404"/>
      <c r="ADH5" s="3404"/>
      <c r="ADI5" s="3404"/>
      <c r="ADJ5" s="3404"/>
      <c r="ADK5" s="3404"/>
      <c r="ADL5" s="3404"/>
      <c r="ADM5" s="3404"/>
      <c r="ADN5" s="3404"/>
      <c r="ADO5" s="3404"/>
      <c r="ADP5" s="3404"/>
      <c r="ADQ5" s="3404"/>
      <c r="ADR5" s="3404"/>
      <c r="ADS5" s="3404"/>
      <c r="ADT5" s="3404"/>
      <c r="ADU5" s="3404"/>
      <c r="ADV5" s="3404"/>
      <c r="ADW5" s="3404"/>
      <c r="ADX5" s="3404"/>
      <c r="ADY5" s="3404"/>
      <c r="ADZ5" s="3404"/>
      <c r="AEA5" s="3404"/>
      <c r="AEB5" s="3404"/>
      <c r="AEC5" s="3404"/>
      <c r="AED5" s="3404"/>
      <c r="AEE5" s="3404"/>
      <c r="AEF5" s="3404"/>
      <c r="AEG5" s="3404"/>
      <c r="AEH5" s="3404"/>
      <c r="AEI5" s="3404"/>
      <c r="AEJ5" s="3404"/>
      <c r="AEK5" s="3404"/>
      <c r="AEL5" s="3404"/>
      <c r="AEM5" s="3404"/>
      <c r="AEN5" s="3404"/>
      <c r="AEO5" s="3404"/>
      <c r="AEP5" s="3404"/>
      <c r="AEQ5" s="3404"/>
      <c r="AER5" s="3404"/>
      <c r="AES5" s="3404"/>
      <c r="AET5" s="3404"/>
      <c r="AEU5" s="3404"/>
      <c r="AEV5" s="3404"/>
      <c r="AEW5" s="3404"/>
      <c r="AEX5" s="3404"/>
      <c r="AEY5" s="3404"/>
      <c r="AEZ5" s="3404"/>
      <c r="AFA5" s="3404"/>
      <c r="AFB5" s="3404"/>
      <c r="AFC5" s="3404"/>
      <c r="AFD5" s="3404"/>
      <c r="AFE5" s="3404"/>
      <c r="AFF5" s="3404"/>
      <c r="AFG5" s="3404"/>
      <c r="AFH5" s="3404"/>
      <c r="AFI5" s="3404"/>
      <c r="AFJ5" s="3404"/>
      <c r="AFK5" s="3404"/>
      <c r="AFL5" s="3404"/>
      <c r="AFM5" s="3404"/>
      <c r="AFN5" s="3404"/>
      <c r="AFO5" s="3404"/>
      <c r="AFP5" s="3404"/>
      <c r="AFQ5" s="3404"/>
      <c r="AFR5" s="3404"/>
      <c r="AFS5" s="3404"/>
      <c r="AFT5" s="3404"/>
      <c r="AFU5" s="3404"/>
      <c r="AFV5" s="3404"/>
      <c r="AFW5" s="3404"/>
      <c r="AFX5" s="3404"/>
      <c r="AFY5" s="3404"/>
      <c r="AFZ5" s="3404"/>
      <c r="AGA5" s="3404"/>
      <c r="AGB5" s="3404"/>
      <c r="AGC5" s="3404"/>
      <c r="AGD5" s="3404"/>
      <c r="AGE5" s="3404"/>
      <c r="AGF5" s="3404"/>
      <c r="AGG5" s="3404"/>
      <c r="AGH5" s="3404"/>
      <c r="AGI5" s="3404"/>
      <c r="AGJ5" s="3404"/>
      <c r="AGK5" s="3404"/>
      <c r="AGL5" s="3404"/>
      <c r="AGM5" s="3404"/>
      <c r="AGN5" s="3404"/>
      <c r="AGO5" s="3404"/>
      <c r="AGP5" s="3404"/>
      <c r="AGQ5" s="3404"/>
      <c r="AGR5" s="3404"/>
      <c r="AGS5" s="3404"/>
      <c r="AGT5" s="3404"/>
      <c r="AGU5" s="3404"/>
      <c r="AGV5" s="3404"/>
      <c r="AGW5" s="3404"/>
      <c r="AGX5" s="3404"/>
      <c r="AGY5" s="3404"/>
      <c r="AGZ5" s="3404"/>
      <c r="AHA5" s="3404"/>
      <c r="AHB5" s="3404"/>
      <c r="AHC5" s="3404"/>
      <c r="AHD5" s="3404"/>
      <c r="AHE5" s="3404"/>
      <c r="AHF5" s="3404"/>
      <c r="AHG5" s="3404"/>
      <c r="AHH5" s="3404"/>
      <c r="AHI5" s="3404"/>
      <c r="AHJ5" s="3404"/>
      <c r="AHK5" s="3404"/>
      <c r="AHL5" s="3404"/>
      <c r="AHM5" s="3404"/>
      <c r="AHN5" s="3404"/>
      <c r="AHO5" s="3404"/>
      <c r="AHP5" s="3404"/>
      <c r="AHQ5" s="3404"/>
      <c r="AHR5" s="3404"/>
      <c r="AHS5" s="3404"/>
      <c r="AHT5" s="3404"/>
      <c r="AHU5" s="3404"/>
      <c r="AHV5" s="3404"/>
      <c r="AHW5" s="3404"/>
      <c r="AHX5" s="3404"/>
      <c r="AHY5" s="3404"/>
      <c r="AHZ5" s="3404"/>
      <c r="AIA5" s="3404"/>
      <c r="AIB5" s="3404"/>
      <c r="AIC5" s="3404"/>
      <c r="AID5" s="3404"/>
      <c r="AIE5" s="3404"/>
      <c r="AIF5" s="3404"/>
      <c r="AIG5" s="3404"/>
      <c r="AIH5" s="3404"/>
      <c r="AII5" s="3404"/>
      <c r="AIJ5" s="3404"/>
      <c r="AIK5" s="3404"/>
      <c r="AIL5" s="3404"/>
      <c r="AIM5" s="3404"/>
      <c r="AIN5" s="3404"/>
      <c r="AIO5" s="3404"/>
      <c r="AIP5" s="3404"/>
      <c r="AIQ5" s="3404"/>
      <c r="AIR5" s="3404"/>
      <c r="AIS5" s="3404"/>
      <c r="AIT5" s="3404"/>
      <c r="AIU5" s="3404"/>
      <c r="AIV5" s="3404"/>
      <c r="AIW5" s="3404"/>
      <c r="AIX5" s="3404"/>
      <c r="AIY5" s="3404"/>
      <c r="AIZ5" s="3404"/>
      <c r="AJA5" s="3404"/>
      <c r="AJB5" s="3404"/>
      <c r="AJC5" s="3404"/>
      <c r="AJD5" s="3404"/>
      <c r="AJE5" s="3404"/>
      <c r="AJF5" s="3404"/>
      <c r="AJG5" s="3404"/>
      <c r="AJH5" s="3404"/>
      <c r="AJI5" s="3404"/>
      <c r="AJJ5" s="3404"/>
      <c r="AJK5" s="3404"/>
      <c r="AJL5" s="3404"/>
      <c r="AJM5" s="3404"/>
      <c r="AJN5" s="3404"/>
      <c r="AJO5" s="3404"/>
      <c r="AJP5" s="3404"/>
      <c r="AJQ5" s="3404"/>
      <c r="AJR5" s="3404"/>
      <c r="AJS5" s="3404"/>
      <c r="AJT5" s="3404"/>
      <c r="AJU5" s="3404"/>
      <c r="AJV5" s="3404"/>
      <c r="AJW5" s="3404"/>
      <c r="AJX5" s="3404"/>
      <c r="AJY5" s="3404"/>
      <c r="AJZ5" s="3404"/>
      <c r="AKA5" s="3404"/>
      <c r="AKB5" s="3404"/>
      <c r="AKC5" s="3404"/>
      <c r="AKD5" s="3404"/>
      <c r="AKE5" s="3404"/>
      <c r="AKF5" s="3404"/>
      <c r="AKG5" s="3404"/>
      <c r="AKH5" s="3404"/>
      <c r="AKI5" s="3404"/>
      <c r="AKJ5" s="3404"/>
      <c r="AKK5" s="3404"/>
      <c r="AKL5" s="3404"/>
      <c r="AKM5" s="3404"/>
      <c r="AKN5" s="3404"/>
      <c r="AKO5" s="3404"/>
      <c r="AKP5" s="3404"/>
      <c r="AKQ5" s="3404"/>
      <c r="AKR5" s="3404"/>
      <c r="AKS5" s="3404"/>
      <c r="AKT5" s="3404"/>
      <c r="AKU5" s="3404"/>
      <c r="AKV5" s="3404"/>
      <c r="AKW5" s="3404"/>
      <c r="AKX5" s="3404"/>
      <c r="AKY5" s="3404"/>
      <c r="AKZ5" s="3404"/>
      <c r="ALA5" s="3404"/>
      <c r="ALB5" s="3404"/>
      <c r="ALC5" s="3404"/>
      <c r="ALD5" s="3404"/>
      <c r="ALE5" s="3404"/>
      <c r="ALF5" s="3404"/>
      <c r="ALG5" s="3404"/>
      <c r="ALH5" s="3404"/>
      <c r="ALI5" s="3404"/>
      <c r="ALJ5" s="3404"/>
      <c r="ALK5" s="3404"/>
      <c r="ALL5" s="3404"/>
      <c r="ALM5" s="3404"/>
      <c r="ALN5" s="3404"/>
      <c r="ALO5" s="3404"/>
      <c r="ALP5" s="3404"/>
      <c r="ALQ5" s="3404"/>
      <c r="ALR5" s="3404"/>
      <c r="ALS5" s="3404"/>
      <c r="ALT5" s="3404"/>
      <c r="ALU5" s="3404"/>
      <c r="ALV5" s="3404"/>
      <c r="ALW5" s="3404"/>
      <c r="ALX5" s="3404"/>
      <c r="ALY5" s="3404"/>
      <c r="ALZ5" s="3404"/>
      <c r="AMA5" s="3404"/>
      <c r="AMB5" s="3404"/>
      <c r="AMC5" s="3404"/>
      <c r="AMD5" s="3404"/>
      <c r="AME5" s="3404"/>
      <c r="AMF5" s="3404"/>
      <c r="AMG5" s="3404"/>
      <c r="AMH5" s="3404"/>
      <c r="AMI5" s="3404"/>
      <c r="AMJ5" s="3404"/>
      <c r="AMK5" s="3404"/>
      <c r="AML5" s="3404"/>
      <c r="AMM5" s="3404"/>
      <c r="AMN5" s="3404"/>
      <c r="AMO5" s="3404"/>
      <c r="AMP5" s="3404"/>
      <c r="AMQ5" s="3404"/>
      <c r="AMR5" s="3404"/>
      <c r="AMS5" s="3404"/>
      <c r="AMT5" s="3404"/>
      <c r="AMU5" s="3404"/>
      <c r="AMV5" s="3404"/>
      <c r="AMW5" s="3404"/>
      <c r="AMX5" s="3404"/>
      <c r="AMY5" s="3404"/>
      <c r="AMZ5" s="3404"/>
      <c r="ANA5" s="3404"/>
      <c r="ANB5" s="3404"/>
      <c r="ANC5" s="3404"/>
      <c r="AND5" s="3404"/>
      <c r="ANE5" s="3404"/>
      <c r="ANF5" s="3404"/>
      <c r="ANG5" s="3404"/>
      <c r="ANH5" s="3404"/>
      <c r="ANI5" s="3404"/>
      <c r="ANJ5" s="3404"/>
      <c r="ANK5" s="3404"/>
      <c r="ANL5" s="3404"/>
      <c r="ANM5" s="3404"/>
      <c r="ANN5" s="3404"/>
      <c r="ANO5" s="3404"/>
      <c r="ANP5" s="3404"/>
      <c r="ANQ5" s="3404"/>
      <c r="ANR5" s="3404"/>
      <c r="ANS5" s="3404"/>
      <c r="ANT5" s="3404"/>
      <c r="ANU5" s="3404"/>
      <c r="ANV5" s="3404"/>
      <c r="ANW5" s="3404"/>
      <c r="ANX5" s="3404"/>
      <c r="ANY5" s="3404"/>
      <c r="ANZ5" s="3404"/>
      <c r="AOA5" s="3404"/>
      <c r="AOB5" s="3404"/>
      <c r="AOC5" s="3404"/>
      <c r="AOD5" s="3404"/>
      <c r="AOE5" s="3404"/>
      <c r="AOF5" s="3404"/>
      <c r="AOG5" s="3404"/>
      <c r="AOH5" s="3404"/>
      <c r="AOI5" s="3404"/>
      <c r="AOJ5" s="3404"/>
      <c r="AOK5" s="3404"/>
      <c r="AOL5" s="3404"/>
      <c r="AOM5" s="3404"/>
      <c r="AON5" s="3404"/>
      <c r="AOO5" s="3404"/>
      <c r="AOP5" s="3404"/>
      <c r="AOQ5" s="3404"/>
      <c r="AOR5" s="3404"/>
      <c r="AOS5" s="3404"/>
      <c r="AOT5" s="3404"/>
      <c r="AOU5" s="3404"/>
      <c r="AOV5" s="3404"/>
      <c r="AOW5" s="3404"/>
      <c r="AOX5" s="3404"/>
      <c r="AOY5" s="3404"/>
      <c r="AOZ5" s="3404"/>
      <c r="APA5" s="3404"/>
      <c r="APB5" s="3404"/>
      <c r="APC5" s="3404"/>
      <c r="APD5" s="3404"/>
      <c r="APE5" s="3404"/>
      <c r="APF5" s="3404"/>
      <c r="APG5" s="3404"/>
      <c r="APH5" s="3404"/>
      <c r="API5" s="3404"/>
      <c r="APJ5" s="3404"/>
      <c r="APK5" s="3404"/>
      <c r="APL5" s="3404"/>
      <c r="APM5" s="3404"/>
      <c r="APN5" s="3404"/>
      <c r="APO5" s="3404"/>
      <c r="APP5" s="3404"/>
      <c r="APQ5" s="3404"/>
      <c r="APR5" s="3404"/>
      <c r="APS5" s="3404"/>
      <c r="APT5" s="3404"/>
      <c r="APU5" s="3404"/>
      <c r="APV5" s="3404"/>
      <c r="APW5" s="3404"/>
      <c r="APX5" s="3404"/>
      <c r="APY5" s="3404"/>
      <c r="APZ5" s="3404"/>
      <c r="AQA5" s="3404"/>
      <c r="AQB5" s="3404"/>
      <c r="AQC5" s="3404"/>
      <c r="AQD5" s="3404"/>
      <c r="AQE5" s="3404"/>
      <c r="AQF5" s="3404"/>
      <c r="AQG5" s="3404"/>
      <c r="AQH5" s="3404"/>
      <c r="AQI5" s="3404"/>
      <c r="AQJ5" s="3404"/>
      <c r="AQK5" s="3404"/>
      <c r="AQL5" s="3404"/>
      <c r="AQM5" s="3404"/>
      <c r="AQN5" s="3404"/>
      <c r="AQO5" s="3404"/>
      <c r="AQP5" s="3404"/>
      <c r="AQQ5" s="3404"/>
      <c r="AQR5" s="3404"/>
      <c r="AQS5" s="3404"/>
      <c r="AQT5" s="3404"/>
      <c r="AQU5" s="3404"/>
      <c r="AQV5" s="3404"/>
      <c r="AQW5" s="3404"/>
      <c r="AQX5" s="3404"/>
      <c r="AQY5" s="3404"/>
      <c r="AQZ5" s="3404"/>
      <c r="ARA5" s="3404"/>
      <c r="ARB5" s="3404"/>
      <c r="ARC5" s="3404"/>
      <c r="ARD5" s="3404"/>
      <c r="ARE5" s="3404"/>
      <c r="ARF5" s="3404"/>
      <c r="ARG5" s="3404"/>
      <c r="ARH5" s="3404"/>
      <c r="ARI5" s="3404"/>
      <c r="ARJ5" s="3404"/>
      <c r="ARK5" s="3404"/>
      <c r="ARL5" s="3404"/>
      <c r="ARM5" s="3404"/>
      <c r="ARN5" s="3404"/>
      <c r="ARO5" s="3404"/>
      <c r="ARP5" s="3404"/>
      <c r="ARQ5" s="3404"/>
      <c r="ARR5" s="3404"/>
      <c r="ARS5" s="3404"/>
      <c r="ART5" s="3404"/>
      <c r="ARU5" s="3404"/>
      <c r="ARV5" s="3404"/>
      <c r="ARW5" s="3404"/>
      <c r="ARX5" s="3404"/>
      <c r="ARY5" s="3404"/>
      <c r="ARZ5" s="3404"/>
      <c r="ASA5" s="3404"/>
      <c r="ASB5" s="3404"/>
      <c r="ASC5" s="3404"/>
      <c r="ASD5" s="3404"/>
      <c r="ASE5" s="3404"/>
      <c r="ASF5" s="3404"/>
      <c r="ASG5" s="3404"/>
      <c r="ASH5" s="3404"/>
      <c r="ASI5" s="3404"/>
      <c r="ASJ5" s="3404"/>
      <c r="ASK5" s="3404"/>
      <c r="ASL5" s="3404"/>
      <c r="ASM5" s="3404"/>
      <c r="ASN5" s="3404"/>
      <c r="ASO5" s="3404"/>
      <c r="ASP5" s="3404"/>
      <c r="ASQ5" s="3404"/>
      <c r="ASR5" s="3404"/>
      <c r="ASS5" s="3404"/>
      <c r="AST5" s="3404"/>
      <c r="ASU5" s="3404"/>
      <c r="ASV5" s="3404"/>
      <c r="ASW5" s="3404"/>
      <c r="ASX5" s="3404"/>
      <c r="ASY5" s="3404"/>
      <c r="ASZ5" s="3404"/>
      <c r="ATA5" s="3404"/>
      <c r="ATB5" s="3404"/>
      <c r="ATC5" s="3404"/>
      <c r="ATD5" s="3404"/>
      <c r="ATE5" s="3404"/>
      <c r="ATF5" s="3404"/>
      <c r="ATG5" s="3404"/>
      <c r="ATH5" s="3404"/>
      <c r="ATI5" s="3404"/>
      <c r="ATJ5" s="3404"/>
      <c r="ATK5" s="3404"/>
      <c r="ATL5" s="3404"/>
      <c r="ATM5" s="3404"/>
      <c r="ATN5" s="3404"/>
      <c r="ATO5" s="3404"/>
      <c r="ATP5" s="3404"/>
      <c r="ATQ5" s="3404"/>
      <c r="ATR5" s="3404"/>
      <c r="ATS5" s="3404"/>
      <c r="ATT5" s="3404"/>
      <c r="ATU5" s="3404"/>
      <c r="ATV5" s="3404"/>
      <c r="ATW5" s="3404"/>
      <c r="ATX5" s="3404"/>
      <c r="ATY5" s="3404"/>
      <c r="ATZ5" s="3404"/>
      <c r="AUA5" s="3404"/>
      <c r="AUB5" s="3404"/>
      <c r="AUC5" s="3404"/>
      <c r="AUD5" s="3404"/>
      <c r="AUE5" s="3404"/>
      <c r="AUF5" s="3404"/>
      <c r="AUG5" s="3404"/>
      <c r="AUH5" s="3404"/>
      <c r="AUI5" s="3404"/>
      <c r="AUJ5" s="3404"/>
      <c r="AUK5" s="3404"/>
      <c r="AUL5" s="3404"/>
      <c r="AUM5" s="3404"/>
      <c r="AUN5" s="3404"/>
      <c r="AUO5" s="3404"/>
      <c r="AUP5" s="3404"/>
      <c r="AUQ5" s="3404"/>
      <c r="AUR5" s="3404"/>
      <c r="AUS5" s="3404"/>
      <c r="AUT5" s="3404"/>
      <c r="AUU5" s="3404"/>
      <c r="AUV5" s="3404"/>
      <c r="AUW5" s="3404"/>
      <c r="AUX5" s="3404"/>
      <c r="AUY5" s="3404"/>
      <c r="AUZ5" s="3404"/>
      <c r="AVA5" s="3404"/>
      <c r="AVB5" s="3404"/>
      <c r="AVC5" s="3404"/>
      <c r="AVD5" s="3404"/>
      <c r="AVE5" s="3404"/>
      <c r="AVF5" s="3404"/>
      <c r="AVG5" s="3404"/>
      <c r="AVH5" s="3404"/>
      <c r="AVI5" s="3404"/>
      <c r="AVJ5" s="3404"/>
      <c r="AVK5" s="3404"/>
      <c r="AVL5" s="3404"/>
      <c r="AVM5" s="3404"/>
      <c r="AVN5" s="3404"/>
      <c r="AVO5" s="3404"/>
      <c r="AVP5" s="3404"/>
      <c r="AVQ5" s="3404"/>
      <c r="AVR5" s="3404"/>
      <c r="AVS5" s="3404"/>
      <c r="AVT5" s="3404"/>
      <c r="AVU5" s="3404"/>
      <c r="AVV5" s="3404"/>
      <c r="AVW5" s="3404"/>
      <c r="AVX5" s="3404"/>
      <c r="AVY5" s="3404"/>
      <c r="AVZ5" s="3404"/>
      <c r="AWA5" s="3404"/>
      <c r="AWB5" s="3404"/>
      <c r="AWC5" s="3404"/>
      <c r="AWD5" s="3404"/>
      <c r="AWE5" s="3404"/>
      <c r="AWF5" s="3404"/>
      <c r="AWG5" s="3404"/>
      <c r="AWH5" s="3404"/>
      <c r="AWI5" s="3404"/>
      <c r="AWJ5" s="3404"/>
      <c r="AWK5" s="3404"/>
      <c r="AWL5" s="3404"/>
      <c r="AWM5" s="3404"/>
      <c r="AWN5" s="3404"/>
      <c r="AWO5" s="3404"/>
      <c r="AWP5" s="3404"/>
      <c r="AWQ5" s="3404"/>
      <c r="AWR5" s="3404"/>
      <c r="AWS5" s="3404"/>
      <c r="AWT5" s="3404"/>
      <c r="AWU5" s="3404"/>
      <c r="AWV5" s="3404"/>
      <c r="AWW5" s="3404"/>
      <c r="AWX5" s="3404"/>
      <c r="AWY5" s="3404"/>
      <c r="AWZ5" s="3404"/>
      <c r="AXA5" s="3404"/>
      <c r="AXB5" s="3404"/>
      <c r="AXC5" s="3404"/>
      <c r="AXD5" s="3404"/>
      <c r="AXE5" s="3404"/>
      <c r="AXF5" s="3404"/>
      <c r="AXG5" s="3404"/>
      <c r="AXH5" s="3404"/>
      <c r="AXI5" s="3404"/>
      <c r="AXJ5" s="3404"/>
      <c r="AXK5" s="3404"/>
      <c r="AXL5" s="3404"/>
      <c r="AXM5" s="3404"/>
      <c r="AXN5" s="3404"/>
      <c r="AXO5" s="3404"/>
      <c r="AXP5" s="3404"/>
      <c r="AXQ5" s="3404"/>
      <c r="AXR5" s="3404"/>
      <c r="AXS5" s="3404"/>
      <c r="AXT5" s="3404"/>
      <c r="AXU5" s="3404"/>
      <c r="AXV5" s="3404"/>
      <c r="AXW5" s="3404"/>
      <c r="AXX5" s="3404"/>
      <c r="AXY5" s="3404"/>
      <c r="AXZ5" s="3404"/>
      <c r="AYA5" s="3404"/>
      <c r="AYB5" s="3404"/>
      <c r="AYC5" s="3404"/>
      <c r="AYD5" s="3404"/>
      <c r="AYE5" s="3404"/>
      <c r="AYF5" s="3404"/>
      <c r="AYG5" s="3404"/>
      <c r="AYH5" s="3404"/>
      <c r="AYI5" s="3404"/>
      <c r="AYJ5" s="3404"/>
      <c r="AYK5" s="3404"/>
      <c r="AYL5" s="3404"/>
      <c r="AYM5" s="3404"/>
      <c r="AYN5" s="3404"/>
      <c r="AYO5" s="3404"/>
      <c r="AYP5" s="3404"/>
      <c r="AYQ5" s="3404"/>
      <c r="AYR5" s="3404"/>
      <c r="AYS5" s="3404"/>
      <c r="AYT5" s="3404"/>
      <c r="AYU5" s="3404"/>
      <c r="AYV5" s="3404"/>
      <c r="AYW5" s="3404"/>
      <c r="AYX5" s="3404"/>
      <c r="AYY5" s="3404"/>
      <c r="AYZ5" s="3404"/>
      <c r="AZA5" s="3404"/>
      <c r="AZB5" s="3404"/>
      <c r="AZC5" s="3404"/>
      <c r="AZD5" s="3404"/>
      <c r="AZE5" s="3404"/>
      <c r="AZF5" s="3404"/>
      <c r="AZG5" s="3404"/>
      <c r="AZH5" s="3404"/>
      <c r="AZI5" s="3404"/>
      <c r="AZJ5" s="3404"/>
      <c r="AZK5" s="3404"/>
      <c r="AZL5" s="3404"/>
      <c r="AZM5" s="3404"/>
      <c r="AZN5" s="3404"/>
      <c r="AZO5" s="3404"/>
      <c r="AZP5" s="3404"/>
      <c r="AZQ5" s="3404"/>
      <c r="AZR5" s="3404"/>
      <c r="AZS5" s="3404"/>
      <c r="AZT5" s="3404"/>
      <c r="AZU5" s="3404"/>
      <c r="AZV5" s="3404"/>
      <c r="AZW5" s="3404"/>
      <c r="AZX5" s="3404"/>
      <c r="AZY5" s="3404"/>
      <c r="AZZ5" s="3404"/>
      <c r="BAA5" s="3404"/>
      <c r="BAB5" s="3404"/>
      <c r="BAC5" s="3404"/>
      <c r="BAD5" s="3404"/>
      <c r="BAE5" s="3404"/>
      <c r="BAF5" s="3404"/>
      <c r="BAG5" s="3404"/>
      <c r="BAH5" s="3404"/>
      <c r="BAI5" s="3404"/>
      <c r="BAJ5" s="3404"/>
      <c r="BAK5" s="3404"/>
      <c r="BAL5" s="3404"/>
      <c r="BAM5" s="3404"/>
      <c r="BAN5" s="3404"/>
      <c r="BAO5" s="3404"/>
      <c r="BAP5" s="3404"/>
      <c r="BAQ5" s="3404"/>
      <c r="BAR5" s="3404"/>
      <c r="BAS5" s="3404"/>
      <c r="BAT5" s="3404"/>
      <c r="BAU5" s="3404"/>
      <c r="BAV5" s="3404"/>
      <c r="BAW5" s="3404"/>
      <c r="BAX5" s="3404"/>
      <c r="BAY5" s="3404"/>
      <c r="BAZ5" s="3404"/>
      <c r="BBA5" s="3404"/>
      <c r="BBB5" s="3404"/>
      <c r="BBC5" s="3404"/>
      <c r="BBD5" s="3404"/>
      <c r="BBE5" s="3404"/>
      <c r="BBF5" s="3404"/>
      <c r="BBG5" s="3404"/>
      <c r="BBH5" s="3404"/>
      <c r="BBI5" s="3404"/>
      <c r="BBJ5" s="3404"/>
      <c r="BBK5" s="3404"/>
      <c r="BBL5" s="3404"/>
      <c r="BBM5" s="3404"/>
      <c r="BBN5" s="3404"/>
      <c r="BBO5" s="3404"/>
      <c r="BBP5" s="3404"/>
      <c r="BBQ5" s="3404"/>
      <c r="BBR5" s="3404"/>
      <c r="BBS5" s="3404"/>
      <c r="BBT5" s="3404"/>
      <c r="BBU5" s="3404"/>
      <c r="BBV5" s="3404"/>
      <c r="BBW5" s="3404"/>
      <c r="BBX5" s="3404"/>
      <c r="BBY5" s="3404"/>
      <c r="BBZ5" s="3404"/>
      <c r="BCA5" s="3404"/>
      <c r="BCB5" s="3404"/>
      <c r="BCC5" s="3404"/>
      <c r="BCD5" s="3404"/>
      <c r="BCE5" s="3404"/>
      <c r="BCF5" s="3404"/>
      <c r="BCG5" s="3404"/>
      <c r="BCH5" s="3404"/>
      <c r="BCI5" s="3404"/>
      <c r="BCJ5" s="3404"/>
      <c r="BCK5" s="3404"/>
      <c r="BCL5" s="3404"/>
      <c r="BCM5" s="3404"/>
      <c r="BCN5" s="3404"/>
      <c r="BCO5" s="3404"/>
      <c r="BCP5" s="3404"/>
      <c r="BCQ5" s="3404"/>
      <c r="BCR5" s="3404"/>
      <c r="BCS5" s="3404"/>
      <c r="BCT5" s="3404"/>
      <c r="BCU5" s="3404"/>
      <c r="BCV5" s="3404"/>
      <c r="BCW5" s="3404"/>
      <c r="BCX5" s="3404"/>
      <c r="BCY5" s="3404"/>
      <c r="BCZ5" s="3404"/>
      <c r="BDA5" s="3404"/>
      <c r="BDB5" s="3404"/>
      <c r="BDC5" s="3404"/>
      <c r="BDD5" s="3404"/>
      <c r="BDE5" s="3404"/>
      <c r="BDF5" s="3404"/>
      <c r="BDG5" s="3404"/>
      <c r="BDH5" s="3404"/>
      <c r="BDI5" s="3404"/>
      <c r="BDJ5" s="3404"/>
      <c r="BDK5" s="3404"/>
      <c r="BDL5" s="3404"/>
      <c r="BDM5" s="3404"/>
      <c r="BDN5" s="3404"/>
      <c r="BDO5" s="3404"/>
      <c r="BDP5" s="3404"/>
      <c r="BDQ5" s="3404"/>
      <c r="BDR5" s="3404"/>
      <c r="BDS5" s="3404"/>
      <c r="BDT5" s="3404"/>
      <c r="BDU5" s="3404"/>
      <c r="BDV5" s="3404"/>
      <c r="BDW5" s="3404"/>
      <c r="BDX5" s="3404"/>
      <c r="BDY5" s="3404"/>
      <c r="BDZ5" s="3404"/>
      <c r="BEA5" s="3404"/>
      <c r="BEB5" s="3404"/>
      <c r="BEC5" s="3404"/>
      <c r="BED5" s="3404"/>
      <c r="BEE5" s="3404"/>
      <c r="BEF5" s="3404"/>
      <c r="BEG5" s="3404"/>
      <c r="BEH5" s="3404"/>
      <c r="BEI5" s="3404"/>
      <c r="BEJ5" s="3404"/>
      <c r="BEK5" s="3404"/>
      <c r="BEL5" s="3404"/>
      <c r="BEM5" s="3404"/>
      <c r="BEN5" s="3404"/>
      <c r="BEO5" s="3404"/>
      <c r="BEP5" s="3404"/>
      <c r="BEQ5" s="3404"/>
      <c r="BER5" s="3404"/>
      <c r="BES5" s="3404"/>
      <c r="BET5" s="3404"/>
      <c r="BEU5" s="3404"/>
      <c r="BEV5" s="3404"/>
      <c r="BEW5" s="3404"/>
      <c r="BEX5" s="3404"/>
      <c r="BEY5" s="3404"/>
      <c r="BEZ5" s="3404"/>
      <c r="BFA5" s="3404"/>
      <c r="BFB5" s="3404"/>
      <c r="BFC5" s="3404"/>
      <c r="BFD5" s="3404"/>
      <c r="BFE5" s="3404"/>
      <c r="BFF5" s="3404"/>
      <c r="BFG5" s="3404"/>
      <c r="BFH5" s="3404"/>
      <c r="BFI5" s="3404"/>
      <c r="BFJ5" s="3404"/>
      <c r="BFK5" s="3404"/>
      <c r="BFL5" s="3404"/>
      <c r="BFM5" s="3404"/>
      <c r="BFN5" s="3404"/>
      <c r="BFO5" s="3404"/>
      <c r="BFP5" s="3404"/>
      <c r="BFQ5" s="3404"/>
      <c r="BFR5" s="3404"/>
      <c r="BFS5" s="3404"/>
      <c r="BFT5" s="3404"/>
      <c r="BFU5" s="3404"/>
      <c r="BFV5" s="3404"/>
      <c r="BFW5" s="3404"/>
      <c r="BFX5" s="3404"/>
      <c r="BFY5" s="3404"/>
      <c r="BFZ5" s="3404"/>
      <c r="BGA5" s="3404"/>
      <c r="BGB5" s="3404"/>
      <c r="BGC5" s="3404"/>
      <c r="BGD5" s="3404"/>
      <c r="BGE5" s="3404"/>
      <c r="BGF5" s="3404"/>
      <c r="BGG5" s="3404"/>
      <c r="BGH5" s="3404"/>
      <c r="BGI5" s="3404"/>
      <c r="BGJ5" s="3404"/>
      <c r="BGK5" s="3404"/>
      <c r="BGL5" s="3404"/>
      <c r="BGM5" s="3404"/>
      <c r="BGN5" s="3404"/>
      <c r="BGO5" s="3404"/>
      <c r="BGP5" s="3404"/>
      <c r="BGQ5" s="3404"/>
      <c r="BGR5" s="3404"/>
      <c r="BGS5" s="3404"/>
      <c r="BGT5" s="3404"/>
      <c r="BGU5" s="3404"/>
      <c r="BGV5" s="3404"/>
      <c r="BGW5" s="3404"/>
      <c r="BGX5" s="3404"/>
      <c r="BGY5" s="3404"/>
      <c r="BGZ5" s="3404"/>
      <c r="BHA5" s="3404"/>
      <c r="BHB5" s="3404"/>
      <c r="BHC5" s="3404"/>
      <c r="BHD5" s="3404"/>
      <c r="BHE5" s="3404"/>
      <c r="BHF5" s="3404"/>
      <c r="BHG5" s="3404"/>
      <c r="BHH5" s="3404"/>
      <c r="BHI5" s="3404"/>
      <c r="BHJ5" s="3404"/>
      <c r="BHK5" s="3404"/>
      <c r="BHL5" s="3404"/>
      <c r="BHM5" s="3404"/>
      <c r="BHN5" s="3404"/>
      <c r="BHO5" s="3404"/>
      <c r="BHP5" s="3404"/>
      <c r="BHQ5" s="3404"/>
      <c r="BHR5" s="3404"/>
      <c r="BHS5" s="3404"/>
      <c r="BHT5" s="3404"/>
      <c r="BHU5" s="3404"/>
      <c r="BHV5" s="3404"/>
      <c r="BHW5" s="3404"/>
      <c r="BHX5" s="3404"/>
      <c r="BHY5" s="3404"/>
      <c r="BHZ5" s="3404"/>
      <c r="BIA5" s="3404"/>
      <c r="BIB5" s="3404"/>
      <c r="BIC5" s="3404"/>
      <c r="BID5" s="3404"/>
      <c r="BIE5" s="3404"/>
      <c r="BIF5" s="3404"/>
      <c r="BIG5" s="3404"/>
      <c r="BIH5" s="3404"/>
      <c r="BII5" s="3404"/>
      <c r="BIJ5" s="3404"/>
      <c r="BIK5" s="3404"/>
      <c r="BIL5" s="3404"/>
      <c r="BIM5" s="3404"/>
      <c r="BIN5" s="3404"/>
      <c r="BIO5" s="3404"/>
      <c r="BIP5" s="3404"/>
      <c r="BIQ5" s="3404"/>
      <c r="BIR5" s="3404"/>
      <c r="BIS5" s="3404"/>
      <c r="BIT5" s="3404"/>
      <c r="BIU5" s="3404"/>
      <c r="BIV5" s="3404"/>
      <c r="BIW5" s="3404"/>
      <c r="BIX5" s="3404"/>
      <c r="BIY5" s="3404"/>
      <c r="BIZ5" s="3404"/>
      <c r="BJA5" s="3404"/>
      <c r="BJB5" s="3404"/>
      <c r="BJC5" s="3404"/>
      <c r="BJD5" s="3404"/>
      <c r="BJE5" s="3404"/>
      <c r="BJF5" s="3404"/>
      <c r="BJG5" s="3404"/>
      <c r="BJH5" s="3404"/>
      <c r="BJI5" s="3404"/>
      <c r="BJJ5" s="3404"/>
      <c r="BJK5" s="3404"/>
      <c r="BJL5" s="3404"/>
      <c r="BJM5" s="3404"/>
      <c r="BJN5" s="3404"/>
      <c r="BJO5" s="3404"/>
      <c r="BJP5" s="3404"/>
      <c r="BJQ5" s="3404"/>
      <c r="BJR5" s="3404"/>
      <c r="BJS5" s="3404"/>
      <c r="BJT5" s="3404"/>
      <c r="BJU5" s="3404"/>
      <c r="BJV5" s="3404"/>
      <c r="BJW5" s="3404"/>
      <c r="BJX5" s="3404"/>
      <c r="BJY5" s="3404"/>
      <c r="BJZ5" s="3404"/>
      <c r="BKA5" s="3404"/>
      <c r="BKB5" s="3404"/>
      <c r="BKC5" s="3404"/>
      <c r="BKD5" s="3404"/>
      <c r="BKE5" s="3404"/>
      <c r="BKF5" s="3404"/>
      <c r="BKG5" s="3404"/>
      <c r="BKH5" s="3404"/>
      <c r="BKI5" s="3404"/>
      <c r="BKJ5" s="3404"/>
      <c r="BKK5" s="3404"/>
      <c r="BKL5" s="3404"/>
      <c r="BKM5" s="3404"/>
      <c r="BKN5" s="3404"/>
      <c r="BKO5" s="3404"/>
      <c r="BKP5" s="3404"/>
      <c r="BKQ5" s="3404"/>
      <c r="BKR5" s="3404"/>
      <c r="BKS5" s="3404"/>
      <c r="BKT5" s="3404"/>
      <c r="BKU5" s="3404"/>
      <c r="BKV5" s="3404"/>
      <c r="BKW5" s="3404"/>
      <c r="BKX5" s="3404"/>
      <c r="BKY5" s="3404"/>
      <c r="BKZ5" s="3404"/>
      <c r="BLA5" s="3404"/>
      <c r="BLB5" s="3404"/>
      <c r="BLC5" s="3404"/>
      <c r="BLD5" s="3404"/>
      <c r="BLE5" s="3404"/>
      <c r="BLF5" s="3404"/>
      <c r="BLG5" s="3404"/>
      <c r="BLH5" s="3404"/>
      <c r="BLI5" s="3404"/>
      <c r="BLJ5" s="3404"/>
      <c r="BLK5" s="3404"/>
      <c r="BLL5" s="3404"/>
      <c r="BLM5" s="3404"/>
      <c r="BLN5" s="3404"/>
      <c r="BLO5" s="3404"/>
      <c r="BLP5" s="3404"/>
      <c r="BLQ5" s="3404"/>
      <c r="BLR5" s="3404"/>
      <c r="BLS5" s="3404"/>
      <c r="BLT5" s="3404"/>
      <c r="BLU5" s="3404"/>
      <c r="BLV5" s="3404"/>
      <c r="BLW5" s="3404"/>
      <c r="BLX5" s="3404"/>
      <c r="BLY5" s="3404"/>
      <c r="BLZ5" s="3404"/>
      <c r="BMA5" s="3404"/>
      <c r="BMB5" s="3404"/>
      <c r="BMC5" s="3404"/>
      <c r="BMD5" s="3404"/>
      <c r="BME5" s="3404"/>
      <c r="BMF5" s="3404"/>
      <c r="BMG5" s="3404"/>
      <c r="BMH5" s="3404"/>
      <c r="BMI5" s="3404"/>
      <c r="BMJ5" s="3404"/>
      <c r="BMK5" s="3404"/>
      <c r="BML5" s="3404"/>
      <c r="BMM5" s="3404"/>
      <c r="BMN5" s="3404"/>
      <c r="BMO5" s="3404"/>
      <c r="BMP5" s="3404"/>
      <c r="BMQ5" s="3404"/>
      <c r="BMR5" s="3404"/>
      <c r="BMS5" s="3404"/>
      <c r="BMT5" s="3404"/>
      <c r="BMU5" s="3404"/>
      <c r="BMV5" s="3404"/>
      <c r="BMW5" s="3404"/>
      <c r="BMX5" s="3404"/>
      <c r="BMY5" s="3404"/>
      <c r="BMZ5" s="3404"/>
      <c r="BNA5" s="3404"/>
      <c r="BNB5" s="3404"/>
      <c r="BNC5" s="3404"/>
      <c r="BND5" s="3404"/>
      <c r="BNE5" s="3404"/>
      <c r="BNF5" s="3404"/>
      <c r="BNG5" s="3404"/>
      <c r="BNH5" s="3404"/>
      <c r="BNI5" s="3404"/>
      <c r="BNJ5" s="3404"/>
      <c r="BNK5" s="3404"/>
      <c r="BNL5" s="3404"/>
      <c r="BNM5" s="3404"/>
      <c r="BNN5" s="3404"/>
      <c r="BNO5" s="3404"/>
      <c r="BNP5" s="3404"/>
      <c r="BNQ5" s="3404"/>
      <c r="BNR5" s="3404"/>
      <c r="BNS5" s="3404"/>
      <c r="BNT5" s="3404"/>
      <c r="BNU5" s="3404"/>
      <c r="BNV5" s="3404"/>
      <c r="BNW5" s="3404"/>
      <c r="BNX5" s="3404"/>
      <c r="BNY5" s="3404"/>
      <c r="BNZ5" s="3404"/>
      <c r="BOA5" s="3404"/>
      <c r="BOB5" s="3404"/>
      <c r="BOC5" s="3404"/>
      <c r="BOD5" s="3404"/>
      <c r="BOE5" s="3404"/>
      <c r="BOF5" s="3404"/>
      <c r="BOG5" s="3404"/>
      <c r="BOH5" s="3404"/>
      <c r="BOI5" s="3404"/>
      <c r="BOJ5" s="3404"/>
      <c r="BOK5" s="3404"/>
      <c r="BOL5" s="3404"/>
      <c r="BOM5" s="3404"/>
      <c r="BON5" s="3404"/>
      <c r="BOO5" s="3404"/>
      <c r="BOP5" s="3404"/>
      <c r="BOQ5" s="3404"/>
      <c r="BOR5" s="3404"/>
      <c r="BOS5" s="3404"/>
      <c r="BOT5" s="3404"/>
      <c r="BOU5" s="3404"/>
      <c r="BOV5" s="3404"/>
      <c r="BOW5" s="3404"/>
      <c r="BOX5" s="3404"/>
      <c r="BOY5" s="3404"/>
      <c r="BOZ5" s="3404"/>
      <c r="BPA5" s="3404"/>
      <c r="BPB5" s="3404"/>
      <c r="BPC5" s="3404"/>
      <c r="BPD5" s="3404"/>
      <c r="BPE5" s="3404"/>
      <c r="BPF5" s="3404"/>
      <c r="BPG5" s="3404"/>
      <c r="BPH5" s="3404"/>
      <c r="BPI5" s="3404"/>
      <c r="BPJ5" s="3404"/>
      <c r="BPK5" s="3404"/>
      <c r="BPL5" s="3404"/>
      <c r="BPM5" s="3404"/>
      <c r="BPN5" s="3404"/>
      <c r="BPO5" s="3404"/>
      <c r="BPP5" s="3404"/>
      <c r="BPQ5" s="3404"/>
      <c r="BPR5" s="3404"/>
      <c r="BPS5" s="3404"/>
      <c r="BPT5" s="3404"/>
      <c r="BPU5" s="3404"/>
      <c r="BPV5" s="3404"/>
      <c r="BPW5" s="3404"/>
      <c r="BPX5" s="3404"/>
      <c r="BPY5" s="3404"/>
      <c r="BPZ5" s="3404"/>
      <c r="BQA5" s="3404"/>
      <c r="BQB5" s="3404"/>
      <c r="BQC5" s="3404"/>
      <c r="BQD5" s="3404"/>
      <c r="BQE5" s="3404"/>
      <c r="BQF5" s="3404"/>
      <c r="BQG5" s="3404"/>
      <c r="BQH5" s="3404"/>
      <c r="BQI5" s="3404"/>
      <c r="BQJ5" s="3404"/>
      <c r="BQK5" s="3404"/>
      <c r="BQL5" s="3404"/>
      <c r="BQM5" s="3404"/>
      <c r="BQN5" s="3404"/>
      <c r="BQO5" s="3404"/>
      <c r="BQP5" s="3404"/>
      <c r="BQQ5" s="3404"/>
      <c r="BQR5" s="3404"/>
      <c r="BQS5" s="3404"/>
      <c r="BQT5" s="3404"/>
      <c r="BQU5" s="3404"/>
      <c r="BQV5" s="3404"/>
      <c r="BQW5" s="3404"/>
      <c r="BQX5" s="3404"/>
      <c r="BQY5" s="3404"/>
      <c r="BQZ5" s="3404"/>
      <c r="BRA5" s="3404"/>
      <c r="BRB5" s="3404"/>
      <c r="BRC5" s="3404"/>
      <c r="BRD5" s="3404"/>
      <c r="BRE5" s="3404"/>
      <c r="BRF5" s="3404"/>
      <c r="BRG5" s="3404"/>
      <c r="BRH5" s="3404"/>
      <c r="BRI5" s="3404"/>
      <c r="BRJ5" s="3404"/>
      <c r="BRK5" s="3404"/>
      <c r="BRL5" s="3404"/>
      <c r="BRM5" s="3404"/>
      <c r="BRN5" s="3404"/>
      <c r="BRO5" s="3404"/>
      <c r="BRP5" s="3404"/>
      <c r="BRQ5" s="3404"/>
      <c r="BRR5" s="3404"/>
      <c r="BRS5" s="3404"/>
      <c r="BRT5" s="3404"/>
      <c r="BRU5" s="3404"/>
      <c r="BRV5" s="3404"/>
      <c r="BRW5" s="3404"/>
      <c r="BRX5" s="3404"/>
      <c r="BRY5" s="3404"/>
      <c r="BRZ5" s="3404"/>
      <c r="BSA5" s="3404"/>
      <c r="BSB5" s="3404"/>
      <c r="BSC5" s="3404"/>
      <c r="BSD5" s="3404"/>
      <c r="BSE5" s="3404"/>
      <c r="BSF5" s="3404"/>
      <c r="BSG5" s="3404"/>
      <c r="BSH5" s="3404"/>
      <c r="BSI5" s="3404"/>
      <c r="BSJ5" s="3404"/>
      <c r="BSK5" s="3404"/>
      <c r="BSL5" s="3404"/>
      <c r="BSM5" s="3404"/>
      <c r="BSN5" s="3404"/>
      <c r="BSO5" s="3404"/>
      <c r="BSP5" s="3404"/>
      <c r="BSQ5" s="3404"/>
      <c r="BSR5" s="3404"/>
      <c r="BSS5" s="3404"/>
      <c r="BST5" s="3404"/>
      <c r="BSU5" s="3404"/>
      <c r="BSV5" s="3404"/>
      <c r="BSW5" s="3404"/>
      <c r="BSX5" s="3404"/>
      <c r="BSY5" s="3404"/>
      <c r="BSZ5" s="3404"/>
      <c r="BTA5" s="3404"/>
      <c r="BTB5" s="3404"/>
      <c r="BTC5" s="3404"/>
      <c r="BTD5" s="3404"/>
      <c r="BTE5" s="3404"/>
      <c r="BTF5" s="3404"/>
      <c r="BTG5" s="3404"/>
      <c r="BTH5" s="3404"/>
      <c r="BTI5" s="3404"/>
      <c r="BTJ5" s="3404"/>
      <c r="BTK5" s="3404"/>
      <c r="BTL5" s="3404"/>
      <c r="BTM5" s="3404"/>
      <c r="BTN5" s="3404"/>
      <c r="BTO5" s="3404"/>
      <c r="BTP5" s="3404"/>
      <c r="BTQ5" s="3404"/>
      <c r="BTR5" s="3404"/>
      <c r="BTS5" s="3404"/>
      <c r="BTT5" s="3404"/>
      <c r="BTU5" s="3404"/>
      <c r="BTV5" s="3404"/>
      <c r="BTW5" s="3404"/>
      <c r="BTX5" s="3404"/>
      <c r="BTY5" s="3404"/>
      <c r="BTZ5" s="3404"/>
      <c r="BUA5" s="3404"/>
      <c r="BUB5" s="3404"/>
      <c r="BUC5" s="3404"/>
      <c r="BUD5" s="3404"/>
      <c r="BUE5" s="3404"/>
      <c r="BUF5" s="3404"/>
      <c r="BUG5" s="3404"/>
      <c r="BUH5" s="3404"/>
      <c r="BUI5" s="3404"/>
      <c r="BUJ5" s="3404"/>
      <c r="BUK5" s="3404"/>
      <c r="BUL5" s="3404"/>
      <c r="BUM5" s="3404"/>
      <c r="BUN5" s="3404"/>
      <c r="BUO5" s="3404"/>
      <c r="BUP5" s="3404"/>
      <c r="BUQ5" s="3404"/>
      <c r="BUR5" s="3404"/>
      <c r="BUS5" s="3404"/>
      <c r="BUT5" s="3404"/>
      <c r="BUU5" s="3404"/>
      <c r="BUV5" s="3404"/>
      <c r="BUW5" s="3404"/>
      <c r="BUX5" s="3404"/>
      <c r="BUY5" s="3404"/>
      <c r="BUZ5" s="3404"/>
      <c r="BVA5" s="3404"/>
      <c r="BVB5" s="3404"/>
      <c r="BVC5" s="3404"/>
      <c r="BVD5" s="3404"/>
      <c r="BVE5" s="3404"/>
      <c r="BVF5" s="3404"/>
      <c r="BVG5" s="3404"/>
      <c r="BVH5" s="3404"/>
      <c r="BVI5" s="3404"/>
      <c r="BVJ5" s="3404"/>
      <c r="BVK5" s="3404"/>
      <c r="BVL5" s="3404"/>
      <c r="BVM5" s="3404"/>
      <c r="BVN5" s="3404"/>
      <c r="BVO5" s="3404"/>
      <c r="BVP5" s="3404"/>
      <c r="BVQ5" s="3404"/>
      <c r="BVR5" s="3404"/>
      <c r="BVS5" s="3404"/>
      <c r="BVT5" s="3404"/>
      <c r="BVU5" s="3404"/>
      <c r="BVV5" s="3404"/>
      <c r="BVW5" s="3404"/>
      <c r="BVX5" s="3404"/>
      <c r="BVY5" s="3404"/>
      <c r="BVZ5" s="3404"/>
      <c r="BWA5" s="3404"/>
      <c r="BWB5" s="3404"/>
      <c r="BWC5" s="3404"/>
      <c r="BWD5" s="3404"/>
      <c r="BWE5" s="3404"/>
      <c r="BWF5" s="3404"/>
      <c r="BWG5" s="3404"/>
      <c r="BWH5" s="3404"/>
      <c r="BWI5" s="3404"/>
      <c r="BWJ5" s="3404"/>
      <c r="BWK5" s="3404"/>
      <c r="BWL5" s="3404"/>
      <c r="BWM5" s="3404"/>
      <c r="BWN5" s="3404"/>
      <c r="BWO5" s="3404"/>
      <c r="BWP5" s="3404"/>
      <c r="BWQ5" s="3404"/>
      <c r="BWR5" s="3404"/>
      <c r="BWS5" s="3404"/>
      <c r="BWT5" s="3404"/>
      <c r="BWU5" s="3404"/>
      <c r="BWV5" s="3404"/>
      <c r="BWW5" s="3404"/>
      <c r="BWX5" s="3404"/>
      <c r="BWY5" s="3404"/>
      <c r="BWZ5" s="3404"/>
      <c r="BXA5" s="3404"/>
      <c r="BXB5" s="3404"/>
      <c r="BXC5" s="3404"/>
      <c r="BXD5" s="3404"/>
      <c r="BXE5" s="3404"/>
      <c r="BXF5" s="3404"/>
      <c r="BXG5" s="3404"/>
      <c r="BXH5" s="3404"/>
      <c r="BXI5" s="3404"/>
      <c r="BXJ5" s="3404"/>
      <c r="BXK5" s="3404"/>
      <c r="BXL5" s="3404"/>
      <c r="BXM5" s="3404"/>
      <c r="BXN5" s="3404"/>
      <c r="BXO5" s="3404"/>
      <c r="BXP5" s="3404"/>
      <c r="BXQ5" s="3404"/>
      <c r="BXR5" s="3404"/>
      <c r="BXS5" s="3404"/>
      <c r="BXT5" s="3404"/>
      <c r="BXU5" s="3404"/>
      <c r="BXV5" s="3404"/>
      <c r="BXW5" s="3404"/>
      <c r="BXX5" s="3404"/>
      <c r="BXY5" s="3404"/>
      <c r="BXZ5" s="3404"/>
      <c r="BYA5" s="3404"/>
      <c r="BYB5" s="3404"/>
      <c r="BYC5" s="3404"/>
      <c r="BYD5" s="3404"/>
      <c r="BYE5" s="3404"/>
      <c r="BYF5" s="3404"/>
      <c r="BYG5" s="3404"/>
      <c r="BYH5" s="3404"/>
      <c r="BYI5" s="3404"/>
      <c r="BYJ5" s="3404"/>
      <c r="BYK5" s="3404"/>
      <c r="BYL5" s="3404"/>
      <c r="BYM5" s="3404"/>
      <c r="BYN5" s="3404"/>
      <c r="BYO5" s="3404"/>
      <c r="BYP5" s="3404"/>
      <c r="BYQ5" s="3404"/>
      <c r="BYR5" s="3404"/>
      <c r="BYS5" s="3404"/>
      <c r="BYT5" s="3404"/>
      <c r="BYU5" s="3404"/>
      <c r="BYV5" s="3404"/>
      <c r="BYW5" s="3404"/>
      <c r="BYX5" s="3404"/>
      <c r="BYY5" s="3404"/>
      <c r="BYZ5" s="3404"/>
      <c r="BZA5" s="3404"/>
      <c r="BZB5" s="3404"/>
      <c r="BZC5" s="3404"/>
      <c r="BZD5" s="3404"/>
      <c r="BZE5" s="3404"/>
      <c r="BZF5" s="3404"/>
      <c r="BZG5" s="3404"/>
      <c r="BZH5" s="3404"/>
      <c r="BZI5" s="3404"/>
      <c r="BZJ5" s="3404"/>
      <c r="BZK5" s="3404"/>
      <c r="BZL5" s="3404"/>
      <c r="BZM5" s="3404"/>
      <c r="BZN5" s="3404"/>
      <c r="BZO5" s="3404"/>
      <c r="BZP5" s="3404"/>
      <c r="BZQ5" s="3404"/>
      <c r="BZR5" s="3404"/>
      <c r="BZS5" s="3404"/>
      <c r="BZT5" s="3404"/>
      <c r="BZU5" s="3404"/>
      <c r="BZV5" s="3404"/>
      <c r="BZW5" s="3404"/>
      <c r="BZX5" s="3404"/>
      <c r="BZY5" s="3404"/>
      <c r="BZZ5" s="3404"/>
      <c r="CAA5" s="3404"/>
      <c r="CAB5" s="3404"/>
      <c r="CAC5" s="3404"/>
      <c r="CAD5" s="3404"/>
      <c r="CAE5" s="3404"/>
      <c r="CAF5" s="3404"/>
      <c r="CAG5" s="3404"/>
      <c r="CAH5" s="3404"/>
      <c r="CAI5" s="3404"/>
      <c r="CAJ5" s="3404"/>
      <c r="CAK5" s="3404"/>
      <c r="CAL5" s="3404"/>
      <c r="CAM5" s="3404"/>
      <c r="CAN5" s="3404"/>
      <c r="CAO5" s="3404"/>
      <c r="CAP5" s="3404"/>
      <c r="CAQ5" s="3404"/>
      <c r="CAR5" s="3404"/>
      <c r="CAS5" s="3404"/>
      <c r="CAT5" s="3404"/>
      <c r="CAU5" s="3404"/>
      <c r="CAV5" s="3404"/>
      <c r="CAW5" s="3404"/>
      <c r="CAX5" s="3404"/>
      <c r="CAY5" s="3404"/>
      <c r="CAZ5" s="3404"/>
      <c r="CBA5" s="3404"/>
      <c r="CBB5" s="3404"/>
      <c r="CBC5" s="3404"/>
      <c r="CBD5" s="3404"/>
      <c r="CBE5" s="3404"/>
      <c r="CBF5" s="3404"/>
      <c r="CBG5" s="3404"/>
      <c r="CBH5" s="3404"/>
      <c r="CBI5" s="3404"/>
      <c r="CBJ5" s="3404"/>
      <c r="CBK5" s="3404"/>
      <c r="CBL5" s="3404"/>
      <c r="CBM5" s="3404"/>
      <c r="CBN5" s="3404"/>
      <c r="CBO5" s="3404"/>
      <c r="CBP5" s="3404"/>
      <c r="CBQ5" s="3404"/>
      <c r="CBR5" s="3404"/>
      <c r="CBS5" s="3404"/>
      <c r="CBT5" s="3404"/>
      <c r="CBU5" s="3404"/>
      <c r="CBV5" s="3404"/>
      <c r="CBW5" s="3404"/>
      <c r="CBX5" s="3404"/>
      <c r="CBY5" s="3404"/>
      <c r="CBZ5" s="3404"/>
      <c r="CCA5" s="3404"/>
      <c r="CCB5" s="3404"/>
      <c r="CCC5" s="3404"/>
      <c r="CCD5" s="3404"/>
      <c r="CCE5" s="3404"/>
      <c r="CCF5" s="3404"/>
      <c r="CCG5" s="3404"/>
      <c r="CCH5" s="3404"/>
      <c r="CCI5" s="3404"/>
      <c r="CCJ5" s="3404"/>
      <c r="CCK5" s="3404"/>
      <c r="CCL5" s="3404"/>
      <c r="CCM5" s="3404"/>
      <c r="CCN5" s="3404"/>
      <c r="CCO5" s="3404"/>
      <c r="CCP5" s="3404"/>
      <c r="CCQ5" s="3404"/>
      <c r="CCR5" s="3404"/>
      <c r="CCS5" s="3404"/>
      <c r="CCT5" s="3404"/>
      <c r="CCU5" s="3404"/>
      <c r="CCV5" s="3404"/>
      <c r="CCW5" s="3404"/>
      <c r="CCX5" s="3404"/>
      <c r="CCY5" s="3404"/>
      <c r="CCZ5" s="3404"/>
      <c r="CDA5" s="3404"/>
      <c r="CDB5" s="3404"/>
      <c r="CDC5" s="3404"/>
      <c r="CDD5" s="3404"/>
      <c r="CDE5" s="3404"/>
      <c r="CDF5" s="3404"/>
      <c r="CDG5" s="3404"/>
      <c r="CDH5" s="3404"/>
      <c r="CDI5" s="3404"/>
      <c r="CDJ5" s="3404"/>
      <c r="CDK5" s="3404"/>
      <c r="CDL5" s="3404"/>
      <c r="CDM5" s="3404"/>
      <c r="CDN5" s="3404"/>
      <c r="CDO5" s="3404"/>
      <c r="CDP5" s="3404"/>
      <c r="CDQ5" s="3404"/>
      <c r="CDR5" s="3404"/>
      <c r="CDS5" s="3404"/>
      <c r="CDT5" s="3404"/>
      <c r="CDU5" s="3404"/>
      <c r="CDV5" s="3404"/>
      <c r="CDW5" s="3404"/>
      <c r="CDX5" s="3404"/>
      <c r="CDY5" s="3404"/>
      <c r="CDZ5" s="3404"/>
      <c r="CEA5" s="3404"/>
      <c r="CEB5" s="3404"/>
      <c r="CEC5" s="3404"/>
      <c r="CED5" s="3404"/>
      <c r="CEE5" s="3404"/>
      <c r="CEF5" s="3404"/>
      <c r="CEG5" s="3404"/>
      <c r="CEH5" s="3404"/>
      <c r="CEI5" s="3404"/>
      <c r="CEJ5" s="3404"/>
      <c r="CEK5" s="3404"/>
      <c r="CEL5" s="3404"/>
      <c r="CEM5" s="3404"/>
      <c r="CEN5" s="3404"/>
      <c r="CEO5" s="3404"/>
      <c r="CEP5" s="3404"/>
      <c r="CEQ5" s="3404"/>
      <c r="CER5" s="3404"/>
      <c r="CES5" s="3404"/>
      <c r="CET5" s="3404"/>
      <c r="CEU5" s="3404"/>
      <c r="CEV5" s="3404"/>
      <c r="CEW5" s="3404"/>
      <c r="CEX5" s="3404"/>
      <c r="CEY5" s="3404"/>
      <c r="CEZ5" s="3404"/>
      <c r="CFA5" s="3404"/>
      <c r="CFB5" s="3404"/>
      <c r="CFC5" s="3404"/>
      <c r="CFD5" s="3404"/>
      <c r="CFE5" s="3404"/>
      <c r="CFF5" s="3404"/>
      <c r="CFG5" s="3404"/>
      <c r="CFH5" s="3404"/>
      <c r="CFI5" s="3404"/>
      <c r="CFJ5" s="3404"/>
      <c r="CFK5" s="3404"/>
      <c r="CFL5" s="3404"/>
      <c r="CFM5" s="3404"/>
      <c r="CFN5" s="3404"/>
      <c r="CFO5" s="3404"/>
      <c r="CFP5" s="3404"/>
      <c r="CFQ5" s="3404"/>
      <c r="CFR5" s="3404"/>
      <c r="CFS5" s="3404"/>
      <c r="CFT5" s="3404"/>
      <c r="CFU5" s="3404"/>
      <c r="CFV5" s="3404"/>
      <c r="CFW5" s="3404"/>
      <c r="CFX5" s="3404"/>
      <c r="CFY5" s="3404"/>
      <c r="CFZ5" s="3404"/>
      <c r="CGA5" s="3404"/>
      <c r="CGB5" s="3404"/>
      <c r="CGC5" s="3404"/>
      <c r="CGD5" s="3404"/>
      <c r="CGE5" s="3404"/>
      <c r="CGF5" s="3404"/>
      <c r="CGG5" s="3404"/>
      <c r="CGH5" s="3404"/>
      <c r="CGI5" s="3404"/>
      <c r="CGJ5" s="3404"/>
      <c r="CGK5" s="3404"/>
      <c r="CGL5" s="3404"/>
      <c r="CGM5" s="3404"/>
      <c r="CGN5" s="3404"/>
      <c r="CGO5" s="3404"/>
      <c r="CGP5" s="3404"/>
      <c r="CGQ5" s="3404"/>
      <c r="CGR5" s="3404"/>
      <c r="CGS5" s="3404"/>
      <c r="CGT5" s="3404"/>
      <c r="CGU5" s="3404"/>
      <c r="CGV5" s="3404"/>
      <c r="CGW5" s="3404"/>
      <c r="CGX5" s="3404"/>
      <c r="CGY5" s="3404"/>
      <c r="CGZ5" s="3404"/>
      <c r="CHA5" s="3404"/>
      <c r="CHB5" s="3404"/>
      <c r="CHC5" s="3404"/>
      <c r="CHD5" s="3404"/>
      <c r="CHE5" s="3404"/>
      <c r="CHF5" s="3404"/>
      <c r="CHG5" s="3404"/>
      <c r="CHH5" s="3404"/>
      <c r="CHI5" s="3404"/>
      <c r="CHJ5" s="3404"/>
      <c r="CHK5" s="3404"/>
      <c r="CHL5" s="3404"/>
      <c r="CHM5" s="3404"/>
      <c r="CHN5" s="3404"/>
      <c r="CHO5" s="3404"/>
      <c r="CHP5" s="3404"/>
      <c r="CHQ5" s="3404"/>
      <c r="CHR5" s="3404"/>
      <c r="CHS5" s="3404"/>
      <c r="CHT5" s="3404"/>
      <c r="CHU5" s="3404"/>
      <c r="CHV5" s="3404"/>
      <c r="CHW5" s="3404"/>
      <c r="CHX5" s="3404"/>
      <c r="CHY5" s="3404"/>
      <c r="CHZ5" s="3404"/>
      <c r="CIA5" s="3404"/>
      <c r="CIB5" s="3404"/>
      <c r="CIC5" s="3404"/>
      <c r="CID5" s="3404"/>
      <c r="CIE5" s="3404"/>
      <c r="CIF5" s="3404"/>
      <c r="CIG5" s="3404"/>
      <c r="CIH5" s="3404"/>
      <c r="CII5" s="3404"/>
      <c r="CIJ5" s="3404"/>
      <c r="CIK5" s="3404"/>
      <c r="CIL5" s="3404"/>
      <c r="CIM5" s="3404"/>
      <c r="CIN5" s="3404"/>
      <c r="CIO5" s="3404"/>
      <c r="CIP5" s="3404"/>
      <c r="CIQ5" s="3404"/>
      <c r="CIR5" s="3404"/>
      <c r="CIS5" s="3404"/>
      <c r="CIT5" s="3404"/>
      <c r="CIU5" s="3404"/>
      <c r="CIV5" s="3404"/>
      <c r="CIW5" s="3404"/>
      <c r="CIX5" s="3404"/>
      <c r="CIY5" s="3404"/>
      <c r="CIZ5" s="3404"/>
      <c r="CJA5" s="3404"/>
      <c r="CJB5" s="3404"/>
      <c r="CJC5" s="3404"/>
      <c r="CJD5" s="3404"/>
      <c r="CJE5" s="3404"/>
      <c r="CJF5" s="3404"/>
      <c r="CJG5" s="3404"/>
      <c r="CJH5" s="3404"/>
      <c r="CJI5" s="3404"/>
      <c r="CJJ5" s="3404"/>
      <c r="CJK5" s="3404"/>
      <c r="CJL5" s="3404"/>
      <c r="CJM5" s="3404"/>
      <c r="CJN5" s="3404"/>
      <c r="CJO5" s="3404"/>
      <c r="CJP5" s="3404"/>
      <c r="CJQ5" s="3404"/>
      <c r="CJR5" s="3404"/>
      <c r="CJS5" s="3404"/>
      <c r="CJT5" s="3404"/>
      <c r="CJU5" s="3404"/>
      <c r="CJV5" s="3404"/>
      <c r="CJW5" s="3404"/>
      <c r="CJX5" s="3404"/>
      <c r="CJY5" s="3404"/>
      <c r="CJZ5" s="3404"/>
      <c r="CKA5" s="3404"/>
      <c r="CKB5" s="3404"/>
      <c r="CKC5" s="3404"/>
      <c r="CKD5" s="3404"/>
      <c r="CKE5" s="3404"/>
      <c r="CKF5" s="3404"/>
      <c r="CKG5" s="3404"/>
      <c r="CKH5" s="3404"/>
      <c r="CKI5" s="3404"/>
      <c r="CKJ5" s="3404"/>
      <c r="CKK5" s="3404"/>
      <c r="CKL5" s="3404"/>
      <c r="CKM5" s="3404"/>
      <c r="CKN5" s="3404"/>
      <c r="CKO5" s="3404"/>
      <c r="CKP5" s="3404"/>
      <c r="CKQ5" s="3404"/>
      <c r="CKR5" s="3404"/>
      <c r="CKS5" s="3404"/>
      <c r="CKT5" s="3404"/>
      <c r="CKU5" s="3404"/>
      <c r="CKV5" s="3404"/>
      <c r="CKW5" s="3404"/>
      <c r="CKX5" s="3404"/>
      <c r="CKY5" s="3404"/>
      <c r="CKZ5" s="3404"/>
      <c r="CLA5" s="3404"/>
      <c r="CLB5" s="3404"/>
      <c r="CLC5" s="3404"/>
      <c r="CLD5" s="3404"/>
      <c r="CLE5" s="3404"/>
      <c r="CLF5" s="3404"/>
      <c r="CLG5" s="3404"/>
      <c r="CLH5" s="3404"/>
      <c r="CLI5" s="3404"/>
      <c r="CLJ5" s="3404"/>
      <c r="CLK5" s="3404"/>
      <c r="CLL5" s="3404"/>
      <c r="CLM5" s="3404"/>
      <c r="CLN5" s="3404"/>
      <c r="CLO5" s="3404"/>
      <c r="CLP5" s="3404"/>
      <c r="CLQ5" s="3404"/>
      <c r="CLR5" s="3404"/>
      <c r="CLS5" s="3404"/>
      <c r="CLT5" s="3404"/>
      <c r="CLU5" s="3404"/>
      <c r="CLV5" s="3404"/>
      <c r="CLW5" s="3404"/>
      <c r="CLX5" s="3404"/>
      <c r="CLY5" s="3404"/>
      <c r="CLZ5" s="3404"/>
      <c r="CMA5" s="3404"/>
      <c r="CMB5" s="3404"/>
      <c r="CMC5" s="3404"/>
      <c r="CMD5" s="3404"/>
      <c r="CME5" s="3404"/>
      <c r="CMF5" s="3404"/>
      <c r="CMG5" s="3404"/>
      <c r="CMH5" s="3404"/>
      <c r="CMI5" s="3404"/>
      <c r="CMJ5" s="3404"/>
      <c r="CMK5" s="3404"/>
      <c r="CML5" s="3404"/>
      <c r="CMM5" s="3404"/>
      <c r="CMN5" s="3404"/>
      <c r="CMO5" s="3404"/>
      <c r="CMP5" s="3404"/>
      <c r="CMQ5" s="3404"/>
      <c r="CMR5" s="3404"/>
      <c r="CMS5" s="3404"/>
      <c r="CMT5" s="3404"/>
      <c r="CMU5" s="3404"/>
      <c r="CMV5" s="3404"/>
      <c r="CMW5" s="3404"/>
      <c r="CMX5" s="3404"/>
      <c r="CMY5" s="3404"/>
      <c r="CMZ5" s="3404"/>
      <c r="CNA5" s="3404"/>
      <c r="CNB5" s="3404"/>
      <c r="CNC5" s="3404"/>
      <c r="CND5" s="3404"/>
      <c r="CNE5" s="3404"/>
      <c r="CNF5" s="3404"/>
      <c r="CNG5" s="3404"/>
      <c r="CNH5" s="3404"/>
      <c r="CNI5" s="3404"/>
      <c r="CNJ5" s="3404"/>
      <c r="CNK5" s="3404"/>
      <c r="CNL5" s="3404"/>
      <c r="CNM5" s="3404"/>
      <c r="CNN5" s="3404"/>
      <c r="CNO5" s="3404"/>
      <c r="CNP5" s="3404"/>
      <c r="CNQ5" s="3404"/>
      <c r="CNR5" s="3404"/>
      <c r="CNS5" s="3404"/>
      <c r="CNT5" s="3404"/>
      <c r="CNU5" s="3404"/>
      <c r="CNV5" s="3404"/>
      <c r="CNW5" s="3404"/>
      <c r="CNX5" s="3404"/>
      <c r="CNY5" s="3404"/>
      <c r="CNZ5" s="3404"/>
      <c r="COA5" s="3404"/>
      <c r="COB5" s="3404"/>
      <c r="COC5" s="3404"/>
      <c r="COD5" s="3404"/>
      <c r="COE5" s="3404"/>
      <c r="COF5" s="3404"/>
      <c r="COG5" s="3404"/>
      <c r="COH5" s="3404"/>
      <c r="COI5" s="3404"/>
      <c r="COJ5" s="3404"/>
      <c r="COK5" s="3404"/>
      <c r="COL5" s="3404"/>
      <c r="COM5" s="3404"/>
      <c r="CON5" s="3404"/>
      <c r="COO5" s="3404"/>
      <c r="COP5" s="3404"/>
      <c r="COQ5" s="3404"/>
      <c r="COR5" s="3404"/>
      <c r="COS5" s="3404"/>
      <c r="COT5" s="3404"/>
      <c r="COU5" s="3404"/>
      <c r="COV5" s="3404"/>
      <c r="COW5" s="3404"/>
      <c r="COX5" s="3404"/>
      <c r="COY5" s="3404"/>
      <c r="COZ5" s="3404"/>
      <c r="CPA5" s="3404"/>
      <c r="CPB5" s="3404"/>
      <c r="CPC5" s="3404"/>
      <c r="CPD5" s="3404"/>
      <c r="CPE5" s="3404"/>
      <c r="CPF5" s="3404"/>
      <c r="CPG5" s="3404"/>
      <c r="CPH5" s="3404"/>
      <c r="CPI5" s="3404"/>
      <c r="CPJ5" s="3404"/>
      <c r="CPK5" s="3404"/>
      <c r="CPL5" s="3404"/>
      <c r="CPM5" s="3404"/>
      <c r="CPN5" s="3404"/>
      <c r="CPO5" s="3404"/>
      <c r="CPP5" s="3404"/>
      <c r="CPQ5" s="3404"/>
      <c r="CPR5" s="3404"/>
      <c r="CPS5" s="3404"/>
      <c r="CPT5" s="3404"/>
      <c r="CPU5" s="3404"/>
      <c r="CPV5" s="3404"/>
      <c r="CPW5" s="3404"/>
      <c r="CPX5" s="3404"/>
      <c r="CPY5" s="3404"/>
      <c r="CPZ5" s="3404"/>
      <c r="CQA5" s="3404"/>
      <c r="CQB5" s="3404"/>
      <c r="CQC5" s="3404"/>
      <c r="CQD5" s="3404"/>
      <c r="CQE5" s="3404"/>
      <c r="CQF5" s="3404"/>
      <c r="CQG5" s="3404"/>
      <c r="CQH5" s="3404"/>
      <c r="CQI5" s="3404"/>
      <c r="CQJ5" s="3404"/>
      <c r="CQK5" s="3404"/>
      <c r="CQL5" s="3404"/>
      <c r="CQM5" s="3404"/>
      <c r="CQN5" s="3404"/>
      <c r="CQO5" s="3404"/>
      <c r="CQP5" s="3404"/>
      <c r="CQQ5" s="3404"/>
      <c r="CQR5" s="3404"/>
      <c r="CQS5" s="3404"/>
      <c r="CQT5" s="3404"/>
      <c r="CQU5" s="3404"/>
      <c r="CQV5" s="3404"/>
      <c r="CQW5" s="3404"/>
      <c r="CQX5" s="3404"/>
      <c r="CQY5" s="3404"/>
      <c r="CQZ5" s="3404"/>
      <c r="CRA5" s="3404"/>
      <c r="CRB5" s="3404"/>
      <c r="CRC5" s="3404"/>
      <c r="CRD5" s="3404"/>
      <c r="CRE5" s="3404"/>
      <c r="CRF5" s="3404"/>
      <c r="CRG5" s="3404"/>
      <c r="CRH5" s="3404"/>
      <c r="CRI5" s="3404"/>
      <c r="CRJ5" s="3404"/>
      <c r="CRK5" s="3404"/>
      <c r="CRL5" s="3404"/>
      <c r="CRM5" s="3404"/>
      <c r="CRN5" s="3404"/>
      <c r="CRO5" s="3404"/>
      <c r="CRP5" s="3404"/>
      <c r="CRQ5" s="3404"/>
      <c r="CRR5" s="3404"/>
      <c r="CRS5" s="3404"/>
      <c r="CRT5" s="3404"/>
      <c r="CRU5" s="3404"/>
      <c r="CRV5" s="3404"/>
      <c r="CRW5" s="3404"/>
      <c r="CRX5" s="3404"/>
      <c r="CRY5" s="3404"/>
      <c r="CRZ5" s="3404"/>
      <c r="CSA5" s="3404"/>
      <c r="CSB5" s="3404"/>
      <c r="CSC5" s="3404"/>
      <c r="CSD5" s="3404"/>
      <c r="CSE5" s="3404"/>
      <c r="CSF5" s="3404"/>
      <c r="CSG5" s="3404"/>
      <c r="CSH5" s="3404"/>
      <c r="CSI5" s="3404"/>
      <c r="CSJ5" s="3404"/>
      <c r="CSK5" s="3404"/>
      <c r="CSL5" s="3404"/>
      <c r="CSM5" s="3404"/>
      <c r="CSN5" s="3404"/>
      <c r="CSO5" s="3404"/>
      <c r="CSP5" s="3404"/>
      <c r="CSQ5" s="3404"/>
      <c r="CSR5" s="3404"/>
      <c r="CSS5" s="3404"/>
      <c r="CST5" s="3404"/>
      <c r="CSU5" s="3404"/>
      <c r="CSV5" s="3404"/>
      <c r="CSW5" s="3404"/>
      <c r="CSX5" s="3404"/>
      <c r="CSY5" s="3404"/>
      <c r="CSZ5" s="3404"/>
      <c r="CTA5" s="3404"/>
      <c r="CTB5" s="3404"/>
      <c r="CTC5" s="3404"/>
      <c r="CTD5" s="3404"/>
      <c r="CTE5" s="3404"/>
      <c r="CTF5" s="3404"/>
      <c r="CTG5" s="3404"/>
      <c r="CTH5" s="3404"/>
      <c r="CTI5" s="3404"/>
      <c r="CTJ5" s="3404"/>
      <c r="CTK5" s="3404"/>
      <c r="CTL5" s="3404"/>
      <c r="CTM5" s="3404"/>
      <c r="CTN5" s="3404"/>
      <c r="CTO5" s="3404"/>
      <c r="CTP5" s="3404"/>
      <c r="CTQ5" s="3404"/>
      <c r="CTR5" s="3404"/>
      <c r="CTS5" s="3404"/>
      <c r="CTT5" s="3404"/>
      <c r="CTU5" s="3404"/>
      <c r="CTV5" s="3404"/>
      <c r="CTW5" s="3404"/>
      <c r="CTX5" s="3404"/>
      <c r="CTY5" s="3404"/>
      <c r="CTZ5" s="3404"/>
      <c r="CUA5" s="3404"/>
      <c r="CUB5" s="3404"/>
      <c r="CUC5" s="3404"/>
      <c r="CUD5" s="3404"/>
      <c r="CUE5" s="3404"/>
      <c r="CUF5" s="3404"/>
      <c r="CUG5" s="3404"/>
      <c r="CUH5" s="3404"/>
      <c r="CUI5" s="3404"/>
      <c r="CUJ5" s="3404"/>
      <c r="CUK5" s="3404"/>
      <c r="CUL5" s="3404"/>
      <c r="CUM5" s="3404"/>
      <c r="CUN5" s="3404"/>
      <c r="CUO5" s="3404"/>
      <c r="CUP5" s="3404"/>
      <c r="CUQ5" s="3404"/>
      <c r="CUR5" s="3404"/>
      <c r="CUS5" s="3404"/>
      <c r="CUT5" s="3404"/>
      <c r="CUU5" s="3404"/>
      <c r="CUV5" s="3404"/>
      <c r="CUW5" s="3404"/>
      <c r="CUX5" s="3404"/>
      <c r="CUY5" s="3404"/>
      <c r="CUZ5" s="3404"/>
      <c r="CVA5" s="3404"/>
      <c r="CVB5" s="3404"/>
      <c r="CVC5" s="3404"/>
      <c r="CVD5" s="3404"/>
      <c r="CVE5" s="3404"/>
      <c r="CVF5" s="3404"/>
      <c r="CVG5" s="3404"/>
      <c r="CVH5" s="3404"/>
      <c r="CVI5" s="3404"/>
      <c r="CVJ5" s="3404"/>
      <c r="CVK5" s="3404"/>
      <c r="CVL5" s="3404"/>
      <c r="CVM5" s="3404"/>
      <c r="CVN5" s="3404"/>
      <c r="CVO5" s="3404"/>
      <c r="CVP5" s="3404"/>
      <c r="CVQ5" s="3404"/>
      <c r="CVR5" s="3404"/>
      <c r="CVS5" s="3404"/>
      <c r="CVT5" s="3404"/>
      <c r="CVU5" s="3404"/>
      <c r="CVV5" s="3404"/>
      <c r="CVW5" s="3404"/>
      <c r="CVX5" s="3404"/>
      <c r="CVY5" s="3404"/>
      <c r="CVZ5" s="3404"/>
      <c r="CWA5" s="3404"/>
      <c r="CWB5" s="3404"/>
      <c r="CWC5" s="3404"/>
      <c r="CWD5" s="3404"/>
      <c r="CWE5" s="3404"/>
      <c r="CWF5" s="3404"/>
      <c r="CWG5" s="3404"/>
      <c r="CWH5" s="3404"/>
      <c r="CWI5" s="3404"/>
      <c r="CWJ5" s="3404"/>
      <c r="CWK5" s="3404"/>
      <c r="CWL5" s="3404"/>
      <c r="CWM5" s="3404"/>
      <c r="CWN5" s="3404"/>
      <c r="CWO5" s="3404"/>
      <c r="CWP5" s="3404"/>
      <c r="CWQ5" s="3404"/>
      <c r="CWR5" s="3404"/>
      <c r="CWS5" s="3404"/>
      <c r="CWT5" s="3404"/>
      <c r="CWU5" s="3404"/>
      <c r="CWV5" s="3404"/>
      <c r="CWW5" s="3404"/>
      <c r="CWX5" s="3404"/>
      <c r="CWY5" s="3404"/>
      <c r="CWZ5" s="3404"/>
      <c r="CXA5" s="3404"/>
      <c r="CXB5" s="3404"/>
      <c r="CXC5" s="3404"/>
      <c r="CXD5" s="3404"/>
      <c r="CXE5" s="3404"/>
      <c r="CXF5" s="3404"/>
      <c r="CXG5" s="3404"/>
      <c r="CXH5" s="3404"/>
      <c r="CXI5" s="3404"/>
      <c r="CXJ5" s="3404"/>
      <c r="CXK5" s="3404"/>
      <c r="CXL5" s="3404"/>
      <c r="CXM5" s="3404"/>
      <c r="CXN5" s="3404"/>
      <c r="CXO5" s="3404"/>
      <c r="CXP5" s="3404"/>
      <c r="CXQ5" s="3404"/>
      <c r="CXR5" s="3404"/>
      <c r="CXS5" s="3404"/>
      <c r="CXT5" s="3404"/>
      <c r="CXU5" s="3404"/>
      <c r="CXV5" s="3404"/>
      <c r="CXW5" s="3404"/>
      <c r="CXX5" s="3404"/>
      <c r="CXY5" s="3404"/>
      <c r="CXZ5" s="3404"/>
      <c r="CYA5" s="3404"/>
      <c r="CYB5" s="3404"/>
      <c r="CYC5" s="3404"/>
      <c r="CYD5" s="3404"/>
      <c r="CYE5" s="3404"/>
      <c r="CYF5" s="3404"/>
      <c r="CYG5" s="3404"/>
      <c r="CYH5" s="3404"/>
      <c r="CYI5" s="3404"/>
      <c r="CYJ5" s="3404"/>
      <c r="CYK5" s="3404"/>
      <c r="CYL5" s="3404"/>
      <c r="CYM5" s="3404"/>
      <c r="CYN5" s="3404"/>
      <c r="CYO5" s="3404"/>
      <c r="CYP5" s="3404"/>
      <c r="CYQ5" s="3404"/>
      <c r="CYR5" s="3404"/>
      <c r="CYS5" s="3404"/>
      <c r="CYT5" s="3404"/>
      <c r="CYU5" s="3404"/>
      <c r="CYV5" s="3404"/>
      <c r="CYW5" s="3404"/>
      <c r="CYX5" s="3404"/>
      <c r="CYY5" s="3404"/>
      <c r="CYZ5" s="3404"/>
      <c r="CZA5" s="3404"/>
      <c r="CZB5" s="3404"/>
      <c r="CZC5" s="3404"/>
      <c r="CZD5" s="3404"/>
      <c r="CZE5" s="3404"/>
      <c r="CZF5" s="3404"/>
      <c r="CZG5" s="3404"/>
      <c r="CZH5" s="3404"/>
      <c r="CZI5" s="3404"/>
      <c r="CZJ5" s="3404"/>
      <c r="CZK5" s="3404"/>
      <c r="CZL5" s="3404"/>
      <c r="CZM5" s="3404"/>
      <c r="CZN5" s="3404"/>
      <c r="CZO5" s="3404"/>
      <c r="CZP5" s="3404"/>
      <c r="CZQ5" s="3404"/>
      <c r="CZR5" s="3404"/>
      <c r="CZS5" s="3404"/>
      <c r="CZT5" s="3404"/>
      <c r="CZU5" s="3404"/>
      <c r="CZV5" s="3404"/>
      <c r="CZW5" s="3404"/>
      <c r="CZX5" s="3404"/>
      <c r="CZY5" s="3404"/>
      <c r="CZZ5" s="3404"/>
      <c r="DAA5" s="3404"/>
      <c r="DAB5" s="3404"/>
      <c r="DAC5" s="3404"/>
      <c r="DAD5" s="3404"/>
      <c r="DAE5" s="3404"/>
      <c r="DAF5" s="3404"/>
      <c r="DAG5" s="3404"/>
      <c r="DAH5" s="3404"/>
      <c r="DAI5" s="3404"/>
      <c r="DAJ5" s="3404"/>
      <c r="DAK5" s="3404"/>
      <c r="DAL5" s="3404"/>
      <c r="DAM5" s="3404"/>
      <c r="DAN5" s="3404"/>
      <c r="DAO5" s="3404"/>
      <c r="DAP5" s="3404"/>
      <c r="DAQ5" s="3404"/>
      <c r="DAR5" s="3404"/>
      <c r="DAS5" s="3404"/>
      <c r="DAT5" s="3404"/>
      <c r="DAU5" s="3404"/>
      <c r="DAV5" s="3404"/>
      <c r="DAW5" s="3404"/>
      <c r="DAX5" s="3404"/>
      <c r="DAY5" s="3404"/>
      <c r="DAZ5" s="3404"/>
      <c r="DBA5" s="3404"/>
      <c r="DBB5" s="3404"/>
      <c r="DBC5" s="3404"/>
      <c r="DBD5" s="3404"/>
      <c r="DBE5" s="3404"/>
      <c r="DBF5" s="3404"/>
      <c r="DBG5" s="3404"/>
      <c r="DBH5" s="3404"/>
      <c r="DBI5" s="3404"/>
      <c r="DBJ5" s="3404"/>
      <c r="DBK5" s="3404"/>
      <c r="DBL5" s="3404"/>
      <c r="DBM5" s="3404"/>
      <c r="DBN5" s="3404"/>
      <c r="DBO5" s="3404"/>
      <c r="DBP5" s="3404"/>
      <c r="DBQ5" s="3404"/>
      <c r="DBR5" s="3404"/>
      <c r="DBS5" s="3404"/>
      <c r="DBT5" s="3404"/>
      <c r="DBU5" s="3404"/>
      <c r="DBV5" s="3404"/>
      <c r="DBW5" s="3404"/>
      <c r="DBX5" s="3404"/>
      <c r="DBY5" s="3404"/>
      <c r="DBZ5" s="3404"/>
      <c r="DCA5" s="3404"/>
      <c r="DCB5" s="3404"/>
      <c r="DCC5" s="3404"/>
      <c r="DCD5" s="3404"/>
      <c r="DCE5" s="3404"/>
      <c r="DCF5" s="3404"/>
      <c r="DCG5" s="3404"/>
      <c r="DCH5" s="3404"/>
      <c r="DCI5" s="3404"/>
      <c r="DCJ5" s="3404"/>
      <c r="DCK5" s="3404"/>
      <c r="DCL5" s="3404"/>
      <c r="DCM5" s="3404"/>
      <c r="DCN5" s="3404"/>
      <c r="DCO5" s="3404"/>
      <c r="DCP5" s="3404"/>
      <c r="DCQ5" s="3404"/>
      <c r="DCR5" s="3404"/>
      <c r="DCS5" s="3404"/>
      <c r="DCT5" s="3404"/>
      <c r="DCU5" s="3404"/>
      <c r="DCV5" s="3404"/>
      <c r="DCW5" s="3404"/>
      <c r="DCX5" s="3404"/>
      <c r="DCY5" s="3404"/>
      <c r="DCZ5" s="3404"/>
      <c r="DDA5" s="3404"/>
      <c r="DDB5" s="3404"/>
      <c r="DDC5" s="3404"/>
      <c r="DDD5" s="3404"/>
      <c r="DDE5" s="3404"/>
      <c r="DDF5" s="3404"/>
      <c r="DDG5" s="3404"/>
      <c r="DDH5" s="3404"/>
      <c r="DDI5" s="3404"/>
      <c r="DDJ5" s="3404"/>
      <c r="DDK5" s="3404"/>
      <c r="DDL5" s="3404"/>
      <c r="DDM5" s="3404"/>
      <c r="DDN5" s="3404"/>
      <c r="DDO5" s="3404"/>
      <c r="DDP5" s="3404"/>
      <c r="DDQ5" s="3404"/>
      <c r="DDR5" s="3404"/>
      <c r="DDS5" s="3404"/>
      <c r="DDT5" s="3404"/>
      <c r="DDU5" s="3404"/>
      <c r="DDV5" s="3404"/>
      <c r="DDW5" s="3404"/>
      <c r="DDX5" s="3404"/>
      <c r="DDY5" s="3404"/>
      <c r="DDZ5" s="3404"/>
      <c r="DEA5" s="3404"/>
      <c r="DEB5" s="3404"/>
      <c r="DEC5" s="3404"/>
      <c r="DED5" s="3404"/>
      <c r="DEE5" s="3404"/>
      <c r="DEF5" s="3404"/>
      <c r="DEG5" s="3404"/>
      <c r="DEH5" s="3404"/>
      <c r="DEI5" s="3404"/>
      <c r="DEJ5" s="3404"/>
      <c r="DEK5" s="3404"/>
      <c r="DEL5" s="3404"/>
      <c r="DEM5" s="3404"/>
      <c r="DEN5" s="3404"/>
      <c r="DEO5" s="3404"/>
      <c r="DEP5" s="3404"/>
      <c r="DEQ5" s="3404"/>
      <c r="DER5" s="3404"/>
      <c r="DES5" s="3404"/>
      <c r="DET5" s="3404"/>
      <c r="DEU5" s="3404"/>
      <c r="DEV5" s="3404"/>
      <c r="DEW5" s="3404"/>
      <c r="DEX5" s="3404"/>
      <c r="DEY5" s="3404"/>
      <c r="DEZ5" s="3404"/>
      <c r="DFA5" s="3404"/>
      <c r="DFB5" s="3404"/>
      <c r="DFC5" s="3404"/>
      <c r="DFD5" s="3404"/>
      <c r="DFE5" s="3404"/>
      <c r="DFF5" s="3404"/>
      <c r="DFG5" s="3404"/>
      <c r="DFH5" s="3404"/>
      <c r="DFI5" s="3404"/>
      <c r="DFJ5" s="3404"/>
      <c r="DFK5" s="3404"/>
      <c r="DFL5" s="3404"/>
      <c r="DFM5" s="3404"/>
      <c r="DFN5" s="3404"/>
      <c r="DFO5" s="3404"/>
      <c r="DFP5" s="3404"/>
      <c r="DFQ5" s="3404"/>
      <c r="DFR5" s="3404"/>
      <c r="DFS5" s="3404"/>
      <c r="DFT5" s="3404"/>
      <c r="DFU5" s="3404"/>
      <c r="DFV5" s="3404"/>
      <c r="DFW5" s="3404"/>
      <c r="DFX5" s="3404"/>
      <c r="DFY5" s="3404"/>
      <c r="DFZ5" s="3404"/>
      <c r="DGA5" s="3404"/>
      <c r="DGB5" s="3404"/>
      <c r="DGC5" s="3404"/>
      <c r="DGD5" s="3404"/>
      <c r="DGE5" s="3404"/>
      <c r="DGF5" s="3404"/>
      <c r="DGG5" s="3404"/>
      <c r="DGH5" s="3404"/>
      <c r="DGI5" s="3404"/>
      <c r="DGJ5" s="3404"/>
      <c r="DGK5" s="3404"/>
      <c r="DGL5" s="3404"/>
      <c r="DGM5" s="3404"/>
      <c r="DGN5" s="3404"/>
      <c r="DGO5" s="3404"/>
      <c r="DGP5" s="3404"/>
      <c r="DGQ5" s="3404"/>
      <c r="DGR5" s="3404"/>
      <c r="DGS5" s="3404"/>
      <c r="DGT5" s="3404"/>
      <c r="DGU5" s="3404"/>
      <c r="DGV5" s="3404"/>
      <c r="DGW5" s="3404"/>
      <c r="DGX5" s="3404"/>
      <c r="DGY5" s="3404"/>
      <c r="DGZ5" s="3404"/>
      <c r="DHA5" s="3404"/>
      <c r="DHB5" s="3404"/>
      <c r="DHC5" s="3404"/>
      <c r="DHD5" s="3404"/>
      <c r="DHE5" s="3404"/>
      <c r="DHF5" s="3404"/>
      <c r="DHG5" s="3404"/>
      <c r="DHH5" s="3404"/>
      <c r="DHI5" s="3404"/>
      <c r="DHJ5" s="3404"/>
      <c r="DHK5" s="3404"/>
      <c r="DHL5" s="3404"/>
      <c r="DHM5" s="3404"/>
      <c r="DHN5" s="3404"/>
      <c r="DHO5" s="3404"/>
      <c r="DHP5" s="3404"/>
      <c r="DHQ5" s="3404"/>
      <c r="DHR5" s="3404"/>
      <c r="DHS5" s="3404"/>
      <c r="DHT5" s="3404"/>
      <c r="DHU5" s="3404"/>
      <c r="DHV5" s="3404"/>
      <c r="DHW5" s="3404"/>
      <c r="DHX5" s="3404"/>
      <c r="DHY5" s="3404"/>
      <c r="DHZ5" s="3404"/>
      <c r="DIA5" s="3404"/>
      <c r="DIB5" s="3404"/>
      <c r="DIC5" s="3404"/>
      <c r="DID5" s="3404"/>
      <c r="DIE5" s="3404"/>
      <c r="DIF5" s="3404"/>
      <c r="DIG5" s="3404"/>
      <c r="DIH5" s="3404"/>
      <c r="DII5" s="3404"/>
      <c r="DIJ5" s="3404"/>
      <c r="DIK5" s="3404"/>
      <c r="DIL5" s="3404"/>
      <c r="DIM5" s="3404"/>
      <c r="DIN5" s="3404"/>
      <c r="DIO5" s="3404"/>
      <c r="DIP5" s="3404"/>
      <c r="DIQ5" s="3404"/>
      <c r="DIR5" s="3404"/>
      <c r="DIS5" s="3404"/>
      <c r="DIT5" s="3404"/>
      <c r="DIU5" s="3404"/>
      <c r="DIV5" s="3404"/>
      <c r="DIW5" s="3404"/>
      <c r="DIX5" s="3404"/>
      <c r="DIY5" s="3404"/>
      <c r="DIZ5" s="3404"/>
      <c r="DJA5" s="3404"/>
      <c r="DJB5" s="3404"/>
      <c r="DJC5" s="3404"/>
      <c r="DJD5" s="3404"/>
      <c r="DJE5" s="3404"/>
      <c r="DJF5" s="3404"/>
      <c r="DJG5" s="3404"/>
      <c r="DJH5" s="3404"/>
      <c r="DJI5" s="3404"/>
      <c r="DJJ5" s="3404"/>
      <c r="DJK5" s="3404"/>
      <c r="DJL5" s="3404"/>
      <c r="DJM5" s="3404"/>
      <c r="DJN5" s="3404"/>
      <c r="DJO5" s="3404"/>
      <c r="DJP5" s="3404"/>
      <c r="DJQ5" s="3404"/>
      <c r="DJR5" s="3404"/>
      <c r="DJS5" s="3404"/>
      <c r="DJT5" s="3404"/>
      <c r="DJU5" s="3404"/>
      <c r="DJV5" s="3404"/>
      <c r="DJW5" s="3404"/>
      <c r="DJX5" s="3404"/>
      <c r="DJY5" s="3404"/>
      <c r="DJZ5" s="3404"/>
      <c r="DKA5" s="3404"/>
      <c r="DKB5" s="3404"/>
      <c r="DKC5" s="3404"/>
      <c r="DKD5" s="3404"/>
      <c r="DKE5" s="3404"/>
      <c r="DKF5" s="3404"/>
      <c r="DKG5" s="3404"/>
      <c r="DKH5" s="3404"/>
      <c r="DKI5" s="3404"/>
      <c r="DKJ5" s="3404"/>
      <c r="DKK5" s="3404"/>
      <c r="DKL5" s="3404"/>
      <c r="DKM5" s="3404"/>
      <c r="DKN5" s="3404"/>
      <c r="DKO5" s="3404"/>
      <c r="DKP5" s="3404"/>
      <c r="DKQ5" s="3404"/>
      <c r="DKR5" s="3404"/>
      <c r="DKS5" s="3404"/>
      <c r="DKT5" s="3404"/>
      <c r="DKU5" s="3404"/>
      <c r="DKV5" s="3404"/>
      <c r="DKW5" s="3404"/>
      <c r="DKX5" s="3404"/>
      <c r="DKY5" s="3404"/>
      <c r="DKZ5" s="3404"/>
      <c r="DLA5" s="3404"/>
      <c r="DLB5" s="3404"/>
      <c r="DLC5" s="3404"/>
      <c r="DLD5" s="3404"/>
      <c r="DLE5" s="3404"/>
      <c r="DLF5" s="3404"/>
      <c r="DLG5" s="3404"/>
      <c r="DLH5" s="3404"/>
      <c r="DLI5" s="3404"/>
      <c r="DLJ5" s="3404"/>
      <c r="DLK5" s="3404"/>
      <c r="DLL5" s="3404"/>
      <c r="DLM5" s="3404"/>
      <c r="DLN5" s="3404"/>
      <c r="DLO5" s="3404"/>
      <c r="DLP5" s="3404"/>
      <c r="DLQ5" s="3404"/>
      <c r="DLR5" s="3404"/>
      <c r="DLS5" s="3404"/>
      <c r="DLT5" s="3404"/>
      <c r="DLU5" s="3404"/>
      <c r="DLV5" s="3404"/>
      <c r="DLW5" s="3404"/>
      <c r="DLX5" s="3404"/>
      <c r="DLY5" s="3404"/>
      <c r="DLZ5" s="3404"/>
      <c r="DMA5" s="3404"/>
      <c r="DMB5" s="3404"/>
      <c r="DMC5" s="3404"/>
      <c r="DMD5" s="3404"/>
      <c r="DME5" s="3404"/>
      <c r="DMF5" s="3404"/>
      <c r="DMG5" s="3404"/>
      <c r="DMH5" s="3404"/>
      <c r="DMI5" s="3404"/>
      <c r="DMJ5" s="3404"/>
      <c r="DMK5" s="3404"/>
      <c r="DML5" s="3404"/>
      <c r="DMM5" s="3404"/>
      <c r="DMN5" s="3404"/>
      <c r="DMO5" s="3404"/>
      <c r="DMP5" s="3404"/>
      <c r="DMQ5" s="3404"/>
      <c r="DMR5" s="3404"/>
      <c r="DMS5" s="3404"/>
      <c r="DMT5" s="3404"/>
      <c r="DMU5" s="3404"/>
      <c r="DMV5" s="3404"/>
      <c r="DMW5" s="3404"/>
      <c r="DMX5" s="3404"/>
      <c r="DMY5" s="3404"/>
      <c r="DMZ5" s="3404"/>
      <c r="DNA5" s="3404"/>
      <c r="DNB5" s="3404"/>
      <c r="DNC5" s="3404"/>
      <c r="DND5" s="3404"/>
      <c r="DNE5" s="3404"/>
      <c r="DNF5" s="3404"/>
      <c r="DNG5" s="3404"/>
      <c r="DNH5" s="3404"/>
      <c r="DNI5" s="3404"/>
      <c r="DNJ5" s="3404"/>
      <c r="DNK5" s="3404"/>
      <c r="DNL5" s="3404"/>
      <c r="DNM5" s="3404"/>
      <c r="DNN5" s="3404"/>
      <c r="DNO5" s="3404"/>
      <c r="DNP5" s="3404"/>
      <c r="DNQ5" s="3404"/>
      <c r="DNR5" s="3404"/>
      <c r="DNS5" s="3404"/>
      <c r="DNT5" s="3404"/>
      <c r="DNU5" s="3404"/>
      <c r="DNV5" s="3404"/>
      <c r="DNW5" s="3404"/>
      <c r="DNX5" s="3404"/>
      <c r="DNY5" s="3404"/>
      <c r="DNZ5" s="3404"/>
      <c r="DOA5" s="3404"/>
      <c r="DOB5" s="3404"/>
      <c r="DOC5" s="3404"/>
      <c r="DOD5" s="3404"/>
      <c r="DOE5" s="3404"/>
      <c r="DOF5" s="3404"/>
      <c r="DOG5" s="3404"/>
      <c r="DOH5" s="3404"/>
      <c r="DOI5" s="3404"/>
      <c r="DOJ5" s="3404"/>
      <c r="DOK5" s="3404"/>
      <c r="DOL5" s="3404"/>
      <c r="DOM5" s="3404"/>
      <c r="DON5" s="3404"/>
      <c r="DOO5" s="3404"/>
      <c r="DOP5" s="3404"/>
      <c r="DOQ5" s="3404"/>
      <c r="DOR5" s="3404"/>
      <c r="DOS5" s="3404"/>
      <c r="DOT5" s="3404"/>
      <c r="DOU5" s="3404"/>
      <c r="DOV5" s="3404"/>
      <c r="DOW5" s="3404"/>
      <c r="DOX5" s="3404"/>
      <c r="DOY5" s="3404"/>
      <c r="DOZ5" s="3404"/>
      <c r="DPA5" s="3404"/>
      <c r="DPB5" s="3404"/>
      <c r="DPC5" s="3404"/>
      <c r="DPD5" s="3404"/>
      <c r="DPE5" s="3404"/>
      <c r="DPF5" s="3404"/>
      <c r="DPG5" s="3404"/>
      <c r="DPH5" s="3404"/>
      <c r="DPI5" s="3404"/>
      <c r="DPJ5" s="3404"/>
      <c r="DPK5" s="3404"/>
      <c r="DPL5" s="3404"/>
      <c r="DPM5" s="3404"/>
      <c r="DPN5" s="3404"/>
      <c r="DPO5" s="3404"/>
      <c r="DPP5" s="3404"/>
      <c r="DPQ5" s="3404"/>
      <c r="DPR5" s="3404"/>
      <c r="DPS5" s="3404"/>
      <c r="DPT5" s="3404"/>
      <c r="DPU5" s="3404"/>
      <c r="DPV5" s="3404"/>
      <c r="DPW5" s="3404"/>
      <c r="DPX5" s="3404"/>
      <c r="DPY5" s="3404"/>
      <c r="DPZ5" s="3404"/>
      <c r="DQA5" s="3404"/>
      <c r="DQB5" s="3404"/>
      <c r="DQC5" s="3404"/>
      <c r="DQD5" s="3404"/>
      <c r="DQE5" s="3404"/>
      <c r="DQF5" s="3404"/>
      <c r="DQG5" s="3404"/>
      <c r="DQH5" s="3404"/>
      <c r="DQI5" s="3404"/>
      <c r="DQJ5" s="3404"/>
      <c r="DQK5" s="3404"/>
      <c r="DQL5" s="3404"/>
      <c r="DQM5" s="3404"/>
      <c r="DQN5" s="3404"/>
      <c r="DQO5" s="3404"/>
      <c r="DQP5" s="3404"/>
      <c r="DQQ5" s="3404"/>
      <c r="DQR5" s="3404"/>
      <c r="DQS5" s="3404"/>
      <c r="DQT5" s="3404"/>
      <c r="DQU5" s="3404"/>
      <c r="DQV5" s="3404"/>
      <c r="DQW5" s="3404"/>
      <c r="DQX5" s="3404"/>
      <c r="DQY5" s="3404"/>
      <c r="DQZ5" s="3404"/>
      <c r="DRA5" s="3404"/>
      <c r="DRB5" s="3404"/>
      <c r="DRC5" s="3404"/>
      <c r="DRD5" s="3404"/>
      <c r="DRE5" s="3404"/>
      <c r="DRF5" s="3404"/>
      <c r="DRG5" s="3404"/>
      <c r="DRH5" s="3404"/>
      <c r="DRI5" s="3404"/>
      <c r="DRJ5" s="3404"/>
      <c r="DRK5" s="3404"/>
      <c r="DRL5" s="3404"/>
      <c r="DRM5" s="3404"/>
      <c r="DRN5" s="3404"/>
      <c r="DRO5" s="3404"/>
      <c r="DRP5" s="3404"/>
      <c r="DRQ5" s="3404"/>
      <c r="DRR5" s="3404"/>
      <c r="DRS5" s="3404"/>
      <c r="DRT5" s="3404"/>
      <c r="DRU5" s="3404"/>
      <c r="DRV5" s="3404"/>
      <c r="DRW5" s="3404"/>
      <c r="DRX5" s="3404"/>
      <c r="DRY5" s="3404"/>
      <c r="DRZ5" s="3404"/>
      <c r="DSA5" s="3404"/>
      <c r="DSB5" s="3404"/>
      <c r="DSC5" s="3404"/>
      <c r="DSD5" s="3404"/>
      <c r="DSE5" s="3404"/>
      <c r="DSF5" s="3404"/>
      <c r="DSG5" s="3404"/>
      <c r="DSH5" s="3404"/>
      <c r="DSI5" s="3404"/>
      <c r="DSJ5" s="3404"/>
      <c r="DSK5" s="3404"/>
      <c r="DSL5" s="3404"/>
      <c r="DSM5" s="3404"/>
      <c r="DSN5" s="3404"/>
      <c r="DSO5" s="3404"/>
      <c r="DSP5" s="3404"/>
      <c r="DSQ5" s="3404"/>
      <c r="DSR5" s="3404"/>
      <c r="DSS5" s="3404"/>
      <c r="DST5" s="3404"/>
      <c r="DSU5" s="3404"/>
      <c r="DSV5" s="3404"/>
      <c r="DSW5" s="3404"/>
      <c r="DSX5" s="3404"/>
      <c r="DSY5" s="3404"/>
      <c r="DSZ5" s="3404"/>
      <c r="DTA5" s="3404"/>
      <c r="DTB5" s="3404"/>
      <c r="DTC5" s="3404"/>
      <c r="DTD5" s="3404"/>
      <c r="DTE5" s="3404"/>
      <c r="DTF5" s="3404"/>
      <c r="DTG5" s="3404"/>
      <c r="DTH5" s="3404"/>
      <c r="DTI5" s="3404"/>
      <c r="DTJ5" s="3404"/>
      <c r="DTK5" s="3404"/>
      <c r="DTL5" s="3404"/>
      <c r="DTM5" s="3404"/>
      <c r="DTN5" s="3404"/>
      <c r="DTO5" s="3404"/>
      <c r="DTP5" s="3404"/>
      <c r="DTQ5" s="3404"/>
      <c r="DTR5" s="3404"/>
      <c r="DTS5" s="3404"/>
      <c r="DTT5" s="3404"/>
      <c r="DTU5" s="3404"/>
      <c r="DTV5" s="3404"/>
      <c r="DTW5" s="3404"/>
      <c r="DTX5" s="3404"/>
      <c r="DTY5" s="3404"/>
      <c r="DTZ5" s="3404"/>
      <c r="DUA5" s="3404"/>
      <c r="DUB5" s="3404"/>
      <c r="DUC5" s="3404"/>
      <c r="DUD5" s="3404"/>
      <c r="DUE5" s="3404"/>
      <c r="DUF5" s="3404"/>
      <c r="DUG5" s="3404"/>
      <c r="DUH5" s="3404"/>
      <c r="DUI5" s="3404"/>
      <c r="DUJ5" s="3404"/>
      <c r="DUK5" s="3404"/>
      <c r="DUL5" s="3404"/>
      <c r="DUM5" s="3404"/>
      <c r="DUN5" s="3404"/>
      <c r="DUO5" s="3404"/>
      <c r="DUP5" s="3404"/>
      <c r="DUQ5" s="3404"/>
      <c r="DUR5" s="3404"/>
      <c r="DUS5" s="3404"/>
      <c r="DUT5" s="3404"/>
      <c r="DUU5" s="3404"/>
      <c r="DUV5" s="3404"/>
      <c r="DUW5" s="3404"/>
      <c r="DUX5" s="3404"/>
      <c r="DUY5" s="3404"/>
      <c r="DUZ5" s="3404"/>
      <c r="DVA5" s="3404"/>
      <c r="DVB5" s="3404"/>
      <c r="DVC5" s="3404"/>
      <c r="DVD5" s="3404"/>
      <c r="DVE5" s="3404"/>
      <c r="DVF5" s="3404"/>
      <c r="DVG5" s="3404"/>
      <c r="DVH5" s="3404"/>
      <c r="DVI5" s="3404"/>
      <c r="DVJ5" s="3404"/>
      <c r="DVK5" s="3404"/>
      <c r="DVL5" s="3404"/>
      <c r="DVM5" s="3404"/>
      <c r="DVN5" s="3404"/>
      <c r="DVO5" s="3404"/>
      <c r="DVP5" s="3404"/>
      <c r="DVQ5" s="3404"/>
      <c r="DVR5" s="3404"/>
      <c r="DVS5" s="3404"/>
      <c r="DVT5" s="3404"/>
      <c r="DVU5" s="3404"/>
      <c r="DVV5" s="3404"/>
      <c r="DVW5" s="3404"/>
      <c r="DVX5" s="3404"/>
      <c r="DVY5" s="3404"/>
      <c r="DVZ5" s="3404"/>
      <c r="DWA5" s="3404"/>
      <c r="DWB5" s="3404"/>
      <c r="DWC5" s="3404"/>
      <c r="DWD5" s="3404"/>
      <c r="DWE5" s="3404"/>
      <c r="DWF5" s="3404"/>
      <c r="DWG5" s="3404"/>
      <c r="DWH5" s="3404"/>
      <c r="DWI5" s="3404"/>
      <c r="DWJ5" s="3404"/>
      <c r="DWK5" s="3404"/>
      <c r="DWL5" s="3404"/>
      <c r="DWM5" s="3404"/>
      <c r="DWN5" s="3404"/>
      <c r="DWO5" s="3404"/>
      <c r="DWP5" s="3404"/>
      <c r="DWQ5" s="3404"/>
      <c r="DWR5" s="3404"/>
      <c r="DWS5" s="3404"/>
      <c r="DWT5" s="3404"/>
      <c r="DWU5" s="3404"/>
      <c r="DWV5" s="3404"/>
      <c r="DWW5" s="3404"/>
      <c r="DWX5" s="3404"/>
      <c r="DWY5" s="3404"/>
      <c r="DWZ5" s="3404"/>
      <c r="DXA5" s="3404"/>
      <c r="DXB5" s="3404"/>
      <c r="DXC5" s="3404"/>
      <c r="DXD5" s="3404"/>
      <c r="DXE5" s="3404"/>
      <c r="DXF5" s="3404"/>
      <c r="DXG5" s="3404"/>
      <c r="DXH5" s="3404"/>
      <c r="DXI5" s="3404"/>
      <c r="DXJ5" s="3404"/>
      <c r="DXK5" s="3404"/>
      <c r="DXL5" s="3404"/>
      <c r="DXM5" s="3404"/>
      <c r="DXN5" s="3404"/>
      <c r="DXO5" s="3404"/>
      <c r="DXP5" s="3404"/>
      <c r="DXQ5" s="3404"/>
      <c r="DXR5" s="3404"/>
      <c r="DXS5" s="3404"/>
      <c r="DXT5" s="3404"/>
      <c r="DXU5" s="3404"/>
      <c r="DXV5" s="3404"/>
      <c r="DXW5" s="3404"/>
      <c r="DXX5" s="3404"/>
      <c r="DXY5" s="3404"/>
      <c r="DXZ5" s="3404"/>
      <c r="DYA5" s="3404"/>
      <c r="DYB5" s="3404"/>
      <c r="DYC5" s="3404"/>
      <c r="DYD5" s="3404"/>
      <c r="DYE5" s="3404"/>
      <c r="DYF5" s="3404"/>
      <c r="DYG5" s="3404"/>
      <c r="DYH5" s="3404"/>
      <c r="DYI5" s="3404"/>
      <c r="DYJ5" s="3404"/>
      <c r="DYK5" s="3404"/>
      <c r="DYL5" s="3404"/>
      <c r="DYM5" s="3404"/>
      <c r="DYN5" s="3404"/>
      <c r="DYO5" s="3404"/>
      <c r="DYP5" s="3404"/>
      <c r="DYQ5" s="3404"/>
      <c r="DYR5" s="3404"/>
      <c r="DYS5" s="3404"/>
      <c r="DYT5" s="3404"/>
      <c r="DYU5" s="3404"/>
      <c r="DYV5" s="3404"/>
      <c r="DYW5" s="3404"/>
      <c r="DYX5" s="3404"/>
      <c r="DYY5" s="3404"/>
      <c r="DYZ5" s="3404"/>
      <c r="DZA5" s="3404"/>
      <c r="DZB5" s="3404"/>
      <c r="DZC5" s="3404"/>
      <c r="DZD5" s="3404"/>
      <c r="DZE5" s="3404"/>
      <c r="DZF5" s="3404"/>
      <c r="DZG5" s="3404"/>
      <c r="DZH5" s="3404"/>
      <c r="DZI5" s="3404"/>
      <c r="DZJ5" s="3404"/>
      <c r="DZK5" s="3404"/>
      <c r="DZL5" s="3404"/>
      <c r="DZM5" s="3404"/>
      <c r="DZN5" s="3404"/>
      <c r="DZO5" s="3404"/>
      <c r="DZP5" s="3404"/>
      <c r="DZQ5" s="3404"/>
      <c r="DZR5" s="3404"/>
      <c r="DZS5" s="3404"/>
      <c r="DZT5" s="3404"/>
      <c r="DZU5" s="3404"/>
      <c r="DZV5" s="3404"/>
      <c r="DZW5" s="3404"/>
      <c r="DZX5" s="3404"/>
      <c r="DZY5" s="3404"/>
      <c r="DZZ5" s="3404"/>
      <c r="EAA5" s="3404"/>
      <c r="EAB5" s="3404"/>
      <c r="EAC5" s="3404"/>
      <c r="EAD5" s="3404"/>
      <c r="EAE5" s="3404"/>
      <c r="EAF5" s="3404"/>
      <c r="EAG5" s="3404"/>
      <c r="EAH5" s="3404"/>
      <c r="EAI5" s="3404"/>
      <c r="EAJ5" s="3404"/>
      <c r="EAK5" s="3404"/>
      <c r="EAL5" s="3404"/>
      <c r="EAM5" s="3404"/>
      <c r="EAN5" s="3404"/>
      <c r="EAO5" s="3404"/>
      <c r="EAP5" s="3404"/>
      <c r="EAQ5" s="3404"/>
      <c r="EAR5" s="3404"/>
      <c r="EAS5" s="3404"/>
      <c r="EAT5" s="3404"/>
      <c r="EAU5" s="3404"/>
      <c r="EAV5" s="3404"/>
      <c r="EAW5" s="3404"/>
      <c r="EAX5" s="3404"/>
      <c r="EAY5" s="3404"/>
      <c r="EAZ5" s="3404"/>
      <c r="EBA5" s="3404"/>
      <c r="EBB5" s="3404"/>
      <c r="EBC5" s="3404"/>
      <c r="EBD5" s="3404"/>
      <c r="EBE5" s="3404"/>
      <c r="EBF5" s="3404"/>
      <c r="EBG5" s="3404"/>
      <c r="EBH5" s="3404"/>
      <c r="EBI5" s="3404"/>
      <c r="EBJ5" s="3404"/>
      <c r="EBK5" s="3404"/>
      <c r="EBL5" s="3404"/>
      <c r="EBM5" s="3404"/>
      <c r="EBN5" s="3404"/>
      <c r="EBO5" s="3404"/>
      <c r="EBP5" s="3404"/>
      <c r="EBQ5" s="3404"/>
      <c r="EBR5" s="3404"/>
      <c r="EBS5" s="3404"/>
      <c r="EBT5" s="3404"/>
      <c r="EBU5" s="3404"/>
      <c r="EBV5" s="3404"/>
      <c r="EBW5" s="3404"/>
      <c r="EBX5" s="3404"/>
      <c r="EBY5" s="3404"/>
      <c r="EBZ5" s="3404"/>
      <c r="ECA5" s="3404"/>
      <c r="ECB5" s="3404"/>
      <c r="ECC5" s="3404"/>
      <c r="ECD5" s="3404"/>
      <c r="ECE5" s="3404"/>
      <c r="ECF5" s="3404"/>
      <c r="ECG5" s="3404"/>
      <c r="ECH5" s="3404"/>
      <c r="ECI5" s="3404"/>
      <c r="ECJ5" s="3404"/>
      <c r="ECK5" s="3404"/>
      <c r="ECL5" s="3404"/>
      <c r="ECM5" s="3404"/>
      <c r="ECN5" s="3404"/>
      <c r="ECO5" s="3404"/>
      <c r="ECP5" s="3404"/>
      <c r="ECQ5" s="3404"/>
      <c r="ECR5" s="3404"/>
      <c r="ECS5" s="3404"/>
      <c r="ECT5" s="3404"/>
      <c r="ECU5" s="3404"/>
      <c r="ECV5" s="3404"/>
      <c r="ECW5" s="3404"/>
      <c r="ECX5" s="3404"/>
      <c r="ECY5" s="3404"/>
      <c r="ECZ5" s="3404"/>
      <c r="EDA5" s="3404"/>
      <c r="EDB5" s="3404"/>
      <c r="EDC5" s="3404"/>
      <c r="EDD5" s="3404"/>
      <c r="EDE5" s="3404"/>
      <c r="EDF5" s="3404"/>
      <c r="EDG5" s="3404"/>
      <c r="EDH5" s="3404"/>
      <c r="EDI5" s="3404"/>
      <c r="EDJ5" s="3404"/>
      <c r="EDK5" s="3404"/>
      <c r="EDL5" s="3404"/>
      <c r="EDM5" s="3404"/>
      <c r="EDN5" s="3404"/>
      <c r="EDO5" s="3404"/>
      <c r="EDP5" s="3404"/>
      <c r="EDQ5" s="3404"/>
      <c r="EDR5" s="3404"/>
      <c r="EDS5" s="3404"/>
      <c r="EDT5" s="3404"/>
      <c r="EDU5" s="3404"/>
      <c r="EDV5" s="3404"/>
      <c r="EDW5" s="3404"/>
      <c r="EDX5" s="3404"/>
      <c r="EDY5" s="3404"/>
      <c r="EDZ5" s="3404"/>
      <c r="EEA5" s="3404"/>
      <c r="EEB5" s="3404"/>
      <c r="EEC5" s="3404"/>
      <c r="EED5" s="3404"/>
      <c r="EEE5" s="3404"/>
      <c r="EEF5" s="3404"/>
      <c r="EEG5" s="3404"/>
      <c r="EEH5" s="3404"/>
      <c r="EEI5" s="3404"/>
      <c r="EEJ5" s="3404"/>
      <c r="EEK5" s="3404"/>
      <c r="EEL5" s="3404"/>
      <c r="EEM5" s="3404"/>
      <c r="EEN5" s="3404"/>
      <c r="EEO5" s="3404"/>
      <c r="EEP5" s="3404"/>
      <c r="EEQ5" s="3404"/>
      <c r="EER5" s="3404"/>
      <c r="EES5" s="3404"/>
      <c r="EET5" s="3404"/>
      <c r="EEU5" s="3404"/>
      <c r="EEV5" s="3404"/>
      <c r="EEW5" s="3404"/>
      <c r="EEX5" s="3404"/>
      <c r="EEY5" s="3404"/>
      <c r="EEZ5" s="3404"/>
      <c r="EFA5" s="3404"/>
      <c r="EFB5" s="3404"/>
      <c r="EFC5" s="3404"/>
      <c r="EFD5" s="3404"/>
      <c r="EFE5" s="3404"/>
      <c r="EFF5" s="3404"/>
      <c r="EFG5" s="3404"/>
      <c r="EFH5" s="3404"/>
      <c r="EFI5" s="3404"/>
      <c r="EFJ5" s="3404"/>
      <c r="EFK5" s="3404"/>
      <c r="EFL5" s="3404"/>
      <c r="EFM5" s="3404"/>
      <c r="EFN5" s="3404"/>
      <c r="EFO5" s="3404"/>
      <c r="EFP5" s="3404"/>
      <c r="EFQ5" s="3404"/>
      <c r="EFR5" s="3404"/>
      <c r="EFS5" s="3404"/>
      <c r="EFT5" s="3404"/>
      <c r="EFU5" s="3404"/>
      <c r="EFV5" s="3404"/>
      <c r="EFW5" s="3404"/>
      <c r="EFX5" s="3404"/>
      <c r="EFY5" s="3404"/>
      <c r="EFZ5" s="3404"/>
      <c r="EGA5" s="3404"/>
      <c r="EGB5" s="3404"/>
      <c r="EGC5" s="3404"/>
      <c r="EGD5" s="3404"/>
      <c r="EGE5" s="3404"/>
      <c r="EGF5" s="3404"/>
      <c r="EGG5" s="3404"/>
      <c r="EGH5" s="3404"/>
      <c r="EGI5" s="3404"/>
      <c r="EGJ5" s="3404"/>
      <c r="EGK5" s="3404"/>
      <c r="EGL5" s="3404"/>
      <c r="EGM5" s="3404"/>
      <c r="EGN5" s="3404"/>
      <c r="EGO5" s="3404"/>
      <c r="EGP5" s="3404"/>
      <c r="EGQ5" s="3404"/>
      <c r="EGR5" s="3404"/>
      <c r="EGS5" s="3404"/>
      <c r="EGT5" s="3404"/>
      <c r="EGU5" s="3404"/>
      <c r="EGV5" s="3404"/>
      <c r="EGW5" s="3404"/>
      <c r="EGX5" s="3404"/>
      <c r="EGY5" s="3404"/>
      <c r="EGZ5" s="3404"/>
      <c r="EHA5" s="3404"/>
      <c r="EHB5" s="3404"/>
      <c r="EHC5" s="3404"/>
      <c r="EHD5" s="3404"/>
      <c r="EHE5" s="3404"/>
      <c r="EHF5" s="3404"/>
      <c r="EHG5" s="3404"/>
      <c r="EHH5" s="3404"/>
      <c r="EHI5" s="3404"/>
      <c r="EHJ5" s="3404"/>
      <c r="EHK5" s="3404"/>
      <c r="EHL5" s="3404"/>
      <c r="EHM5" s="3404"/>
      <c r="EHN5" s="3404"/>
      <c r="EHO5" s="3404"/>
      <c r="EHP5" s="3404"/>
      <c r="EHQ5" s="3404"/>
      <c r="EHR5" s="3404"/>
      <c r="EHS5" s="3404"/>
      <c r="EHT5" s="3404"/>
      <c r="EHU5" s="3404"/>
      <c r="EHV5" s="3404"/>
      <c r="EHW5" s="3404"/>
      <c r="EHX5" s="3404"/>
      <c r="EHY5" s="3404"/>
      <c r="EHZ5" s="3404"/>
      <c r="EIA5" s="3404"/>
      <c r="EIB5" s="3404"/>
      <c r="EIC5" s="3404"/>
      <c r="EID5" s="3404"/>
      <c r="EIE5" s="3404"/>
      <c r="EIF5" s="3404"/>
      <c r="EIG5" s="3404"/>
      <c r="EIH5" s="3404"/>
      <c r="EII5" s="3404"/>
      <c r="EIJ5" s="3404"/>
      <c r="EIK5" s="3404"/>
      <c r="EIL5" s="3404"/>
      <c r="EIM5" s="3404"/>
      <c r="EIN5" s="3404"/>
      <c r="EIO5" s="3404"/>
      <c r="EIP5" s="3404"/>
      <c r="EIQ5" s="3404"/>
      <c r="EIR5" s="3404"/>
      <c r="EIS5" s="3404"/>
      <c r="EIT5" s="3404"/>
      <c r="EIU5" s="3404"/>
      <c r="EIV5" s="3404"/>
      <c r="EIW5" s="3404"/>
      <c r="EIX5" s="3404"/>
      <c r="EIY5" s="3404"/>
      <c r="EIZ5" s="3404"/>
      <c r="EJA5" s="3404"/>
      <c r="EJB5" s="3404"/>
      <c r="EJC5" s="3404"/>
      <c r="EJD5" s="3404"/>
      <c r="EJE5" s="3404"/>
      <c r="EJF5" s="3404"/>
      <c r="EJG5" s="3404"/>
      <c r="EJH5" s="3404"/>
      <c r="EJI5" s="3404"/>
      <c r="EJJ5" s="3404"/>
      <c r="EJK5" s="3404"/>
      <c r="EJL5" s="3404"/>
      <c r="EJM5" s="3404"/>
      <c r="EJN5" s="3404"/>
      <c r="EJO5" s="3404"/>
      <c r="EJP5" s="3404"/>
      <c r="EJQ5" s="3404"/>
      <c r="EJR5" s="3404"/>
      <c r="EJS5" s="3404"/>
      <c r="EJT5" s="3404"/>
      <c r="EJU5" s="3404"/>
      <c r="EJV5" s="3404"/>
      <c r="EJW5" s="3404"/>
      <c r="EJX5" s="3404"/>
      <c r="EJY5" s="3404"/>
      <c r="EJZ5" s="3404"/>
      <c r="EKA5" s="3404"/>
      <c r="EKB5" s="3404"/>
      <c r="EKC5" s="3404"/>
      <c r="EKD5" s="3404"/>
      <c r="EKE5" s="3404"/>
      <c r="EKF5" s="3404"/>
      <c r="EKG5" s="3404"/>
      <c r="EKH5" s="3404"/>
      <c r="EKI5" s="3404"/>
      <c r="EKJ5" s="3404"/>
      <c r="EKK5" s="3404"/>
      <c r="EKL5" s="3404"/>
      <c r="EKM5" s="3404"/>
      <c r="EKN5" s="3404"/>
      <c r="EKO5" s="3404"/>
      <c r="EKP5" s="3404"/>
      <c r="EKQ5" s="3404"/>
      <c r="EKR5" s="3404"/>
      <c r="EKS5" s="3404"/>
      <c r="EKT5" s="3404"/>
      <c r="EKU5" s="3404"/>
      <c r="EKV5" s="3404"/>
      <c r="EKW5" s="3404"/>
      <c r="EKX5" s="3404"/>
      <c r="EKY5" s="3404"/>
      <c r="EKZ5" s="3404"/>
      <c r="ELA5" s="3404"/>
      <c r="ELB5" s="3404"/>
      <c r="ELC5" s="3404"/>
      <c r="ELD5" s="3404"/>
      <c r="ELE5" s="3404"/>
      <c r="ELF5" s="3404"/>
      <c r="ELG5" s="3404"/>
      <c r="ELH5" s="3404"/>
      <c r="ELI5" s="3404"/>
      <c r="ELJ5" s="3404"/>
      <c r="ELK5" s="3404"/>
      <c r="ELL5" s="3404"/>
      <c r="ELM5" s="3404"/>
      <c r="ELN5" s="3404"/>
      <c r="ELO5" s="3404"/>
      <c r="ELP5" s="3404"/>
      <c r="ELQ5" s="3404"/>
      <c r="ELR5" s="3404"/>
      <c r="ELS5" s="3404"/>
      <c r="ELT5" s="3404"/>
      <c r="ELU5" s="3404"/>
      <c r="ELV5" s="3404"/>
      <c r="ELW5" s="3404"/>
      <c r="ELX5" s="3404"/>
      <c r="ELY5" s="3404"/>
      <c r="ELZ5" s="3404"/>
      <c r="EMA5" s="3404"/>
      <c r="EMB5" s="3404"/>
      <c r="EMC5" s="3404"/>
      <c r="EMD5" s="3404"/>
      <c r="EME5" s="3404"/>
      <c r="EMF5" s="3404"/>
      <c r="EMG5" s="3404"/>
      <c r="EMH5" s="3404"/>
      <c r="EMI5" s="3404"/>
      <c r="EMJ5" s="3404"/>
      <c r="EMK5" s="3404"/>
      <c r="EML5" s="3404"/>
      <c r="EMM5" s="3404"/>
      <c r="EMN5" s="3404"/>
      <c r="EMO5" s="3404"/>
      <c r="EMP5" s="3404"/>
      <c r="EMQ5" s="3404"/>
      <c r="EMR5" s="3404"/>
      <c r="EMS5" s="3404"/>
      <c r="EMT5" s="3404"/>
      <c r="EMU5" s="3404"/>
      <c r="EMV5" s="3404"/>
      <c r="EMW5" s="3404"/>
      <c r="EMX5" s="3404"/>
      <c r="EMY5" s="3404"/>
      <c r="EMZ5" s="3404"/>
      <c r="ENA5" s="3404"/>
      <c r="ENB5" s="3404"/>
      <c r="ENC5" s="3404"/>
      <c r="END5" s="3404"/>
      <c r="ENE5" s="3404"/>
      <c r="ENF5" s="3404"/>
      <c r="ENG5" s="3404"/>
      <c r="ENH5" s="3404"/>
      <c r="ENI5" s="3404"/>
      <c r="ENJ5" s="3404"/>
      <c r="ENK5" s="3404"/>
      <c r="ENL5" s="3404"/>
      <c r="ENM5" s="3404"/>
      <c r="ENN5" s="3404"/>
      <c r="ENO5" s="3404"/>
      <c r="ENP5" s="3404"/>
      <c r="ENQ5" s="3404"/>
      <c r="ENR5" s="3404"/>
      <c r="ENS5" s="3404"/>
      <c r="ENT5" s="3404"/>
      <c r="ENU5" s="3404"/>
      <c r="ENV5" s="3404"/>
      <c r="ENW5" s="3404"/>
      <c r="ENX5" s="3404"/>
      <c r="ENY5" s="3404"/>
      <c r="ENZ5" s="3404"/>
      <c r="EOA5" s="3404"/>
      <c r="EOB5" s="3404"/>
      <c r="EOC5" s="3404"/>
      <c r="EOD5" s="3404"/>
      <c r="EOE5" s="3404"/>
      <c r="EOF5" s="3404"/>
      <c r="EOG5" s="3404"/>
      <c r="EOH5" s="3404"/>
      <c r="EOI5" s="3404"/>
      <c r="EOJ5" s="3404"/>
      <c r="EOK5" s="3404"/>
      <c r="EOL5" s="3404"/>
      <c r="EOM5" s="3404"/>
      <c r="EON5" s="3404"/>
      <c r="EOO5" s="3404"/>
      <c r="EOP5" s="3404"/>
      <c r="EOQ5" s="3404"/>
      <c r="EOR5" s="3404"/>
      <c r="EOS5" s="3404"/>
      <c r="EOT5" s="3404"/>
      <c r="EOU5" s="3404"/>
      <c r="EOV5" s="3404"/>
      <c r="EOW5" s="3404"/>
      <c r="EOX5" s="3404"/>
      <c r="EOY5" s="3404"/>
      <c r="EOZ5" s="3404"/>
      <c r="EPA5" s="3404"/>
      <c r="EPB5" s="3404"/>
      <c r="EPC5" s="3404"/>
      <c r="EPD5" s="3404"/>
      <c r="EPE5" s="3404"/>
      <c r="EPF5" s="3404"/>
      <c r="EPG5" s="3404"/>
      <c r="EPH5" s="3404"/>
      <c r="EPI5" s="3404"/>
      <c r="EPJ5" s="3404"/>
      <c r="EPK5" s="3404"/>
      <c r="EPL5" s="3404"/>
      <c r="EPM5" s="3404"/>
      <c r="EPN5" s="3404"/>
      <c r="EPO5" s="3404"/>
      <c r="EPP5" s="3404"/>
      <c r="EPQ5" s="3404"/>
      <c r="EPR5" s="3404"/>
      <c r="EPS5" s="3404"/>
      <c r="EPT5" s="3404"/>
      <c r="EPU5" s="3404"/>
      <c r="EPV5" s="3404"/>
      <c r="EPW5" s="3404"/>
      <c r="EPX5" s="3404"/>
      <c r="EPY5" s="3404"/>
      <c r="EPZ5" s="3404"/>
      <c r="EQA5" s="3404"/>
      <c r="EQB5" s="3404"/>
      <c r="EQC5" s="3404"/>
      <c r="EQD5" s="3404"/>
      <c r="EQE5" s="3404"/>
      <c r="EQF5" s="3404"/>
      <c r="EQG5" s="3404"/>
      <c r="EQH5" s="3404"/>
      <c r="EQI5" s="3404"/>
      <c r="EQJ5" s="3404"/>
      <c r="EQK5" s="3404"/>
      <c r="EQL5" s="3404"/>
      <c r="EQM5" s="3404"/>
      <c r="EQN5" s="3404"/>
      <c r="EQO5" s="3404"/>
      <c r="EQP5" s="3404"/>
      <c r="EQQ5" s="3404"/>
      <c r="EQR5" s="3404"/>
      <c r="EQS5" s="3404"/>
      <c r="EQT5" s="3404"/>
      <c r="EQU5" s="3404"/>
      <c r="EQV5" s="3404"/>
      <c r="EQW5" s="3404"/>
      <c r="EQX5" s="3404"/>
      <c r="EQY5" s="3404"/>
      <c r="EQZ5" s="3404"/>
      <c r="ERA5" s="3404"/>
      <c r="ERB5" s="3404"/>
      <c r="ERC5" s="3404"/>
      <c r="ERD5" s="3404"/>
      <c r="ERE5" s="3404"/>
      <c r="ERF5" s="3404"/>
      <c r="ERG5" s="3404"/>
      <c r="ERH5" s="3404"/>
      <c r="ERI5" s="3404"/>
      <c r="ERJ5" s="3404"/>
      <c r="ERK5" s="3404"/>
      <c r="ERL5" s="3404"/>
      <c r="ERM5" s="3404"/>
      <c r="ERN5" s="3404"/>
      <c r="ERO5" s="3404"/>
      <c r="ERP5" s="3404"/>
      <c r="ERQ5" s="3404"/>
      <c r="ERR5" s="3404"/>
      <c r="ERS5" s="3404"/>
      <c r="ERT5" s="3404"/>
      <c r="ERU5" s="3404"/>
      <c r="ERV5" s="3404"/>
      <c r="ERW5" s="3404"/>
      <c r="ERX5" s="3404"/>
      <c r="ERY5" s="3404"/>
      <c r="ERZ5" s="3404"/>
      <c r="ESA5" s="3404"/>
      <c r="ESB5" s="3404"/>
      <c r="ESC5" s="3404"/>
      <c r="ESD5" s="3404"/>
      <c r="ESE5" s="3404"/>
      <c r="ESF5" s="3404"/>
      <c r="ESG5" s="3404"/>
      <c r="ESH5" s="3404"/>
      <c r="ESI5" s="3404"/>
      <c r="ESJ5" s="3404"/>
      <c r="ESK5" s="3404"/>
      <c r="ESL5" s="3404"/>
      <c r="ESM5" s="3404"/>
      <c r="ESN5" s="3404"/>
      <c r="ESO5" s="3404"/>
      <c r="ESP5" s="3404"/>
      <c r="ESQ5" s="3404"/>
      <c r="ESR5" s="3404"/>
      <c r="ESS5" s="3404"/>
      <c r="EST5" s="3404"/>
      <c r="ESU5" s="3404"/>
      <c r="ESV5" s="3404"/>
      <c r="ESW5" s="3404"/>
      <c r="ESX5" s="3404"/>
      <c r="ESY5" s="3404"/>
      <c r="ESZ5" s="3404"/>
      <c r="ETA5" s="3404"/>
      <c r="ETB5" s="3404"/>
      <c r="ETC5" s="3404"/>
      <c r="ETD5" s="3404"/>
      <c r="ETE5" s="3404"/>
      <c r="ETF5" s="3404"/>
      <c r="ETG5" s="3404"/>
      <c r="ETH5" s="3404"/>
      <c r="ETI5" s="3404"/>
      <c r="ETJ5" s="3404"/>
      <c r="ETK5" s="3404"/>
      <c r="ETL5" s="3404"/>
      <c r="ETM5" s="3404"/>
      <c r="ETN5" s="3404"/>
      <c r="ETO5" s="3404"/>
      <c r="ETP5" s="3404"/>
      <c r="ETQ5" s="3404"/>
      <c r="ETR5" s="3404"/>
      <c r="ETS5" s="3404"/>
      <c r="ETT5" s="3404"/>
      <c r="ETU5" s="3404"/>
      <c r="ETV5" s="3404"/>
      <c r="ETW5" s="3404"/>
      <c r="ETX5" s="3404"/>
      <c r="ETY5" s="3404"/>
      <c r="ETZ5" s="3404"/>
      <c r="EUA5" s="3404"/>
      <c r="EUB5" s="3404"/>
      <c r="EUC5" s="3404"/>
      <c r="EUD5" s="3404"/>
      <c r="EUE5" s="3404"/>
      <c r="EUF5" s="3404"/>
      <c r="EUG5" s="3404"/>
      <c r="EUH5" s="3404"/>
      <c r="EUI5" s="3404"/>
      <c r="EUJ5" s="3404"/>
      <c r="EUK5" s="3404"/>
      <c r="EUL5" s="3404"/>
      <c r="EUM5" s="3404"/>
      <c r="EUN5" s="3404"/>
      <c r="EUO5" s="3404"/>
      <c r="EUP5" s="3404"/>
      <c r="EUQ5" s="3404"/>
      <c r="EUR5" s="3404"/>
      <c r="EUS5" s="3404"/>
      <c r="EUT5" s="3404"/>
      <c r="EUU5" s="3404"/>
      <c r="EUV5" s="3404"/>
      <c r="EUW5" s="3404"/>
      <c r="EUX5" s="3404"/>
      <c r="EUY5" s="3404"/>
      <c r="EUZ5" s="3404"/>
      <c r="EVA5" s="3404"/>
      <c r="EVB5" s="3404"/>
      <c r="EVC5" s="3404"/>
      <c r="EVD5" s="3404"/>
      <c r="EVE5" s="3404"/>
      <c r="EVF5" s="3404"/>
      <c r="EVG5" s="3404"/>
      <c r="EVH5" s="3404"/>
      <c r="EVI5" s="3404"/>
      <c r="EVJ5" s="3404"/>
      <c r="EVK5" s="3404"/>
      <c r="EVL5" s="3404"/>
      <c r="EVM5" s="3404"/>
      <c r="EVN5" s="3404"/>
      <c r="EVO5" s="3404"/>
      <c r="EVP5" s="3404"/>
      <c r="EVQ5" s="3404"/>
      <c r="EVR5" s="3404"/>
      <c r="EVS5" s="3404"/>
      <c r="EVT5" s="3404"/>
      <c r="EVU5" s="3404"/>
      <c r="EVV5" s="3404"/>
      <c r="EVW5" s="3404"/>
      <c r="EVX5" s="3404"/>
      <c r="EVY5" s="3404"/>
      <c r="EVZ5" s="3404"/>
      <c r="EWA5" s="3404"/>
      <c r="EWB5" s="3404"/>
      <c r="EWC5" s="3404"/>
      <c r="EWD5" s="3404"/>
      <c r="EWE5" s="3404"/>
      <c r="EWF5" s="3404"/>
      <c r="EWG5" s="3404"/>
      <c r="EWH5" s="3404"/>
      <c r="EWI5" s="3404"/>
      <c r="EWJ5" s="3404"/>
      <c r="EWK5" s="3404"/>
      <c r="EWL5" s="3404"/>
      <c r="EWM5" s="3404"/>
      <c r="EWN5" s="3404"/>
      <c r="EWO5" s="3404"/>
      <c r="EWP5" s="3404"/>
      <c r="EWQ5" s="3404"/>
      <c r="EWR5" s="3404"/>
      <c r="EWS5" s="3404"/>
      <c r="EWT5" s="3404"/>
      <c r="EWU5" s="3404"/>
      <c r="EWV5" s="3404"/>
      <c r="EWW5" s="3404"/>
      <c r="EWX5" s="3404"/>
      <c r="EWY5" s="3404"/>
      <c r="EWZ5" s="3404"/>
      <c r="EXA5" s="3404"/>
      <c r="EXB5" s="3404"/>
      <c r="EXC5" s="3404"/>
      <c r="EXD5" s="3404"/>
      <c r="EXE5" s="3404"/>
      <c r="EXF5" s="3404"/>
      <c r="EXG5" s="3404"/>
      <c r="EXH5" s="3404"/>
      <c r="EXI5" s="3404"/>
      <c r="EXJ5" s="3404"/>
      <c r="EXK5" s="3404"/>
      <c r="EXL5" s="3404"/>
      <c r="EXM5" s="3404"/>
      <c r="EXN5" s="3404"/>
      <c r="EXO5" s="3404"/>
      <c r="EXP5" s="3404"/>
      <c r="EXQ5" s="3404"/>
      <c r="EXR5" s="3404"/>
      <c r="EXS5" s="3404"/>
      <c r="EXT5" s="3404"/>
      <c r="EXU5" s="3404"/>
      <c r="EXV5" s="3404"/>
      <c r="EXW5" s="3404"/>
      <c r="EXX5" s="3404"/>
      <c r="EXY5" s="3404"/>
      <c r="EXZ5" s="3404"/>
      <c r="EYA5" s="3404"/>
      <c r="EYB5" s="3404"/>
      <c r="EYC5" s="3404"/>
      <c r="EYD5" s="3404"/>
      <c r="EYE5" s="3404"/>
      <c r="EYF5" s="3404"/>
      <c r="EYG5" s="3404"/>
      <c r="EYH5" s="3404"/>
      <c r="EYI5" s="3404"/>
      <c r="EYJ5" s="3404"/>
      <c r="EYK5" s="3404"/>
      <c r="EYL5" s="3404"/>
      <c r="EYM5" s="3404"/>
      <c r="EYN5" s="3404"/>
      <c r="EYO5" s="3404"/>
      <c r="EYP5" s="3404"/>
      <c r="EYQ5" s="3404"/>
      <c r="EYR5" s="3404"/>
      <c r="EYS5" s="3404"/>
      <c r="EYT5" s="3404"/>
      <c r="EYU5" s="3404"/>
      <c r="EYV5" s="3404"/>
      <c r="EYW5" s="3404"/>
      <c r="EYX5" s="3404"/>
      <c r="EYY5" s="3404"/>
      <c r="EYZ5" s="3404"/>
      <c r="EZA5" s="3404"/>
      <c r="EZB5" s="3404"/>
      <c r="EZC5" s="3404"/>
      <c r="EZD5" s="3404"/>
      <c r="EZE5" s="3404"/>
      <c r="EZF5" s="3404"/>
      <c r="EZG5" s="3404"/>
      <c r="EZH5" s="3404"/>
      <c r="EZI5" s="3404"/>
      <c r="EZJ5" s="3404"/>
      <c r="EZK5" s="3404"/>
      <c r="EZL5" s="3404"/>
      <c r="EZM5" s="3404"/>
      <c r="EZN5" s="3404"/>
      <c r="EZO5" s="3404"/>
      <c r="EZP5" s="3404"/>
      <c r="EZQ5" s="3404"/>
      <c r="EZR5" s="3404"/>
      <c r="EZS5" s="3404"/>
      <c r="EZT5" s="3404"/>
      <c r="EZU5" s="3404"/>
      <c r="EZV5" s="3404"/>
      <c r="EZW5" s="3404"/>
      <c r="EZX5" s="3404"/>
      <c r="EZY5" s="3404"/>
      <c r="EZZ5" s="3404"/>
      <c r="FAA5" s="3404"/>
      <c r="FAB5" s="3404"/>
      <c r="FAC5" s="3404"/>
      <c r="FAD5" s="3404"/>
      <c r="FAE5" s="3404"/>
      <c r="FAF5" s="3404"/>
      <c r="FAG5" s="3404"/>
      <c r="FAH5" s="3404"/>
      <c r="FAI5" s="3404"/>
      <c r="FAJ5" s="3404"/>
      <c r="FAK5" s="3404"/>
      <c r="FAL5" s="3404"/>
      <c r="FAM5" s="3404"/>
      <c r="FAN5" s="3404"/>
      <c r="FAO5" s="3404"/>
      <c r="FAP5" s="3404"/>
      <c r="FAQ5" s="3404"/>
      <c r="FAR5" s="3404"/>
      <c r="FAS5" s="3404"/>
      <c r="FAT5" s="3404"/>
      <c r="FAU5" s="3404"/>
      <c r="FAV5" s="3404"/>
      <c r="FAW5" s="3404"/>
      <c r="FAX5" s="3404"/>
      <c r="FAY5" s="3404"/>
      <c r="FAZ5" s="3404"/>
      <c r="FBA5" s="3404"/>
      <c r="FBB5" s="3404"/>
      <c r="FBC5" s="3404"/>
      <c r="FBD5" s="3404"/>
      <c r="FBE5" s="3404"/>
      <c r="FBF5" s="3404"/>
      <c r="FBG5" s="3404"/>
      <c r="FBH5" s="3404"/>
      <c r="FBI5" s="3404"/>
      <c r="FBJ5" s="3404"/>
      <c r="FBK5" s="3404"/>
      <c r="FBL5" s="3404"/>
      <c r="FBM5" s="3404"/>
      <c r="FBN5" s="3404"/>
      <c r="FBO5" s="3404"/>
      <c r="FBP5" s="3404"/>
      <c r="FBQ5" s="3404"/>
      <c r="FBR5" s="3404"/>
      <c r="FBS5" s="3404"/>
      <c r="FBT5" s="3404"/>
      <c r="FBU5" s="3404"/>
      <c r="FBV5" s="3404"/>
      <c r="FBW5" s="3404"/>
      <c r="FBX5" s="3404"/>
      <c r="FBY5" s="3404"/>
      <c r="FBZ5" s="3404"/>
      <c r="FCA5" s="3404"/>
      <c r="FCB5" s="3404"/>
      <c r="FCC5" s="3404"/>
      <c r="FCD5" s="3404"/>
      <c r="FCE5" s="3404"/>
      <c r="FCF5" s="3404"/>
      <c r="FCG5" s="3404"/>
      <c r="FCH5" s="3404"/>
      <c r="FCI5" s="3404"/>
      <c r="FCJ5" s="3404"/>
      <c r="FCK5" s="3404"/>
      <c r="FCL5" s="3404"/>
      <c r="FCM5" s="3404"/>
      <c r="FCN5" s="3404"/>
      <c r="FCO5" s="3404"/>
      <c r="FCP5" s="3404"/>
      <c r="FCQ5" s="3404"/>
      <c r="FCR5" s="3404"/>
      <c r="FCS5" s="3404"/>
      <c r="FCT5" s="3404"/>
      <c r="FCU5" s="3404"/>
      <c r="FCV5" s="3404"/>
      <c r="FCW5" s="3404"/>
      <c r="FCX5" s="3404"/>
      <c r="FCY5" s="3404"/>
      <c r="FCZ5" s="3404"/>
      <c r="FDA5" s="3404"/>
      <c r="FDB5" s="3404"/>
      <c r="FDC5" s="3404"/>
      <c r="FDD5" s="3404"/>
      <c r="FDE5" s="3404"/>
      <c r="FDF5" s="3404"/>
      <c r="FDG5" s="3404"/>
      <c r="FDH5" s="3404"/>
      <c r="FDI5" s="3404"/>
      <c r="FDJ5" s="3404"/>
      <c r="FDK5" s="3404"/>
      <c r="FDL5" s="3404"/>
      <c r="FDM5" s="3404"/>
      <c r="FDN5" s="3404"/>
      <c r="FDO5" s="3404"/>
      <c r="FDP5" s="3404"/>
      <c r="FDQ5" s="3404"/>
      <c r="FDR5" s="3404"/>
      <c r="FDS5" s="3404"/>
      <c r="FDT5" s="3404"/>
      <c r="FDU5" s="3404"/>
      <c r="FDV5" s="3404"/>
      <c r="FDW5" s="3404"/>
      <c r="FDX5" s="3404"/>
      <c r="FDY5" s="3404"/>
      <c r="FDZ5" s="3404"/>
      <c r="FEA5" s="3404"/>
      <c r="FEB5" s="3404"/>
      <c r="FEC5" s="3404"/>
      <c r="FED5" s="3404"/>
      <c r="FEE5" s="3404"/>
      <c r="FEF5" s="3404"/>
      <c r="FEG5" s="3404"/>
      <c r="FEH5" s="3404"/>
      <c r="FEI5" s="3404"/>
      <c r="FEJ5" s="3404"/>
      <c r="FEK5" s="3404"/>
      <c r="FEL5" s="3404"/>
      <c r="FEM5" s="3404"/>
      <c r="FEN5" s="3404"/>
      <c r="FEO5" s="3404"/>
      <c r="FEP5" s="3404"/>
      <c r="FEQ5" s="3404"/>
      <c r="FER5" s="3404"/>
      <c r="FES5" s="3404"/>
      <c r="FET5" s="3404"/>
      <c r="FEU5" s="3404"/>
      <c r="FEV5" s="3404"/>
      <c r="FEW5" s="3404"/>
      <c r="FEX5" s="3404"/>
      <c r="FEY5" s="3404"/>
      <c r="FEZ5" s="3404"/>
      <c r="FFA5" s="3404"/>
      <c r="FFB5" s="3404"/>
      <c r="FFC5" s="3404"/>
      <c r="FFD5" s="3404"/>
      <c r="FFE5" s="3404"/>
      <c r="FFF5" s="3404"/>
      <c r="FFG5" s="3404"/>
      <c r="FFH5" s="3404"/>
      <c r="FFI5" s="3404"/>
      <c r="FFJ5" s="3404"/>
      <c r="FFK5" s="3404"/>
      <c r="FFL5" s="3404"/>
      <c r="FFM5" s="3404"/>
      <c r="FFN5" s="3404"/>
      <c r="FFO5" s="3404"/>
      <c r="FFP5" s="3404"/>
      <c r="FFQ5" s="3404"/>
      <c r="FFR5" s="3404"/>
      <c r="FFS5" s="3404"/>
      <c r="FFT5" s="3404"/>
      <c r="FFU5" s="3404"/>
      <c r="FFV5" s="3404"/>
      <c r="FFW5" s="3404"/>
      <c r="FFX5" s="3404"/>
      <c r="FFY5" s="3404"/>
      <c r="FFZ5" s="3404"/>
      <c r="FGA5" s="3404"/>
      <c r="FGB5" s="3404"/>
      <c r="FGC5" s="3404"/>
      <c r="FGD5" s="3404"/>
      <c r="FGE5" s="3404"/>
      <c r="FGF5" s="3404"/>
      <c r="FGG5" s="3404"/>
      <c r="FGH5" s="3404"/>
      <c r="FGI5" s="3404"/>
      <c r="FGJ5" s="3404"/>
      <c r="FGK5" s="3404"/>
      <c r="FGL5" s="3404"/>
      <c r="FGM5" s="3404"/>
      <c r="FGN5" s="3404"/>
      <c r="FGO5" s="3404"/>
      <c r="FGP5" s="3404"/>
      <c r="FGQ5" s="3404"/>
      <c r="FGR5" s="3404"/>
      <c r="FGS5" s="3404"/>
      <c r="FGT5" s="3404"/>
      <c r="FGU5" s="3404"/>
      <c r="FGV5" s="3404"/>
      <c r="FGW5" s="3404"/>
      <c r="FGX5" s="3404"/>
      <c r="FGY5" s="3404"/>
      <c r="FGZ5" s="3404"/>
      <c r="FHA5" s="3404"/>
      <c r="FHB5" s="3404"/>
      <c r="FHC5" s="3404"/>
      <c r="FHD5" s="3404"/>
      <c r="FHE5" s="3404"/>
      <c r="FHF5" s="3404"/>
      <c r="FHG5" s="3404"/>
      <c r="FHH5" s="3404"/>
      <c r="FHI5" s="3404"/>
      <c r="FHJ5" s="3404"/>
      <c r="FHK5" s="3404"/>
      <c r="FHL5" s="3404"/>
      <c r="FHM5" s="3404"/>
      <c r="FHN5" s="3404"/>
      <c r="FHO5" s="3404"/>
      <c r="FHP5" s="3404"/>
      <c r="FHQ5" s="3404"/>
      <c r="FHR5" s="3404"/>
      <c r="FHS5" s="3404"/>
      <c r="FHT5" s="3404"/>
      <c r="FHU5" s="3404"/>
      <c r="FHV5" s="3404"/>
      <c r="FHW5" s="3404"/>
      <c r="FHX5" s="3404"/>
      <c r="FHY5" s="3404"/>
      <c r="FHZ5" s="3404"/>
      <c r="FIA5" s="3404"/>
      <c r="FIB5" s="3404"/>
      <c r="FIC5" s="3404"/>
      <c r="FID5" s="3404"/>
      <c r="FIE5" s="3404"/>
      <c r="FIF5" s="3404"/>
      <c r="FIG5" s="3404"/>
      <c r="FIH5" s="3404"/>
      <c r="FII5" s="3404"/>
      <c r="FIJ5" s="3404"/>
      <c r="FIK5" s="3404"/>
      <c r="FIL5" s="3404"/>
      <c r="FIM5" s="3404"/>
      <c r="FIN5" s="3404"/>
      <c r="FIO5" s="3404"/>
      <c r="FIP5" s="3404"/>
      <c r="FIQ5" s="3404"/>
      <c r="FIR5" s="3404"/>
      <c r="FIS5" s="3404"/>
      <c r="FIT5" s="3404"/>
      <c r="FIU5" s="3404"/>
      <c r="FIV5" s="3404"/>
      <c r="FIW5" s="3404"/>
      <c r="FIX5" s="3404"/>
      <c r="FIY5" s="3404"/>
      <c r="FIZ5" s="3404"/>
      <c r="FJA5" s="3404"/>
      <c r="FJB5" s="3404"/>
      <c r="FJC5" s="3404"/>
      <c r="FJD5" s="3404"/>
      <c r="FJE5" s="3404"/>
      <c r="FJF5" s="3404"/>
      <c r="FJG5" s="3404"/>
      <c r="FJH5" s="3404"/>
      <c r="FJI5" s="3404"/>
      <c r="FJJ5" s="3404"/>
      <c r="FJK5" s="3404"/>
      <c r="FJL5" s="3404"/>
      <c r="FJM5" s="3404"/>
      <c r="FJN5" s="3404"/>
      <c r="FJO5" s="3404"/>
      <c r="FJP5" s="3404"/>
      <c r="FJQ5" s="3404"/>
      <c r="FJR5" s="3404"/>
      <c r="FJS5" s="3404"/>
      <c r="FJT5" s="3404"/>
      <c r="FJU5" s="3404"/>
      <c r="FJV5" s="3404"/>
      <c r="FJW5" s="3404"/>
      <c r="FJX5" s="3404"/>
      <c r="FJY5" s="3404"/>
      <c r="FJZ5" s="3404"/>
      <c r="FKA5" s="3404"/>
      <c r="FKB5" s="3404"/>
      <c r="FKC5" s="3404"/>
      <c r="FKD5" s="3404"/>
      <c r="FKE5" s="3404"/>
      <c r="FKF5" s="3404"/>
      <c r="FKG5" s="3404"/>
      <c r="FKH5" s="3404"/>
      <c r="FKI5" s="3404"/>
      <c r="FKJ5" s="3404"/>
      <c r="FKK5" s="3404"/>
      <c r="FKL5" s="3404"/>
      <c r="FKM5" s="3404"/>
      <c r="FKN5" s="3404"/>
      <c r="FKO5" s="3404"/>
      <c r="FKP5" s="3404"/>
      <c r="FKQ5" s="3404"/>
      <c r="FKR5" s="3404"/>
      <c r="FKS5" s="3404"/>
      <c r="FKT5" s="3404"/>
      <c r="FKU5" s="3404"/>
      <c r="FKV5" s="3404"/>
      <c r="FKW5" s="3404"/>
      <c r="FKX5" s="3404"/>
      <c r="FKY5" s="3404"/>
      <c r="FKZ5" s="3404"/>
      <c r="FLA5" s="3404"/>
      <c r="FLB5" s="3404"/>
      <c r="FLC5" s="3404"/>
      <c r="FLD5" s="3404"/>
      <c r="FLE5" s="3404"/>
      <c r="FLF5" s="3404"/>
      <c r="FLG5" s="3404"/>
      <c r="FLH5" s="3404"/>
      <c r="FLI5" s="3404"/>
      <c r="FLJ5" s="3404"/>
      <c r="FLK5" s="3404"/>
      <c r="FLL5" s="3404"/>
      <c r="FLM5" s="3404"/>
      <c r="FLN5" s="3404"/>
      <c r="FLO5" s="3404"/>
      <c r="FLP5" s="3404"/>
      <c r="FLQ5" s="3404"/>
      <c r="FLR5" s="3404"/>
      <c r="FLS5" s="3404"/>
      <c r="FLT5" s="3404"/>
      <c r="FLU5" s="3404"/>
      <c r="FLV5" s="3404"/>
      <c r="FLW5" s="3404"/>
      <c r="FLX5" s="3404"/>
      <c r="FLY5" s="3404"/>
      <c r="FLZ5" s="3404"/>
      <c r="FMA5" s="3404"/>
      <c r="FMB5" s="3404"/>
      <c r="FMC5" s="3404"/>
      <c r="FMD5" s="3404"/>
      <c r="FME5" s="3404"/>
      <c r="FMF5" s="3404"/>
      <c r="FMG5" s="3404"/>
      <c r="FMH5" s="3404"/>
      <c r="FMI5" s="3404"/>
      <c r="FMJ5" s="3404"/>
      <c r="FMK5" s="3404"/>
      <c r="FML5" s="3404"/>
      <c r="FMM5" s="3404"/>
      <c r="FMN5" s="3404"/>
      <c r="FMO5" s="3404"/>
      <c r="FMP5" s="3404"/>
      <c r="FMQ5" s="3404"/>
      <c r="FMR5" s="3404"/>
      <c r="FMS5" s="3404"/>
      <c r="FMT5" s="3404"/>
      <c r="FMU5" s="3404"/>
      <c r="FMV5" s="3404"/>
      <c r="FMW5" s="3404"/>
      <c r="FMX5" s="3404"/>
      <c r="FMY5" s="3404"/>
      <c r="FMZ5" s="3404"/>
      <c r="FNA5" s="3404"/>
      <c r="FNB5" s="3404"/>
      <c r="FNC5" s="3404"/>
      <c r="FND5" s="3404"/>
      <c r="FNE5" s="3404"/>
      <c r="FNF5" s="3404"/>
      <c r="FNG5" s="3404"/>
      <c r="FNH5" s="3404"/>
      <c r="FNI5" s="3404"/>
      <c r="FNJ5" s="3404"/>
      <c r="FNK5" s="3404"/>
      <c r="FNL5" s="3404"/>
      <c r="FNM5" s="3404"/>
      <c r="FNN5" s="3404"/>
      <c r="FNO5" s="3404"/>
      <c r="FNP5" s="3404"/>
      <c r="FNQ5" s="3404"/>
      <c r="FNR5" s="3404"/>
      <c r="FNS5" s="3404"/>
      <c r="FNT5" s="3404"/>
      <c r="FNU5" s="3404"/>
      <c r="FNV5" s="3404"/>
      <c r="FNW5" s="3404"/>
      <c r="FNX5" s="3404"/>
      <c r="FNY5" s="3404"/>
      <c r="FNZ5" s="3404"/>
      <c r="FOA5" s="3404"/>
      <c r="FOB5" s="3404"/>
      <c r="FOC5" s="3404"/>
      <c r="FOD5" s="3404"/>
      <c r="FOE5" s="3404"/>
      <c r="FOF5" s="3404"/>
      <c r="FOG5" s="3404"/>
      <c r="FOH5" s="3404"/>
      <c r="FOI5" s="3404"/>
      <c r="FOJ5" s="3404"/>
      <c r="FOK5" s="3404"/>
      <c r="FOL5" s="3404"/>
      <c r="FOM5" s="3404"/>
      <c r="FON5" s="3404"/>
      <c r="FOO5" s="3404"/>
      <c r="FOP5" s="3404"/>
      <c r="FOQ5" s="3404"/>
      <c r="FOR5" s="3404"/>
      <c r="FOS5" s="3404"/>
      <c r="FOT5" s="3404"/>
      <c r="FOU5" s="3404"/>
      <c r="FOV5" s="3404"/>
      <c r="FOW5" s="3404"/>
      <c r="FOX5" s="3404"/>
      <c r="FOY5" s="3404"/>
      <c r="FOZ5" s="3404"/>
      <c r="FPA5" s="3404"/>
      <c r="FPB5" s="3404"/>
      <c r="FPC5" s="3404"/>
      <c r="FPD5" s="3404"/>
      <c r="FPE5" s="3404"/>
      <c r="FPF5" s="3404"/>
      <c r="FPG5" s="3404"/>
      <c r="FPH5" s="3404"/>
      <c r="FPI5" s="3404"/>
      <c r="FPJ5" s="3404"/>
      <c r="FPK5" s="3404"/>
      <c r="FPL5" s="3404"/>
      <c r="FPM5" s="3404"/>
      <c r="FPN5" s="3404"/>
      <c r="FPO5" s="3404"/>
      <c r="FPP5" s="3404"/>
      <c r="FPQ5" s="3404"/>
      <c r="FPR5" s="3404"/>
      <c r="FPS5" s="3404"/>
      <c r="FPT5" s="3404"/>
      <c r="FPU5" s="3404"/>
      <c r="FPV5" s="3404"/>
      <c r="FPW5" s="3404"/>
      <c r="FPX5" s="3404"/>
      <c r="FPY5" s="3404"/>
      <c r="FPZ5" s="3404"/>
      <c r="FQA5" s="3404"/>
      <c r="FQB5" s="3404"/>
      <c r="FQC5" s="3404"/>
      <c r="FQD5" s="3404"/>
      <c r="FQE5" s="3404"/>
      <c r="FQF5" s="3404"/>
      <c r="FQG5" s="3404"/>
      <c r="FQH5" s="3404"/>
      <c r="FQI5" s="3404"/>
      <c r="FQJ5" s="3404"/>
      <c r="FQK5" s="3404"/>
      <c r="FQL5" s="3404"/>
      <c r="FQM5" s="3404"/>
      <c r="FQN5" s="3404"/>
      <c r="FQO5" s="3404"/>
      <c r="FQP5" s="3404"/>
      <c r="FQQ5" s="3404"/>
      <c r="FQR5" s="3404"/>
      <c r="FQS5" s="3404"/>
      <c r="FQT5" s="3404"/>
      <c r="FQU5" s="3404"/>
      <c r="FQV5" s="3404"/>
      <c r="FQW5" s="3404"/>
      <c r="FQX5" s="3404"/>
      <c r="FQY5" s="3404"/>
      <c r="FQZ5" s="3404"/>
      <c r="FRA5" s="3404"/>
      <c r="FRB5" s="3404"/>
      <c r="FRC5" s="3404"/>
      <c r="FRD5" s="3404"/>
      <c r="FRE5" s="3404"/>
      <c r="FRF5" s="3404"/>
      <c r="FRG5" s="3404"/>
      <c r="FRH5" s="3404"/>
      <c r="FRI5" s="3404"/>
      <c r="FRJ5" s="3404"/>
      <c r="FRK5" s="3404"/>
      <c r="FRL5" s="3404"/>
      <c r="FRM5" s="3404"/>
      <c r="FRN5" s="3404"/>
      <c r="FRO5" s="3404"/>
      <c r="FRP5" s="3404"/>
      <c r="FRQ5" s="3404"/>
      <c r="FRR5" s="3404"/>
      <c r="FRS5" s="3404"/>
      <c r="FRT5" s="3404"/>
      <c r="FRU5" s="3404"/>
      <c r="FRV5" s="3404"/>
      <c r="FRW5" s="3404"/>
      <c r="FRX5" s="3404"/>
      <c r="FRY5" s="3404"/>
      <c r="FRZ5" s="3404"/>
      <c r="FSA5" s="3404"/>
      <c r="FSB5" s="3404"/>
      <c r="FSC5" s="3404"/>
      <c r="FSD5" s="3404"/>
      <c r="FSE5" s="3404"/>
      <c r="FSF5" s="3404"/>
      <c r="FSG5" s="3404"/>
      <c r="FSH5" s="3404"/>
      <c r="FSI5" s="3404"/>
      <c r="FSJ5" s="3404"/>
      <c r="FSK5" s="3404"/>
      <c r="FSL5" s="3404"/>
      <c r="FSM5" s="3404"/>
      <c r="FSN5" s="3404"/>
      <c r="FSO5" s="3404"/>
      <c r="FSP5" s="3404"/>
      <c r="FSQ5" s="3404"/>
      <c r="FSR5" s="3404"/>
      <c r="FSS5" s="3404"/>
      <c r="FST5" s="3404"/>
      <c r="FSU5" s="3404"/>
      <c r="FSV5" s="3404"/>
      <c r="FSW5" s="3404"/>
      <c r="FSX5" s="3404"/>
      <c r="FSY5" s="3404"/>
      <c r="FSZ5" s="3404"/>
      <c r="FTA5" s="3404"/>
      <c r="FTB5" s="3404"/>
      <c r="FTC5" s="3404"/>
      <c r="FTD5" s="3404"/>
      <c r="FTE5" s="3404"/>
      <c r="FTF5" s="3404"/>
      <c r="FTG5" s="3404"/>
      <c r="FTH5" s="3404"/>
      <c r="FTI5" s="3404"/>
      <c r="FTJ5" s="3404"/>
      <c r="FTK5" s="3404"/>
      <c r="FTL5" s="3404"/>
      <c r="FTM5" s="3404"/>
      <c r="FTN5" s="3404"/>
      <c r="FTO5" s="3404"/>
      <c r="FTP5" s="3404"/>
      <c r="FTQ5" s="3404"/>
      <c r="FTR5" s="3404"/>
      <c r="FTS5" s="3404"/>
      <c r="FTT5" s="3404"/>
      <c r="FTU5" s="3404"/>
      <c r="FTV5" s="3404"/>
      <c r="FTW5" s="3404"/>
      <c r="FTX5" s="3404"/>
      <c r="FTY5" s="3404"/>
      <c r="FTZ5" s="3404"/>
      <c r="FUA5" s="3404"/>
      <c r="FUB5" s="3404"/>
      <c r="FUC5" s="3404"/>
      <c r="FUD5" s="3404"/>
      <c r="FUE5" s="3404"/>
      <c r="FUF5" s="3404"/>
      <c r="FUG5" s="3404"/>
      <c r="FUH5" s="3404"/>
      <c r="FUI5" s="3404"/>
      <c r="FUJ5" s="3404"/>
      <c r="FUK5" s="3404"/>
      <c r="FUL5" s="3404"/>
      <c r="FUM5" s="3404"/>
      <c r="FUN5" s="3404"/>
      <c r="FUO5" s="3404"/>
      <c r="FUP5" s="3404"/>
      <c r="FUQ5" s="3404"/>
      <c r="FUR5" s="3404"/>
      <c r="FUS5" s="3404"/>
      <c r="FUT5" s="3404"/>
      <c r="FUU5" s="3404"/>
      <c r="FUV5" s="3404"/>
      <c r="FUW5" s="3404"/>
      <c r="FUX5" s="3404"/>
      <c r="FUY5" s="3404"/>
      <c r="FUZ5" s="3404"/>
      <c r="FVA5" s="3404"/>
      <c r="FVB5" s="3404"/>
      <c r="FVC5" s="3404"/>
      <c r="FVD5" s="3404"/>
      <c r="FVE5" s="3404"/>
      <c r="FVF5" s="3404"/>
      <c r="FVG5" s="3404"/>
      <c r="FVH5" s="3404"/>
      <c r="FVI5" s="3404"/>
      <c r="FVJ5" s="3404"/>
      <c r="FVK5" s="3404"/>
      <c r="FVL5" s="3404"/>
      <c r="FVM5" s="3404"/>
      <c r="FVN5" s="3404"/>
      <c r="FVO5" s="3404"/>
      <c r="FVP5" s="3404"/>
      <c r="FVQ5" s="3404"/>
      <c r="FVR5" s="3404"/>
      <c r="FVS5" s="3404"/>
      <c r="FVT5" s="3404"/>
      <c r="FVU5" s="3404"/>
      <c r="FVV5" s="3404"/>
      <c r="FVW5" s="3404"/>
      <c r="FVX5" s="3404"/>
      <c r="FVY5" s="3404"/>
      <c r="FVZ5" s="3404"/>
      <c r="FWA5" s="3404"/>
      <c r="FWB5" s="3404"/>
      <c r="FWC5" s="3404"/>
      <c r="FWD5" s="3404"/>
      <c r="FWE5" s="3404"/>
      <c r="FWF5" s="3404"/>
      <c r="FWG5" s="3404"/>
      <c r="FWH5" s="3404"/>
      <c r="FWI5" s="3404"/>
      <c r="FWJ5" s="3404"/>
      <c r="FWK5" s="3404"/>
      <c r="FWL5" s="3404"/>
      <c r="FWM5" s="3404"/>
      <c r="FWN5" s="3404"/>
      <c r="FWO5" s="3404"/>
      <c r="FWP5" s="3404"/>
      <c r="FWQ5" s="3404"/>
      <c r="FWR5" s="3404"/>
      <c r="FWS5" s="3404"/>
      <c r="FWT5" s="3404"/>
      <c r="FWU5" s="3404"/>
      <c r="FWV5" s="3404"/>
      <c r="FWW5" s="3404"/>
      <c r="FWX5" s="3404"/>
      <c r="FWY5" s="3404"/>
      <c r="FWZ5" s="3404"/>
      <c r="FXA5" s="3404"/>
      <c r="FXB5" s="3404"/>
      <c r="FXC5" s="3404"/>
      <c r="FXD5" s="3404"/>
      <c r="FXE5" s="3404"/>
      <c r="FXF5" s="3404"/>
      <c r="FXG5" s="3404"/>
      <c r="FXH5" s="3404"/>
      <c r="FXI5" s="3404"/>
      <c r="FXJ5" s="3404"/>
      <c r="FXK5" s="3404"/>
      <c r="FXL5" s="3404"/>
      <c r="FXM5" s="3404"/>
      <c r="FXN5" s="3404"/>
      <c r="FXO5" s="3404"/>
      <c r="FXP5" s="3404"/>
      <c r="FXQ5" s="3404"/>
      <c r="FXR5" s="3404"/>
      <c r="FXS5" s="3404"/>
      <c r="FXT5" s="3404"/>
      <c r="FXU5" s="3404"/>
      <c r="FXV5" s="3404"/>
      <c r="FXW5" s="3404"/>
      <c r="FXX5" s="3404"/>
      <c r="FXY5" s="3404"/>
      <c r="FXZ5" s="3404"/>
      <c r="FYA5" s="3404"/>
      <c r="FYB5" s="3404"/>
      <c r="FYC5" s="3404"/>
      <c r="FYD5" s="3404"/>
      <c r="FYE5" s="3404"/>
      <c r="FYF5" s="3404"/>
      <c r="FYG5" s="3404"/>
      <c r="FYH5" s="3404"/>
      <c r="FYI5" s="3404"/>
      <c r="FYJ5" s="3404"/>
      <c r="FYK5" s="3404"/>
      <c r="FYL5" s="3404"/>
      <c r="FYM5" s="3404"/>
      <c r="FYN5" s="3404"/>
      <c r="FYO5" s="3404"/>
      <c r="FYP5" s="3404"/>
      <c r="FYQ5" s="3404"/>
      <c r="FYR5" s="3404"/>
      <c r="FYS5" s="3404"/>
      <c r="FYT5" s="3404"/>
      <c r="FYU5" s="3404"/>
      <c r="FYV5" s="3404"/>
      <c r="FYW5" s="3404"/>
      <c r="FYX5" s="3404"/>
      <c r="FYY5" s="3404"/>
      <c r="FYZ5" s="3404"/>
      <c r="FZA5" s="3404"/>
      <c r="FZB5" s="3404"/>
      <c r="FZC5" s="3404"/>
      <c r="FZD5" s="3404"/>
      <c r="FZE5" s="3404"/>
      <c r="FZF5" s="3404"/>
      <c r="FZG5" s="3404"/>
      <c r="FZH5" s="3404"/>
      <c r="FZI5" s="3404"/>
      <c r="FZJ5" s="3404"/>
      <c r="FZK5" s="3404"/>
      <c r="FZL5" s="3404"/>
      <c r="FZM5" s="3404"/>
      <c r="FZN5" s="3404"/>
      <c r="FZO5" s="3404"/>
      <c r="FZP5" s="3404"/>
      <c r="FZQ5" s="3404"/>
      <c r="FZR5" s="3404"/>
      <c r="FZS5" s="3404"/>
      <c r="FZT5" s="3404"/>
      <c r="FZU5" s="3404"/>
      <c r="FZV5" s="3404"/>
      <c r="FZW5" s="3404"/>
      <c r="FZX5" s="3404"/>
      <c r="FZY5" s="3404"/>
      <c r="FZZ5" s="3404"/>
      <c r="GAA5" s="3404"/>
      <c r="GAB5" s="3404"/>
      <c r="GAC5" s="3404"/>
      <c r="GAD5" s="3404"/>
      <c r="GAE5" s="3404"/>
      <c r="GAF5" s="3404"/>
      <c r="GAG5" s="3404"/>
      <c r="GAH5" s="3404"/>
      <c r="GAI5" s="3404"/>
      <c r="GAJ5" s="3404"/>
      <c r="GAK5" s="3404"/>
      <c r="GAL5" s="3404"/>
      <c r="GAM5" s="3404"/>
      <c r="GAN5" s="3404"/>
      <c r="GAO5" s="3404"/>
      <c r="GAP5" s="3404"/>
      <c r="GAQ5" s="3404"/>
      <c r="GAR5" s="3404"/>
      <c r="GAS5" s="3404"/>
      <c r="GAT5" s="3404"/>
      <c r="GAU5" s="3404"/>
      <c r="GAV5" s="3404"/>
      <c r="GAW5" s="3404"/>
      <c r="GAX5" s="3404"/>
      <c r="GAY5" s="3404"/>
      <c r="GAZ5" s="3404"/>
      <c r="GBA5" s="3404"/>
      <c r="GBB5" s="3404"/>
      <c r="GBC5" s="3404"/>
      <c r="GBD5" s="3404"/>
      <c r="GBE5" s="3404"/>
      <c r="GBF5" s="3404"/>
      <c r="GBG5" s="3404"/>
      <c r="GBH5" s="3404"/>
      <c r="GBI5" s="3404"/>
      <c r="GBJ5" s="3404"/>
      <c r="GBK5" s="3404"/>
      <c r="GBL5" s="3404"/>
      <c r="GBM5" s="3404"/>
      <c r="GBN5" s="3404"/>
      <c r="GBO5" s="3404"/>
      <c r="GBP5" s="3404"/>
      <c r="GBQ5" s="3404"/>
      <c r="GBR5" s="3404"/>
      <c r="GBS5" s="3404"/>
      <c r="GBT5" s="3404"/>
      <c r="GBU5" s="3404"/>
      <c r="GBV5" s="3404"/>
      <c r="GBW5" s="3404"/>
      <c r="GBX5" s="3404"/>
      <c r="GBY5" s="3404"/>
      <c r="GBZ5" s="3404"/>
      <c r="GCA5" s="3404"/>
      <c r="GCB5" s="3404"/>
      <c r="GCC5" s="3404"/>
      <c r="GCD5" s="3404"/>
      <c r="GCE5" s="3404"/>
      <c r="GCF5" s="3404"/>
      <c r="GCG5" s="3404"/>
      <c r="GCH5" s="3404"/>
      <c r="GCI5" s="3404"/>
      <c r="GCJ5" s="3404"/>
      <c r="GCK5" s="3404"/>
      <c r="GCL5" s="3404"/>
      <c r="GCM5" s="3404"/>
      <c r="GCN5" s="3404"/>
      <c r="GCO5" s="3404"/>
      <c r="GCP5" s="3404"/>
      <c r="GCQ5" s="3404"/>
      <c r="GCR5" s="3404"/>
      <c r="GCS5" s="3404"/>
      <c r="GCT5" s="3404"/>
      <c r="GCU5" s="3404"/>
      <c r="GCV5" s="3404"/>
      <c r="GCW5" s="3404"/>
      <c r="GCX5" s="3404"/>
      <c r="GCY5" s="3404"/>
      <c r="GCZ5" s="3404"/>
      <c r="GDA5" s="3404"/>
      <c r="GDB5" s="3404"/>
      <c r="GDC5" s="3404"/>
      <c r="GDD5" s="3404"/>
      <c r="GDE5" s="3404"/>
      <c r="GDF5" s="3404"/>
      <c r="GDG5" s="3404"/>
      <c r="GDH5" s="3404"/>
      <c r="GDI5" s="3404"/>
      <c r="GDJ5" s="3404"/>
      <c r="GDK5" s="3404"/>
      <c r="GDL5" s="3404"/>
      <c r="GDM5" s="3404"/>
      <c r="GDN5" s="3404"/>
      <c r="GDO5" s="3404"/>
      <c r="GDP5" s="3404"/>
      <c r="GDQ5" s="3404"/>
      <c r="GDR5" s="3404"/>
      <c r="GDS5" s="3404"/>
      <c r="GDT5" s="3404"/>
      <c r="GDU5" s="3404"/>
      <c r="GDV5" s="3404"/>
      <c r="GDW5" s="3404"/>
      <c r="GDX5" s="3404"/>
      <c r="GDY5" s="3404"/>
      <c r="GDZ5" s="3404"/>
      <c r="GEA5" s="3404"/>
      <c r="GEB5" s="3404"/>
      <c r="GEC5" s="3404"/>
      <c r="GED5" s="3404"/>
      <c r="GEE5" s="3404"/>
      <c r="GEF5" s="3404"/>
      <c r="GEG5" s="3404"/>
      <c r="GEH5" s="3404"/>
      <c r="GEI5" s="3404"/>
      <c r="GEJ5" s="3404"/>
      <c r="GEK5" s="3404"/>
      <c r="GEL5" s="3404"/>
      <c r="GEM5" s="3404"/>
      <c r="GEN5" s="3404"/>
      <c r="GEO5" s="3404"/>
      <c r="GEP5" s="3404"/>
      <c r="GEQ5" s="3404"/>
      <c r="GER5" s="3404"/>
      <c r="GES5" s="3404"/>
      <c r="GET5" s="3404"/>
      <c r="GEU5" s="3404"/>
      <c r="GEV5" s="3404"/>
      <c r="GEW5" s="3404"/>
      <c r="GEX5" s="3404"/>
      <c r="GEY5" s="3404"/>
      <c r="GEZ5" s="3404"/>
      <c r="GFA5" s="3404"/>
      <c r="GFB5" s="3404"/>
      <c r="GFC5" s="3404"/>
      <c r="GFD5" s="3404"/>
      <c r="GFE5" s="3404"/>
      <c r="GFF5" s="3404"/>
      <c r="GFG5" s="3404"/>
      <c r="GFH5" s="3404"/>
      <c r="GFI5" s="3404"/>
      <c r="GFJ5" s="3404"/>
      <c r="GFK5" s="3404"/>
      <c r="GFL5" s="3404"/>
      <c r="GFM5" s="3404"/>
      <c r="GFN5" s="3404"/>
      <c r="GFO5" s="3404"/>
      <c r="GFP5" s="3404"/>
      <c r="GFQ5" s="3404"/>
      <c r="GFR5" s="3404"/>
      <c r="GFS5" s="3404"/>
      <c r="GFT5" s="3404"/>
      <c r="GFU5" s="3404"/>
      <c r="GFV5" s="3404"/>
      <c r="GFW5" s="3404"/>
      <c r="GFX5" s="3404"/>
      <c r="GFY5" s="3404"/>
      <c r="GFZ5" s="3404"/>
      <c r="GGA5" s="3404"/>
      <c r="GGB5" s="3404"/>
      <c r="GGC5" s="3404"/>
      <c r="GGD5" s="3404"/>
      <c r="GGE5" s="3404"/>
      <c r="GGF5" s="3404"/>
      <c r="GGG5" s="3404"/>
      <c r="GGH5" s="3404"/>
      <c r="GGI5" s="3404"/>
      <c r="GGJ5" s="3404"/>
      <c r="GGK5" s="3404"/>
      <c r="GGL5" s="3404"/>
      <c r="GGM5" s="3404"/>
      <c r="GGN5" s="3404"/>
      <c r="GGO5" s="3404"/>
      <c r="GGP5" s="3404"/>
      <c r="GGQ5" s="3404"/>
      <c r="GGR5" s="3404"/>
      <c r="GGS5" s="3404"/>
      <c r="GGT5" s="3404"/>
      <c r="GGU5" s="3404"/>
      <c r="GGV5" s="3404"/>
      <c r="GGW5" s="3404"/>
      <c r="GGX5" s="3404"/>
      <c r="GGY5" s="3404"/>
      <c r="GGZ5" s="3404"/>
      <c r="GHA5" s="3404"/>
      <c r="GHB5" s="3404"/>
      <c r="GHC5" s="3404"/>
      <c r="GHD5" s="3404"/>
      <c r="GHE5" s="3404"/>
      <c r="GHF5" s="3404"/>
      <c r="GHG5" s="3404"/>
      <c r="GHH5" s="3404"/>
      <c r="GHI5" s="3404"/>
      <c r="GHJ5" s="3404"/>
      <c r="GHK5" s="3404"/>
      <c r="GHL5" s="3404"/>
      <c r="GHM5" s="3404"/>
      <c r="GHN5" s="3404"/>
      <c r="GHO5" s="3404"/>
      <c r="GHP5" s="3404"/>
      <c r="GHQ5" s="3404"/>
      <c r="GHR5" s="3404"/>
      <c r="GHS5" s="3404"/>
      <c r="GHT5" s="3404"/>
      <c r="GHU5" s="3404"/>
      <c r="GHV5" s="3404"/>
      <c r="GHW5" s="3404"/>
      <c r="GHX5" s="3404"/>
      <c r="GHY5" s="3404"/>
      <c r="GHZ5" s="3404"/>
      <c r="GIA5" s="3404"/>
      <c r="GIB5" s="3404"/>
      <c r="GIC5" s="3404"/>
      <c r="GID5" s="3404"/>
      <c r="GIE5" s="3404"/>
      <c r="GIF5" s="3404"/>
      <c r="GIG5" s="3404"/>
      <c r="GIH5" s="3404"/>
      <c r="GII5" s="3404"/>
      <c r="GIJ5" s="3404"/>
      <c r="GIK5" s="3404"/>
      <c r="GIL5" s="3404"/>
      <c r="GIM5" s="3404"/>
      <c r="GIN5" s="3404"/>
      <c r="GIO5" s="3404"/>
      <c r="GIP5" s="3404"/>
      <c r="GIQ5" s="3404"/>
      <c r="GIR5" s="3404"/>
      <c r="GIS5" s="3404"/>
      <c r="GIT5" s="3404"/>
      <c r="GIU5" s="3404"/>
      <c r="GIV5" s="3404"/>
      <c r="GIW5" s="3404"/>
      <c r="GIX5" s="3404"/>
      <c r="GIY5" s="3404"/>
      <c r="GIZ5" s="3404"/>
      <c r="GJA5" s="3404"/>
      <c r="GJB5" s="3404"/>
      <c r="GJC5" s="3404"/>
      <c r="GJD5" s="3404"/>
      <c r="GJE5" s="3404"/>
      <c r="GJF5" s="3404"/>
      <c r="GJG5" s="3404"/>
      <c r="GJH5" s="3404"/>
      <c r="GJI5" s="3404"/>
      <c r="GJJ5" s="3404"/>
      <c r="GJK5" s="3404"/>
      <c r="GJL5" s="3404"/>
      <c r="GJM5" s="3404"/>
      <c r="GJN5" s="3404"/>
      <c r="GJO5" s="3404"/>
      <c r="GJP5" s="3404"/>
      <c r="GJQ5" s="3404"/>
      <c r="GJR5" s="3404"/>
      <c r="GJS5" s="3404"/>
      <c r="GJT5" s="3404"/>
      <c r="GJU5" s="3404"/>
      <c r="GJV5" s="3404"/>
      <c r="GJW5" s="3404"/>
      <c r="GJX5" s="3404"/>
      <c r="GJY5" s="3404"/>
      <c r="GJZ5" s="3404"/>
      <c r="GKA5" s="3404"/>
      <c r="GKB5" s="3404"/>
      <c r="GKC5" s="3404"/>
      <c r="GKD5" s="3404"/>
      <c r="GKE5" s="3404"/>
      <c r="GKF5" s="3404"/>
      <c r="GKG5" s="3404"/>
      <c r="GKH5" s="3404"/>
      <c r="GKI5" s="3404"/>
      <c r="GKJ5" s="3404"/>
      <c r="GKK5" s="3404"/>
      <c r="GKL5" s="3404"/>
      <c r="GKM5" s="3404"/>
      <c r="GKN5" s="3404"/>
      <c r="GKO5" s="3404"/>
      <c r="GKP5" s="3404"/>
      <c r="GKQ5" s="3404"/>
      <c r="GKR5" s="3404"/>
      <c r="GKS5" s="3404"/>
      <c r="GKT5" s="3404"/>
      <c r="GKU5" s="3404"/>
      <c r="GKV5" s="3404"/>
      <c r="GKW5" s="3404"/>
      <c r="GKX5" s="3404"/>
      <c r="GKY5" s="3404"/>
      <c r="GKZ5" s="3404"/>
      <c r="GLA5" s="3404"/>
      <c r="GLB5" s="3404"/>
      <c r="GLC5" s="3404"/>
      <c r="GLD5" s="3404"/>
      <c r="GLE5" s="3404"/>
      <c r="GLF5" s="3404"/>
      <c r="GLG5" s="3404"/>
      <c r="GLH5" s="3404"/>
      <c r="GLI5" s="3404"/>
      <c r="GLJ5" s="3404"/>
      <c r="GLK5" s="3404"/>
      <c r="GLL5" s="3404"/>
      <c r="GLM5" s="3404"/>
      <c r="GLN5" s="3404"/>
      <c r="GLO5" s="3404"/>
      <c r="GLP5" s="3404"/>
      <c r="GLQ5" s="3404"/>
      <c r="GLR5" s="3404"/>
      <c r="GLS5" s="3404"/>
      <c r="GLT5" s="3404"/>
      <c r="GLU5" s="3404"/>
      <c r="GLV5" s="3404"/>
      <c r="GLW5" s="3404"/>
      <c r="GLX5" s="3404"/>
      <c r="GLY5" s="3404"/>
      <c r="GLZ5" s="3404"/>
      <c r="GMA5" s="3404"/>
      <c r="GMB5" s="3404"/>
      <c r="GMC5" s="3404"/>
      <c r="GMD5" s="3404"/>
      <c r="GME5" s="3404"/>
      <c r="GMF5" s="3404"/>
      <c r="GMG5" s="3404"/>
      <c r="GMH5" s="3404"/>
      <c r="GMI5" s="3404"/>
      <c r="GMJ5" s="3404"/>
      <c r="GMK5" s="3404"/>
      <c r="GML5" s="3404"/>
      <c r="GMM5" s="3404"/>
      <c r="GMN5" s="3404"/>
      <c r="GMO5" s="3404"/>
      <c r="GMP5" s="3404"/>
      <c r="GMQ5" s="3404"/>
      <c r="GMR5" s="3404"/>
      <c r="GMS5" s="3404"/>
      <c r="GMT5" s="3404"/>
      <c r="GMU5" s="3404"/>
      <c r="GMV5" s="3404"/>
      <c r="GMW5" s="3404"/>
      <c r="GMX5" s="3404"/>
      <c r="GMY5" s="3404"/>
      <c r="GMZ5" s="3404"/>
      <c r="GNA5" s="3404"/>
      <c r="GNB5" s="3404"/>
      <c r="GNC5" s="3404"/>
      <c r="GND5" s="3404"/>
      <c r="GNE5" s="3404"/>
      <c r="GNF5" s="3404"/>
      <c r="GNG5" s="3404"/>
      <c r="GNH5" s="3404"/>
      <c r="GNI5" s="3404"/>
      <c r="GNJ5" s="3404"/>
      <c r="GNK5" s="3404"/>
      <c r="GNL5" s="3404"/>
      <c r="GNM5" s="3404"/>
      <c r="GNN5" s="3404"/>
      <c r="GNO5" s="3404"/>
      <c r="GNP5" s="3404"/>
      <c r="GNQ5" s="3404"/>
      <c r="GNR5" s="3404"/>
      <c r="GNS5" s="3404"/>
      <c r="GNT5" s="3404"/>
      <c r="GNU5" s="3404"/>
      <c r="GNV5" s="3404"/>
      <c r="GNW5" s="3404"/>
      <c r="GNX5" s="3404"/>
      <c r="GNY5" s="3404"/>
      <c r="GNZ5" s="3404"/>
      <c r="GOA5" s="3404"/>
      <c r="GOB5" s="3404"/>
      <c r="GOC5" s="3404"/>
      <c r="GOD5" s="3404"/>
      <c r="GOE5" s="3404"/>
      <c r="GOF5" s="3404"/>
      <c r="GOG5" s="3404"/>
      <c r="GOH5" s="3404"/>
      <c r="GOI5" s="3404"/>
      <c r="GOJ5" s="3404"/>
      <c r="GOK5" s="3404"/>
      <c r="GOL5" s="3404"/>
      <c r="GOM5" s="3404"/>
      <c r="GON5" s="3404"/>
      <c r="GOO5" s="3404"/>
      <c r="GOP5" s="3404"/>
      <c r="GOQ5" s="3404"/>
      <c r="GOR5" s="3404"/>
      <c r="GOS5" s="3404"/>
      <c r="GOT5" s="3404"/>
      <c r="GOU5" s="3404"/>
      <c r="GOV5" s="3404"/>
      <c r="GOW5" s="3404"/>
      <c r="GOX5" s="3404"/>
      <c r="GOY5" s="3404"/>
      <c r="GOZ5" s="3404"/>
      <c r="GPA5" s="3404"/>
      <c r="GPB5" s="3404"/>
      <c r="GPC5" s="3404"/>
      <c r="GPD5" s="3404"/>
      <c r="GPE5" s="3404"/>
      <c r="GPF5" s="3404"/>
      <c r="GPG5" s="3404"/>
      <c r="GPH5" s="3404"/>
      <c r="GPI5" s="3404"/>
      <c r="GPJ5" s="3404"/>
      <c r="GPK5" s="3404"/>
      <c r="GPL5" s="3404"/>
      <c r="GPM5" s="3404"/>
      <c r="GPN5" s="3404"/>
      <c r="GPO5" s="3404"/>
      <c r="GPP5" s="3404"/>
      <c r="GPQ5" s="3404"/>
      <c r="GPR5" s="3404"/>
      <c r="GPS5" s="3404"/>
      <c r="GPT5" s="3404"/>
      <c r="GPU5" s="3404"/>
      <c r="GPV5" s="3404"/>
      <c r="GPW5" s="3404"/>
      <c r="GPX5" s="3404"/>
      <c r="GPY5" s="3404"/>
      <c r="GPZ5" s="3404"/>
      <c r="GQA5" s="3404"/>
      <c r="GQB5" s="3404"/>
      <c r="GQC5" s="3404"/>
      <c r="GQD5" s="3404"/>
      <c r="GQE5" s="3404"/>
      <c r="GQF5" s="3404"/>
      <c r="GQG5" s="3404"/>
      <c r="GQH5" s="3404"/>
      <c r="GQI5" s="3404"/>
      <c r="GQJ5" s="3404"/>
      <c r="GQK5" s="3404"/>
      <c r="GQL5" s="3404"/>
      <c r="GQM5" s="3404"/>
      <c r="GQN5" s="3404"/>
      <c r="GQO5" s="3404"/>
      <c r="GQP5" s="3404"/>
      <c r="GQQ5" s="3404"/>
      <c r="GQR5" s="3404"/>
      <c r="GQS5" s="3404"/>
      <c r="GQT5" s="3404"/>
      <c r="GQU5" s="3404"/>
      <c r="GQV5" s="3404"/>
      <c r="GQW5" s="3404"/>
      <c r="GQX5" s="3404"/>
      <c r="GQY5" s="3404"/>
      <c r="GQZ5" s="3404"/>
      <c r="GRA5" s="3404"/>
      <c r="GRB5" s="3404"/>
      <c r="GRC5" s="3404"/>
      <c r="GRD5" s="3404"/>
      <c r="GRE5" s="3404"/>
      <c r="GRF5" s="3404"/>
      <c r="GRG5" s="3404"/>
      <c r="GRH5" s="3404"/>
      <c r="GRI5" s="3404"/>
      <c r="GRJ5" s="3404"/>
      <c r="GRK5" s="3404"/>
      <c r="GRL5" s="3404"/>
      <c r="GRM5" s="3404"/>
      <c r="GRN5" s="3404"/>
      <c r="GRO5" s="3404"/>
      <c r="GRP5" s="3404"/>
      <c r="GRQ5" s="3404"/>
      <c r="GRR5" s="3404"/>
      <c r="GRS5" s="3404"/>
      <c r="GRT5" s="3404"/>
      <c r="GRU5" s="3404"/>
      <c r="GRV5" s="3404"/>
      <c r="GRW5" s="3404"/>
      <c r="GRX5" s="3404"/>
      <c r="GRY5" s="3404"/>
      <c r="GRZ5" s="3404"/>
      <c r="GSA5" s="3404"/>
      <c r="GSB5" s="3404"/>
      <c r="GSC5" s="3404"/>
      <c r="GSD5" s="3404"/>
      <c r="GSE5" s="3404"/>
      <c r="GSF5" s="3404"/>
      <c r="GSG5" s="3404"/>
      <c r="GSH5" s="3404"/>
      <c r="GSI5" s="3404"/>
      <c r="GSJ5" s="3404"/>
      <c r="GSK5" s="3404"/>
      <c r="GSL5" s="3404"/>
      <c r="GSM5" s="3404"/>
      <c r="GSN5" s="3404"/>
      <c r="GSO5" s="3404"/>
      <c r="GSP5" s="3404"/>
      <c r="GSQ5" s="3404"/>
      <c r="GSR5" s="3404"/>
      <c r="GSS5" s="3404"/>
      <c r="GST5" s="3404"/>
      <c r="GSU5" s="3404"/>
      <c r="GSV5" s="3404"/>
      <c r="GSW5" s="3404"/>
      <c r="GSX5" s="3404"/>
      <c r="GSY5" s="3404"/>
      <c r="GSZ5" s="3404"/>
      <c r="GTA5" s="3404"/>
      <c r="GTB5" s="3404"/>
      <c r="GTC5" s="3404"/>
      <c r="GTD5" s="3404"/>
      <c r="GTE5" s="3404"/>
      <c r="GTF5" s="3404"/>
      <c r="GTG5" s="3404"/>
      <c r="GTH5" s="3404"/>
      <c r="GTI5" s="3404"/>
      <c r="GTJ5" s="3404"/>
      <c r="GTK5" s="3404"/>
      <c r="GTL5" s="3404"/>
      <c r="GTM5" s="3404"/>
      <c r="GTN5" s="3404"/>
      <c r="GTO5" s="3404"/>
      <c r="GTP5" s="3404"/>
      <c r="GTQ5" s="3404"/>
      <c r="GTR5" s="3404"/>
      <c r="GTS5" s="3404"/>
      <c r="GTT5" s="3404"/>
      <c r="GTU5" s="3404"/>
      <c r="GTV5" s="3404"/>
      <c r="GTW5" s="3404"/>
      <c r="GTX5" s="3404"/>
      <c r="GTY5" s="3404"/>
      <c r="GTZ5" s="3404"/>
      <c r="GUA5" s="3404"/>
      <c r="GUB5" s="3404"/>
      <c r="GUC5" s="3404"/>
      <c r="GUD5" s="3404"/>
      <c r="GUE5" s="3404"/>
      <c r="GUF5" s="3404"/>
      <c r="GUG5" s="3404"/>
      <c r="GUH5" s="3404"/>
      <c r="GUI5" s="3404"/>
      <c r="GUJ5" s="3404"/>
      <c r="GUK5" s="3404"/>
      <c r="GUL5" s="3404"/>
      <c r="GUM5" s="3404"/>
      <c r="GUN5" s="3404"/>
      <c r="GUO5" s="3404"/>
      <c r="GUP5" s="3404"/>
      <c r="GUQ5" s="3404"/>
      <c r="GUR5" s="3404"/>
      <c r="GUS5" s="3404"/>
      <c r="GUT5" s="3404"/>
      <c r="GUU5" s="3404"/>
      <c r="GUV5" s="3404"/>
      <c r="GUW5" s="3404"/>
      <c r="GUX5" s="3404"/>
      <c r="GUY5" s="3404"/>
      <c r="GUZ5" s="3404"/>
      <c r="GVA5" s="3404"/>
      <c r="GVB5" s="3404"/>
      <c r="GVC5" s="3404"/>
      <c r="GVD5" s="3404"/>
      <c r="GVE5" s="3404"/>
      <c r="GVF5" s="3404"/>
      <c r="GVG5" s="3404"/>
      <c r="GVH5" s="3404"/>
      <c r="GVI5" s="3404"/>
      <c r="GVJ5" s="3404"/>
      <c r="GVK5" s="3404"/>
      <c r="GVL5" s="3404"/>
      <c r="GVM5" s="3404"/>
      <c r="GVN5" s="3404"/>
      <c r="GVO5" s="3404"/>
      <c r="GVP5" s="3404"/>
      <c r="GVQ5" s="3404"/>
      <c r="GVR5" s="3404"/>
      <c r="GVS5" s="3404"/>
      <c r="GVT5" s="3404"/>
      <c r="GVU5" s="3404"/>
      <c r="GVV5" s="3404"/>
      <c r="GVW5" s="3404"/>
      <c r="GVX5" s="3404"/>
      <c r="GVY5" s="3404"/>
      <c r="GVZ5" s="3404"/>
      <c r="GWA5" s="3404"/>
      <c r="GWB5" s="3404"/>
      <c r="GWC5" s="3404"/>
      <c r="GWD5" s="3404"/>
      <c r="GWE5" s="3404"/>
      <c r="GWF5" s="3404"/>
      <c r="GWG5" s="3404"/>
      <c r="GWH5" s="3404"/>
      <c r="GWI5" s="3404"/>
      <c r="GWJ5" s="3404"/>
      <c r="GWK5" s="3404"/>
      <c r="GWL5" s="3404"/>
      <c r="GWM5" s="3404"/>
      <c r="GWN5" s="3404"/>
      <c r="GWO5" s="3404"/>
      <c r="GWP5" s="3404"/>
      <c r="GWQ5" s="3404"/>
      <c r="GWR5" s="3404"/>
      <c r="GWS5" s="3404"/>
      <c r="GWT5" s="3404"/>
      <c r="GWU5" s="3404"/>
      <c r="GWV5" s="3404"/>
      <c r="GWW5" s="3404"/>
      <c r="GWX5" s="3404"/>
      <c r="GWY5" s="3404"/>
      <c r="GWZ5" s="3404"/>
      <c r="GXA5" s="3404"/>
      <c r="GXB5" s="3404"/>
      <c r="GXC5" s="3404"/>
      <c r="GXD5" s="3404"/>
      <c r="GXE5" s="3404"/>
      <c r="GXF5" s="3404"/>
      <c r="GXG5" s="3404"/>
      <c r="GXH5" s="3404"/>
      <c r="GXI5" s="3404"/>
      <c r="GXJ5" s="3404"/>
      <c r="GXK5" s="3404"/>
      <c r="GXL5" s="3404"/>
      <c r="GXM5" s="3404"/>
      <c r="GXN5" s="3404"/>
      <c r="GXO5" s="3404"/>
      <c r="GXP5" s="3404"/>
      <c r="GXQ5" s="3404"/>
      <c r="GXR5" s="3404"/>
      <c r="GXS5" s="3404"/>
      <c r="GXT5" s="3404"/>
      <c r="GXU5" s="3404"/>
      <c r="GXV5" s="3404"/>
      <c r="GXW5" s="3404"/>
      <c r="GXX5" s="3404"/>
      <c r="GXY5" s="3404"/>
      <c r="GXZ5" s="3404"/>
      <c r="GYA5" s="3404"/>
      <c r="GYB5" s="3404"/>
      <c r="GYC5" s="3404"/>
      <c r="GYD5" s="3404"/>
      <c r="GYE5" s="3404"/>
      <c r="GYF5" s="3404"/>
      <c r="GYG5" s="3404"/>
      <c r="GYH5" s="3404"/>
      <c r="GYI5" s="3404"/>
      <c r="GYJ5" s="3404"/>
      <c r="GYK5" s="3404"/>
      <c r="GYL5" s="3404"/>
      <c r="GYM5" s="3404"/>
      <c r="GYN5" s="3404"/>
      <c r="GYO5" s="3404"/>
      <c r="GYP5" s="3404"/>
      <c r="GYQ5" s="3404"/>
      <c r="GYR5" s="3404"/>
      <c r="GYS5" s="3404"/>
      <c r="GYT5" s="3404"/>
      <c r="GYU5" s="3404"/>
      <c r="GYV5" s="3404"/>
      <c r="GYW5" s="3404"/>
      <c r="GYX5" s="3404"/>
      <c r="GYY5" s="3404"/>
      <c r="GYZ5" s="3404"/>
      <c r="GZA5" s="3404"/>
      <c r="GZB5" s="3404"/>
      <c r="GZC5" s="3404"/>
      <c r="GZD5" s="3404"/>
      <c r="GZE5" s="3404"/>
      <c r="GZF5" s="3404"/>
      <c r="GZG5" s="3404"/>
      <c r="GZH5" s="3404"/>
      <c r="GZI5" s="3404"/>
      <c r="GZJ5" s="3404"/>
      <c r="GZK5" s="3404"/>
      <c r="GZL5" s="3404"/>
      <c r="GZM5" s="3404"/>
      <c r="GZN5" s="3404"/>
      <c r="GZO5" s="3404"/>
      <c r="GZP5" s="3404"/>
      <c r="GZQ5" s="3404"/>
      <c r="GZR5" s="3404"/>
      <c r="GZS5" s="3404"/>
      <c r="GZT5" s="3404"/>
      <c r="GZU5" s="3404"/>
      <c r="GZV5" s="3404"/>
      <c r="GZW5" s="3404"/>
      <c r="GZX5" s="3404"/>
      <c r="GZY5" s="3404"/>
      <c r="GZZ5" s="3404"/>
      <c r="HAA5" s="3404"/>
      <c r="HAB5" s="3404"/>
      <c r="HAC5" s="3404"/>
      <c r="HAD5" s="3404"/>
      <c r="HAE5" s="3404"/>
      <c r="HAF5" s="3404"/>
      <c r="HAG5" s="3404"/>
      <c r="HAH5" s="3404"/>
      <c r="HAI5" s="3404"/>
      <c r="HAJ5" s="3404"/>
      <c r="HAK5" s="3404"/>
      <c r="HAL5" s="3404"/>
      <c r="HAM5" s="3404"/>
      <c r="HAN5" s="3404"/>
      <c r="HAO5" s="3404"/>
      <c r="HAP5" s="3404"/>
      <c r="HAQ5" s="3404"/>
      <c r="HAR5" s="3404"/>
      <c r="HAS5" s="3404"/>
      <c r="HAT5" s="3404"/>
      <c r="HAU5" s="3404"/>
      <c r="HAV5" s="3404"/>
      <c r="HAW5" s="3404"/>
      <c r="HAX5" s="3404"/>
      <c r="HAY5" s="3404"/>
      <c r="HAZ5" s="3404"/>
      <c r="HBA5" s="3404"/>
      <c r="HBB5" s="3404"/>
      <c r="HBC5" s="3404"/>
      <c r="HBD5" s="3404"/>
      <c r="HBE5" s="3404"/>
      <c r="HBF5" s="3404"/>
      <c r="HBG5" s="3404"/>
      <c r="HBH5" s="3404"/>
      <c r="HBI5" s="3404"/>
      <c r="HBJ5" s="3404"/>
      <c r="HBK5" s="3404"/>
      <c r="HBL5" s="3404"/>
      <c r="HBM5" s="3404"/>
      <c r="HBN5" s="3404"/>
      <c r="HBO5" s="3404"/>
      <c r="HBP5" s="3404"/>
      <c r="HBQ5" s="3404"/>
      <c r="HBR5" s="3404"/>
      <c r="HBS5" s="3404"/>
      <c r="HBT5" s="3404"/>
      <c r="HBU5" s="3404"/>
      <c r="HBV5" s="3404"/>
      <c r="HBW5" s="3404"/>
      <c r="HBX5" s="3404"/>
      <c r="HBY5" s="3404"/>
      <c r="HBZ5" s="3404"/>
      <c r="HCA5" s="3404"/>
      <c r="HCB5" s="3404"/>
      <c r="HCC5" s="3404"/>
      <c r="HCD5" s="3404"/>
      <c r="HCE5" s="3404"/>
      <c r="HCF5" s="3404"/>
      <c r="HCG5" s="3404"/>
      <c r="HCH5" s="3404"/>
      <c r="HCI5" s="3404"/>
      <c r="HCJ5" s="3404"/>
      <c r="HCK5" s="3404"/>
      <c r="HCL5" s="3404"/>
      <c r="HCM5" s="3404"/>
      <c r="HCN5" s="3404"/>
      <c r="HCO5" s="3404"/>
      <c r="HCP5" s="3404"/>
      <c r="HCQ5" s="3404"/>
      <c r="HCR5" s="3404"/>
      <c r="HCS5" s="3404"/>
      <c r="HCT5" s="3404"/>
      <c r="HCU5" s="3404"/>
      <c r="HCV5" s="3404"/>
      <c r="HCW5" s="3404"/>
      <c r="HCX5" s="3404"/>
      <c r="HCY5" s="3404"/>
      <c r="HCZ5" s="3404"/>
      <c r="HDA5" s="3404"/>
      <c r="HDB5" s="3404"/>
      <c r="HDC5" s="3404"/>
      <c r="HDD5" s="3404"/>
      <c r="HDE5" s="3404"/>
      <c r="HDF5" s="3404"/>
      <c r="HDG5" s="3404"/>
      <c r="HDH5" s="3404"/>
      <c r="HDI5" s="3404"/>
      <c r="HDJ5" s="3404"/>
      <c r="HDK5" s="3404"/>
      <c r="HDL5" s="3404"/>
      <c r="HDM5" s="3404"/>
      <c r="HDN5" s="3404"/>
      <c r="HDO5" s="3404"/>
      <c r="HDP5" s="3404"/>
      <c r="HDQ5" s="3404"/>
      <c r="HDR5" s="3404"/>
      <c r="HDS5" s="3404"/>
      <c r="HDT5" s="3404"/>
      <c r="HDU5" s="3404"/>
      <c r="HDV5" s="3404"/>
      <c r="HDW5" s="3404"/>
      <c r="HDX5" s="3404"/>
      <c r="HDY5" s="3404"/>
      <c r="HDZ5" s="3404"/>
      <c r="HEA5" s="3404"/>
      <c r="HEB5" s="3404"/>
      <c r="HEC5" s="3404"/>
      <c r="HED5" s="3404"/>
      <c r="HEE5" s="3404"/>
      <c r="HEF5" s="3404"/>
      <c r="HEG5" s="3404"/>
      <c r="HEH5" s="3404"/>
      <c r="HEI5" s="3404"/>
      <c r="HEJ5" s="3404"/>
      <c r="HEK5" s="3404"/>
      <c r="HEL5" s="3404"/>
      <c r="HEM5" s="3404"/>
      <c r="HEN5" s="3404"/>
      <c r="HEO5" s="3404"/>
      <c r="HEP5" s="3404"/>
      <c r="HEQ5" s="3404"/>
      <c r="HER5" s="3404"/>
      <c r="HES5" s="3404"/>
      <c r="HET5" s="3404"/>
      <c r="HEU5" s="3404"/>
      <c r="HEV5" s="3404"/>
      <c r="HEW5" s="3404"/>
      <c r="HEX5" s="3404"/>
      <c r="HEY5" s="3404"/>
      <c r="HEZ5" s="3404"/>
      <c r="HFA5" s="3404"/>
      <c r="HFB5" s="3404"/>
      <c r="HFC5" s="3404"/>
      <c r="HFD5" s="3404"/>
      <c r="HFE5" s="3404"/>
      <c r="HFF5" s="3404"/>
      <c r="HFG5" s="3404"/>
      <c r="HFH5" s="3404"/>
      <c r="HFI5" s="3404"/>
      <c r="HFJ5" s="3404"/>
      <c r="HFK5" s="3404"/>
      <c r="HFL5" s="3404"/>
      <c r="HFM5" s="3404"/>
      <c r="HFN5" s="3404"/>
      <c r="HFO5" s="3404"/>
      <c r="HFP5" s="3404"/>
      <c r="HFQ5" s="3404"/>
      <c r="HFR5" s="3404"/>
      <c r="HFS5" s="3404"/>
      <c r="HFT5" s="3404"/>
      <c r="HFU5" s="3404"/>
      <c r="HFV5" s="3404"/>
      <c r="HFW5" s="3404"/>
      <c r="HFX5" s="3404"/>
      <c r="HFY5" s="3404"/>
      <c r="HFZ5" s="3404"/>
      <c r="HGA5" s="3404"/>
      <c r="HGB5" s="3404"/>
      <c r="HGC5" s="3404"/>
      <c r="HGD5" s="3404"/>
      <c r="HGE5" s="3404"/>
      <c r="HGF5" s="3404"/>
      <c r="HGG5" s="3404"/>
      <c r="HGH5" s="3404"/>
      <c r="HGI5" s="3404"/>
      <c r="HGJ5" s="3404"/>
      <c r="HGK5" s="3404"/>
      <c r="HGL5" s="3404"/>
      <c r="HGM5" s="3404"/>
      <c r="HGN5" s="3404"/>
      <c r="HGO5" s="3404"/>
      <c r="HGP5" s="3404"/>
      <c r="HGQ5" s="3404"/>
      <c r="HGR5" s="3404"/>
      <c r="HGS5" s="3404"/>
      <c r="HGT5" s="3404"/>
      <c r="HGU5" s="3404"/>
      <c r="HGV5" s="3404"/>
      <c r="HGW5" s="3404"/>
      <c r="HGX5" s="3404"/>
      <c r="HGY5" s="3404"/>
      <c r="HGZ5" s="3404"/>
      <c r="HHA5" s="3404"/>
      <c r="HHB5" s="3404"/>
      <c r="HHC5" s="3404"/>
      <c r="HHD5" s="3404"/>
      <c r="HHE5" s="3404"/>
      <c r="HHF5" s="3404"/>
      <c r="HHG5" s="3404"/>
      <c r="HHH5" s="3404"/>
      <c r="HHI5" s="3404"/>
      <c r="HHJ5" s="3404"/>
      <c r="HHK5" s="3404"/>
      <c r="HHL5" s="3404"/>
      <c r="HHM5" s="3404"/>
      <c r="HHN5" s="3404"/>
      <c r="HHO5" s="3404"/>
      <c r="HHP5" s="3404"/>
      <c r="HHQ5" s="3404"/>
      <c r="HHR5" s="3404"/>
      <c r="HHS5" s="3404"/>
      <c r="HHT5" s="3404"/>
      <c r="HHU5" s="3404"/>
      <c r="HHV5" s="3404"/>
      <c r="HHW5" s="3404"/>
      <c r="HHX5" s="3404"/>
      <c r="HHY5" s="3404"/>
      <c r="HHZ5" s="3404"/>
      <c r="HIA5" s="3404"/>
      <c r="HIB5" s="3404"/>
      <c r="HIC5" s="3404"/>
      <c r="HID5" s="3404"/>
      <c r="HIE5" s="3404"/>
      <c r="HIF5" s="3404"/>
      <c r="HIG5" s="3404"/>
      <c r="HIH5" s="3404"/>
      <c r="HII5" s="3404"/>
      <c r="HIJ5" s="3404"/>
      <c r="HIK5" s="3404"/>
      <c r="HIL5" s="3404"/>
      <c r="HIM5" s="3404"/>
      <c r="HIN5" s="3404"/>
      <c r="HIO5" s="3404"/>
      <c r="HIP5" s="3404"/>
      <c r="HIQ5" s="3404"/>
      <c r="HIR5" s="3404"/>
      <c r="HIS5" s="3404"/>
      <c r="HIT5" s="3404"/>
      <c r="HIU5" s="3404"/>
      <c r="HIV5" s="3404"/>
      <c r="HIW5" s="3404"/>
      <c r="HIX5" s="3404"/>
      <c r="HIY5" s="3404"/>
      <c r="HIZ5" s="3404"/>
      <c r="HJA5" s="3404"/>
      <c r="HJB5" s="3404"/>
      <c r="HJC5" s="3404"/>
      <c r="HJD5" s="3404"/>
      <c r="HJE5" s="3404"/>
      <c r="HJF5" s="3404"/>
      <c r="HJG5" s="3404"/>
      <c r="HJH5" s="3404"/>
      <c r="HJI5" s="3404"/>
      <c r="HJJ5" s="3404"/>
      <c r="HJK5" s="3404"/>
      <c r="HJL5" s="3404"/>
      <c r="HJM5" s="3404"/>
      <c r="HJN5" s="3404"/>
      <c r="HJO5" s="3404"/>
      <c r="HJP5" s="3404"/>
      <c r="HJQ5" s="3404"/>
      <c r="HJR5" s="3404"/>
      <c r="HJS5" s="3404"/>
      <c r="HJT5" s="3404"/>
      <c r="HJU5" s="3404"/>
      <c r="HJV5" s="3404"/>
      <c r="HJW5" s="3404"/>
      <c r="HJX5" s="3404"/>
      <c r="HJY5" s="3404"/>
      <c r="HJZ5" s="3404"/>
      <c r="HKA5" s="3404"/>
      <c r="HKB5" s="3404"/>
      <c r="HKC5" s="3404"/>
      <c r="HKD5" s="3404"/>
      <c r="HKE5" s="3404"/>
      <c r="HKF5" s="3404"/>
      <c r="HKG5" s="3404"/>
      <c r="HKH5" s="3404"/>
      <c r="HKI5" s="3404"/>
      <c r="HKJ5" s="3404"/>
      <c r="HKK5" s="3404"/>
      <c r="HKL5" s="3404"/>
      <c r="HKM5" s="3404"/>
      <c r="HKN5" s="3404"/>
      <c r="HKO5" s="3404"/>
      <c r="HKP5" s="3404"/>
      <c r="HKQ5" s="3404"/>
      <c r="HKR5" s="3404"/>
      <c r="HKS5" s="3404"/>
      <c r="HKT5" s="3404"/>
      <c r="HKU5" s="3404"/>
      <c r="HKV5" s="3404"/>
      <c r="HKW5" s="3404"/>
      <c r="HKX5" s="3404"/>
      <c r="HKY5" s="3404"/>
      <c r="HKZ5" s="3404"/>
      <c r="HLA5" s="3404"/>
      <c r="HLB5" s="3404"/>
      <c r="HLC5" s="3404"/>
      <c r="HLD5" s="3404"/>
      <c r="HLE5" s="3404"/>
      <c r="HLF5" s="3404"/>
      <c r="HLG5" s="3404"/>
      <c r="HLH5" s="3404"/>
      <c r="HLI5" s="3404"/>
      <c r="HLJ5" s="3404"/>
      <c r="HLK5" s="3404"/>
      <c r="HLL5" s="3404"/>
      <c r="HLM5" s="3404"/>
      <c r="HLN5" s="3404"/>
      <c r="HLO5" s="3404"/>
      <c r="HLP5" s="3404"/>
      <c r="HLQ5" s="3404"/>
      <c r="HLR5" s="3404"/>
      <c r="HLS5" s="3404"/>
      <c r="HLT5" s="3404"/>
      <c r="HLU5" s="3404"/>
      <c r="HLV5" s="3404"/>
      <c r="HLW5" s="3404"/>
      <c r="HLX5" s="3404"/>
      <c r="HLY5" s="3404"/>
      <c r="HLZ5" s="3404"/>
      <c r="HMA5" s="3404"/>
      <c r="HMB5" s="3404"/>
      <c r="HMC5" s="3404"/>
      <c r="HMD5" s="3404"/>
      <c r="HME5" s="3404"/>
      <c r="HMF5" s="3404"/>
      <c r="HMG5" s="3404"/>
      <c r="HMH5" s="3404"/>
      <c r="HMI5" s="3404"/>
      <c r="HMJ5" s="3404"/>
      <c r="HMK5" s="3404"/>
      <c r="HML5" s="3404"/>
      <c r="HMM5" s="3404"/>
      <c r="HMN5" s="3404"/>
      <c r="HMO5" s="3404"/>
      <c r="HMP5" s="3404"/>
      <c r="HMQ5" s="3404"/>
      <c r="HMR5" s="3404"/>
      <c r="HMS5" s="3404"/>
      <c r="HMT5" s="3404"/>
      <c r="HMU5" s="3404"/>
      <c r="HMV5" s="3404"/>
      <c r="HMW5" s="3404"/>
      <c r="HMX5" s="3404"/>
      <c r="HMY5" s="3404"/>
      <c r="HMZ5" s="3404"/>
      <c r="HNA5" s="3404"/>
      <c r="HNB5" s="3404"/>
      <c r="HNC5" s="3404"/>
      <c r="HND5" s="3404"/>
      <c r="HNE5" s="3404"/>
      <c r="HNF5" s="3404"/>
      <c r="HNG5" s="3404"/>
      <c r="HNH5" s="3404"/>
      <c r="HNI5" s="3404"/>
      <c r="HNJ5" s="3404"/>
      <c r="HNK5" s="3404"/>
      <c r="HNL5" s="3404"/>
      <c r="HNM5" s="3404"/>
      <c r="HNN5" s="3404"/>
      <c r="HNO5" s="3404"/>
      <c r="HNP5" s="3404"/>
      <c r="HNQ5" s="3404"/>
      <c r="HNR5" s="3404"/>
      <c r="HNS5" s="3404"/>
      <c r="HNT5" s="3404"/>
      <c r="HNU5" s="3404"/>
      <c r="HNV5" s="3404"/>
      <c r="HNW5" s="3404"/>
      <c r="HNX5" s="3404"/>
      <c r="HNY5" s="3404"/>
      <c r="HNZ5" s="3404"/>
      <c r="HOA5" s="3404"/>
      <c r="HOB5" s="3404"/>
      <c r="HOC5" s="3404"/>
      <c r="HOD5" s="3404"/>
      <c r="HOE5" s="3404"/>
      <c r="HOF5" s="3404"/>
      <c r="HOG5" s="3404"/>
      <c r="HOH5" s="3404"/>
      <c r="HOI5" s="3404"/>
      <c r="HOJ5" s="3404"/>
      <c r="HOK5" s="3404"/>
      <c r="HOL5" s="3404"/>
      <c r="HOM5" s="3404"/>
      <c r="HON5" s="3404"/>
      <c r="HOO5" s="3404"/>
      <c r="HOP5" s="3404"/>
      <c r="HOQ5" s="3404"/>
      <c r="HOR5" s="3404"/>
      <c r="HOS5" s="3404"/>
      <c r="HOT5" s="3404"/>
      <c r="HOU5" s="3404"/>
      <c r="HOV5" s="3404"/>
      <c r="HOW5" s="3404"/>
      <c r="HOX5" s="3404"/>
      <c r="HOY5" s="3404"/>
      <c r="HOZ5" s="3404"/>
      <c r="HPA5" s="3404"/>
      <c r="HPB5" s="3404"/>
      <c r="HPC5" s="3404"/>
      <c r="HPD5" s="3404"/>
      <c r="HPE5" s="3404"/>
      <c r="HPF5" s="3404"/>
      <c r="HPG5" s="3404"/>
      <c r="HPH5" s="3404"/>
      <c r="HPI5" s="3404"/>
      <c r="HPJ5" s="3404"/>
      <c r="HPK5" s="3404"/>
      <c r="HPL5" s="3404"/>
      <c r="HPM5" s="3404"/>
      <c r="HPN5" s="3404"/>
      <c r="HPO5" s="3404"/>
      <c r="HPP5" s="3404"/>
      <c r="HPQ5" s="3404"/>
      <c r="HPR5" s="3404"/>
      <c r="HPS5" s="3404"/>
      <c r="HPT5" s="3404"/>
      <c r="HPU5" s="3404"/>
      <c r="HPV5" s="3404"/>
      <c r="HPW5" s="3404"/>
      <c r="HPX5" s="3404"/>
      <c r="HPY5" s="3404"/>
      <c r="HPZ5" s="3404"/>
      <c r="HQA5" s="3404"/>
      <c r="HQB5" s="3404"/>
      <c r="HQC5" s="3404"/>
      <c r="HQD5" s="3404"/>
      <c r="HQE5" s="3404"/>
      <c r="HQF5" s="3404"/>
      <c r="HQG5" s="3404"/>
      <c r="HQH5" s="3404"/>
      <c r="HQI5" s="3404"/>
      <c r="HQJ5" s="3404"/>
      <c r="HQK5" s="3404"/>
      <c r="HQL5" s="3404"/>
      <c r="HQM5" s="3404"/>
      <c r="HQN5" s="3404"/>
      <c r="HQO5" s="3404"/>
      <c r="HQP5" s="3404"/>
      <c r="HQQ5" s="3404"/>
      <c r="HQR5" s="3404"/>
      <c r="HQS5" s="3404"/>
      <c r="HQT5" s="3404"/>
      <c r="HQU5" s="3404"/>
      <c r="HQV5" s="3404"/>
      <c r="HQW5" s="3404"/>
      <c r="HQX5" s="3404"/>
      <c r="HQY5" s="3404"/>
      <c r="HQZ5" s="3404"/>
      <c r="HRA5" s="3404"/>
      <c r="HRB5" s="3404"/>
      <c r="HRC5" s="3404"/>
      <c r="HRD5" s="3404"/>
      <c r="HRE5" s="3404"/>
      <c r="HRF5" s="3404"/>
      <c r="HRG5" s="3404"/>
      <c r="HRH5" s="3404"/>
      <c r="HRI5" s="3404"/>
      <c r="HRJ5" s="3404"/>
      <c r="HRK5" s="3404"/>
      <c r="HRL5" s="3404"/>
      <c r="HRM5" s="3404"/>
      <c r="HRN5" s="3404"/>
      <c r="HRO5" s="3404"/>
      <c r="HRP5" s="3404"/>
      <c r="HRQ5" s="3404"/>
      <c r="HRR5" s="3404"/>
      <c r="HRS5" s="3404"/>
      <c r="HRT5" s="3404"/>
      <c r="HRU5" s="3404"/>
      <c r="HRV5" s="3404"/>
      <c r="HRW5" s="3404"/>
      <c r="HRX5" s="3404"/>
      <c r="HRY5" s="3404"/>
      <c r="HRZ5" s="3404"/>
      <c r="HSA5" s="3404"/>
      <c r="HSB5" s="3404"/>
      <c r="HSC5" s="3404"/>
      <c r="HSD5" s="3404"/>
      <c r="HSE5" s="3404"/>
      <c r="HSF5" s="3404"/>
      <c r="HSG5" s="3404"/>
      <c r="HSH5" s="3404"/>
      <c r="HSI5" s="3404"/>
      <c r="HSJ5" s="3404"/>
      <c r="HSK5" s="3404"/>
      <c r="HSL5" s="3404"/>
      <c r="HSM5" s="3404"/>
      <c r="HSN5" s="3404"/>
      <c r="HSO5" s="3404"/>
      <c r="HSP5" s="3404"/>
      <c r="HSQ5" s="3404"/>
      <c r="HSR5" s="3404"/>
      <c r="HSS5" s="3404"/>
      <c r="HST5" s="3404"/>
      <c r="HSU5" s="3404"/>
      <c r="HSV5" s="3404"/>
      <c r="HSW5" s="3404"/>
      <c r="HSX5" s="3404"/>
      <c r="HSY5" s="3404"/>
      <c r="HSZ5" s="3404"/>
      <c r="HTA5" s="3404"/>
      <c r="HTB5" s="3404"/>
      <c r="HTC5" s="3404"/>
      <c r="HTD5" s="3404"/>
      <c r="HTE5" s="3404"/>
      <c r="HTF5" s="3404"/>
      <c r="HTG5" s="3404"/>
      <c r="HTH5" s="3404"/>
      <c r="HTI5" s="3404"/>
      <c r="HTJ5" s="3404"/>
      <c r="HTK5" s="3404"/>
      <c r="HTL5" s="3404"/>
      <c r="HTM5" s="3404"/>
      <c r="HTN5" s="3404"/>
      <c r="HTO5" s="3404"/>
      <c r="HTP5" s="3404"/>
      <c r="HTQ5" s="3404"/>
      <c r="HTR5" s="3404"/>
      <c r="HTS5" s="3404"/>
      <c r="HTT5" s="3404"/>
      <c r="HTU5" s="3404"/>
      <c r="HTV5" s="3404"/>
      <c r="HTW5" s="3404"/>
      <c r="HTX5" s="3404"/>
      <c r="HTY5" s="3404"/>
      <c r="HTZ5" s="3404"/>
      <c r="HUA5" s="3404"/>
      <c r="HUB5" s="3404"/>
      <c r="HUC5" s="3404"/>
      <c r="HUD5" s="3404"/>
      <c r="HUE5" s="3404"/>
      <c r="HUF5" s="3404"/>
      <c r="HUG5" s="3404"/>
      <c r="HUH5" s="3404"/>
      <c r="HUI5" s="3404"/>
      <c r="HUJ5" s="3404"/>
      <c r="HUK5" s="3404"/>
      <c r="HUL5" s="3404"/>
      <c r="HUM5" s="3404"/>
      <c r="HUN5" s="3404"/>
      <c r="HUO5" s="3404"/>
      <c r="HUP5" s="3404"/>
      <c r="HUQ5" s="3404"/>
      <c r="HUR5" s="3404"/>
      <c r="HUS5" s="3404"/>
      <c r="HUT5" s="3404"/>
      <c r="HUU5" s="3404"/>
      <c r="HUV5" s="3404"/>
      <c r="HUW5" s="3404"/>
      <c r="HUX5" s="3404"/>
      <c r="HUY5" s="3404"/>
      <c r="HUZ5" s="3404"/>
      <c r="HVA5" s="3404"/>
      <c r="HVB5" s="3404"/>
      <c r="HVC5" s="3404"/>
      <c r="HVD5" s="3404"/>
      <c r="HVE5" s="3404"/>
      <c r="HVF5" s="3404"/>
      <c r="HVG5" s="3404"/>
      <c r="HVH5" s="3404"/>
      <c r="HVI5" s="3404"/>
      <c r="HVJ5" s="3404"/>
      <c r="HVK5" s="3404"/>
      <c r="HVL5" s="3404"/>
      <c r="HVM5" s="3404"/>
      <c r="HVN5" s="3404"/>
      <c r="HVO5" s="3404"/>
      <c r="HVP5" s="3404"/>
      <c r="HVQ5" s="3404"/>
      <c r="HVR5" s="3404"/>
      <c r="HVS5" s="3404"/>
      <c r="HVT5" s="3404"/>
      <c r="HVU5" s="3404"/>
      <c r="HVV5" s="3404"/>
      <c r="HVW5" s="3404"/>
      <c r="HVX5" s="3404"/>
      <c r="HVY5" s="3404"/>
      <c r="HVZ5" s="3404"/>
      <c r="HWA5" s="3404"/>
      <c r="HWB5" s="3404"/>
      <c r="HWC5" s="3404"/>
      <c r="HWD5" s="3404"/>
      <c r="HWE5" s="3404"/>
      <c r="HWF5" s="3404"/>
      <c r="HWG5" s="3404"/>
      <c r="HWH5" s="3404"/>
      <c r="HWI5" s="3404"/>
      <c r="HWJ5" s="3404"/>
      <c r="HWK5" s="3404"/>
      <c r="HWL5" s="3404"/>
      <c r="HWM5" s="3404"/>
      <c r="HWN5" s="3404"/>
      <c r="HWO5" s="3404"/>
      <c r="HWP5" s="3404"/>
      <c r="HWQ5" s="3404"/>
      <c r="HWR5" s="3404"/>
      <c r="HWS5" s="3404"/>
      <c r="HWT5" s="3404"/>
      <c r="HWU5" s="3404"/>
      <c r="HWV5" s="3404"/>
      <c r="HWW5" s="3404"/>
      <c r="HWX5" s="3404"/>
      <c r="HWY5" s="3404"/>
      <c r="HWZ5" s="3404"/>
      <c r="HXA5" s="3404"/>
      <c r="HXB5" s="3404"/>
      <c r="HXC5" s="3404"/>
      <c r="HXD5" s="3404"/>
      <c r="HXE5" s="3404"/>
      <c r="HXF5" s="3404"/>
      <c r="HXG5" s="3404"/>
      <c r="HXH5" s="3404"/>
      <c r="HXI5" s="3404"/>
      <c r="HXJ5" s="3404"/>
      <c r="HXK5" s="3404"/>
      <c r="HXL5" s="3404"/>
      <c r="HXM5" s="3404"/>
      <c r="HXN5" s="3404"/>
      <c r="HXO5" s="3404"/>
      <c r="HXP5" s="3404"/>
      <c r="HXQ5" s="3404"/>
      <c r="HXR5" s="3404"/>
      <c r="HXS5" s="3404"/>
      <c r="HXT5" s="3404"/>
      <c r="HXU5" s="3404"/>
      <c r="HXV5" s="3404"/>
      <c r="HXW5" s="3404"/>
      <c r="HXX5" s="3404"/>
      <c r="HXY5" s="3404"/>
      <c r="HXZ5" s="3404"/>
      <c r="HYA5" s="3404"/>
      <c r="HYB5" s="3404"/>
      <c r="HYC5" s="3404"/>
      <c r="HYD5" s="3404"/>
      <c r="HYE5" s="3404"/>
      <c r="HYF5" s="3404"/>
      <c r="HYG5" s="3404"/>
      <c r="HYH5" s="3404"/>
      <c r="HYI5" s="3404"/>
      <c r="HYJ5" s="3404"/>
      <c r="HYK5" s="3404"/>
      <c r="HYL5" s="3404"/>
      <c r="HYM5" s="3404"/>
      <c r="HYN5" s="3404"/>
      <c r="HYO5" s="3404"/>
      <c r="HYP5" s="3404"/>
      <c r="HYQ5" s="3404"/>
      <c r="HYR5" s="3404"/>
      <c r="HYS5" s="3404"/>
      <c r="HYT5" s="3404"/>
      <c r="HYU5" s="3404"/>
      <c r="HYV5" s="3404"/>
      <c r="HYW5" s="3404"/>
      <c r="HYX5" s="3404"/>
      <c r="HYY5" s="3404"/>
      <c r="HYZ5" s="3404"/>
      <c r="HZA5" s="3404"/>
      <c r="HZB5" s="3404"/>
      <c r="HZC5" s="3404"/>
      <c r="HZD5" s="3404"/>
      <c r="HZE5" s="3404"/>
      <c r="HZF5" s="3404"/>
      <c r="HZG5" s="3404"/>
      <c r="HZH5" s="3404"/>
      <c r="HZI5" s="3404"/>
      <c r="HZJ5" s="3404"/>
      <c r="HZK5" s="3404"/>
      <c r="HZL5" s="3404"/>
      <c r="HZM5" s="3404"/>
      <c r="HZN5" s="3404"/>
      <c r="HZO5" s="3404"/>
      <c r="HZP5" s="3404"/>
      <c r="HZQ5" s="3404"/>
      <c r="HZR5" s="3404"/>
      <c r="HZS5" s="3404"/>
      <c r="HZT5" s="3404"/>
      <c r="HZU5" s="3404"/>
      <c r="HZV5" s="3404"/>
      <c r="HZW5" s="3404"/>
      <c r="HZX5" s="3404"/>
      <c r="HZY5" s="3404"/>
      <c r="HZZ5" s="3404"/>
      <c r="IAA5" s="3404"/>
      <c r="IAB5" s="3404"/>
      <c r="IAC5" s="3404"/>
      <c r="IAD5" s="3404"/>
      <c r="IAE5" s="3404"/>
      <c r="IAF5" s="3404"/>
      <c r="IAG5" s="3404"/>
      <c r="IAH5" s="3404"/>
      <c r="IAI5" s="3404"/>
      <c r="IAJ5" s="3404"/>
      <c r="IAK5" s="3404"/>
      <c r="IAL5" s="3404"/>
      <c r="IAM5" s="3404"/>
      <c r="IAN5" s="3404"/>
      <c r="IAO5" s="3404"/>
      <c r="IAP5" s="3404"/>
      <c r="IAQ5" s="3404"/>
      <c r="IAR5" s="3404"/>
      <c r="IAS5" s="3404"/>
      <c r="IAT5" s="3404"/>
      <c r="IAU5" s="3404"/>
      <c r="IAV5" s="3404"/>
      <c r="IAW5" s="3404"/>
      <c r="IAX5" s="3404"/>
      <c r="IAY5" s="3404"/>
      <c r="IAZ5" s="3404"/>
      <c r="IBA5" s="3404"/>
      <c r="IBB5" s="3404"/>
      <c r="IBC5" s="3404"/>
      <c r="IBD5" s="3404"/>
      <c r="IBE5" s="3404"/>
      <c r="IBF5" s="3404"/>
      <c r="IBG5" s="3404"/>
      <c r="IBH5" s="3404"/>
      <c r="IBI5" s="3404"/>
      <c r="IBJ5" s="3404"/>
      <c r="IBK5" s="3404"/>
      <c r="IBL5" s="3404"/>
      <c r="IBM5" s="3404"/>
      <c r="IBN5" s="3404"/>
      <c r="IBO5" s="3404"/>
      <c r="IBP5" s="3404"/>
      <c r="IBQ5" s="3404"/>
      <c r="IBR5" s="3404"/>
      <c r="IBS5" s="3404"/>
      <c r="IBT5" s="3404"/>
      <c r="IBU5" s="3404"/>
      <c r="IBV5" s="3404"/>
      <c r="IBW5" s="3404"/>
      <c r="IBX5" s="3404"/>
      <c r="IBY5" s="3404"/>
      <c r="IBZ5" s="3404"/>
      <c r="ICA5" s="3404"/>
      <c r="ICB5" s="3404"/>
      <c r="ICC5" s="3404"/>
      <c r="ICD5" s="3404"/>
      <c r="ICE5" s="3404"/>
      <c r="ICF5" s="3404"/>
      <c r="ICG5" s="3404"/>
      <c r="ICH5" s="3404"/>
      <c r="ICI5" s="3404"/>
      <c r="ICJ5" s="3404"/>
      <c r="ICK5" s="3404"/>
      <c r="ICL5" s="3404"/>
      <c r="ICM5" s="3404"/>
      <c r="ICN5" s="3404"/>
      <c r="ICO5" s="3404"/>
      <c r="ICP5" s="3404"/>
      <c r="ICQ5" s="3404"/>
      <c r="ICR5" s="3404"/>
      <c r="ICS5" s="3404"/>
      <c r="ICT5" s="3404"/>
      <c r="ICU5" s="3404"/>
      <c r="ICV5" s="3404"/>
      <c r="ICW5" s="3404"/>
      <c r="ICX5" s="3404"/>
      <c r="ICY5" s="3404"/>
      <c r="ICZ5" s="3404"/>
      <c r="IDA5" s="3404"/>
      <c r="IDB5" s="3404"/>
      <c r="IDC5" s="3404"/>
      <c r="IDD5" s="3404"/>
      <c r="IDE5" s="3404"/>
      <c r="IDF5" s="3404"/>
      <c r="IDG5" s="3404"/>
      <c r="IDH5" s="3404"/>
      <c r="IDI5" s="3404"/>
      <c r="IDJ5" s="3404"/>
      <c r="IDK5" s="3404"/>
      <c r="IDL5" s="3404"/>
      <c r="IDM5" s="3404"/>
      <c r="IDN5" s="3404"/>
      <c r="IDO5" s="3404"/>
      <c r="IDP5" s="3404"/>
      <c r="IDQ5" s="3404"/>
      <c r="IDR5" s="3404"/>
      <c r="IDS5" s="3404"/>
      <c r="IDT5" s="3404"/>
      <c r="IDU5" s="3404"/>
      <c r="IDV5" s="3404"/>
      <c r="IDW5" s="3404"/>
      <c r="IDX5" s="3404"/>
      <c r="IDY5" s="3404"/>
      <c r="IDZ5" s="3404"/>
      <c r="IEA5" s="3404"/>
      <c r="IEB5" s="3404"/>
      <c r="IEC5" s="3404"/>
      <c r="IED5" s="3404"/>
      <c r="IEE5" s="3404"/>
      <c r="IEF5" s="3404"/>
      <c r="IEG5" s="3404"/>
      <c r="IEH5" s="3404"/>
      <c r="IEI5" s="3404"/>
      <c r="IEJ5" s="3404"/>
      <c r="IEK5" s="3404"/>
      <c r="IEL5" s="3404"/>
      <c r="IEM5" s="3404"/>
      <c r="IEN5" s="3404"/>
      <c r="IEO5" s="3404"/>
      <c r="IEP5" s="3404"/>
      <c r="IEQ5" s="3404"/>
      <c r="IER5" s="3404"/>
      <c r="IES5" s="3404"/>
      <c r="IET5" s="3404"/>
      <c r="IEU5" s="3404"/>
      <c r="IEV5" s="3404"/>
      <c r="IEW5" s="3404"/>
      <c r="IEX5" s="3404"/>
      <c r="IEY5" s="3404"/>
      <c r="IEZ5" s="3404"/>
      <c r="IFA5" s="3404"/>
      <c r="IFB5" s="3404"/>
      <c r="IFC5" s="3404"/>
      <c r="IFD5" s="3404"/>
      <c r="IFE5" s="3404"/>
      <c r="IFF5" s="3404"/>
      <c r="IFG5" s="3404"/>
      <c r="IFH5" s="3404"/>
      <c r="IFI5" s="3404"/>
      <c r="IFJ5" s="3404"/>
      <c r="IFK5" s="3404"/>
      <c r="IFL5" s="3404"/>
      <c r="IFM5" s="3404"/>
      <c r="IFN5" s="3404"/>
      <c r="IFO5" s="3404"/>
      <c r="IFP5" s="3404"/>
      <c r="IFQ5" s="3404"/>
      <c r="IFR5" s="3404"/>
      <c r="IFS5" s="3404"/>
      <c r="IFT5" s="3404"/>
      <c r="IFU5" s="3404"/>
      <c r="IFV5" s="3404"/>
      <c r="IFW5" s="3404"/>
      <c r="IFX5" s="3404"/>
      <c r="IFY5" s="3404"/>
      <c r="IFZ5" s="3404"/>
      <c r="IGA5" s="3404"/>
      <c r="IGB5" s="3404"/>
      <c r="IGC5" s="3404"/>
      <c r="IGD5" s="3404"/>
      <c r="IGE5" s="3404"/>
      <c r="IGF5" s="3404"/>
      <c r="IGG5" s="3404"/>
      <c r="IGH5" s="3404"/>
      <c r="IGI5" s="3404"/>
      <c r="IGJ5" s="3404"/>
      <c r="IGK5" s="3404"/>
      <c r="IGL5" s="3404"/>
      <c r="IGM5" s="3404"/>
      <c r="IGN5" s="3404"/>
      <c r="IGO5" s="3404"/>
      <c r="IGP5" s="3404"/>
      <c r="IGQ5" s="3404"/>
      <c r="IGR5" s="3404"/>
      <c r="IGS5" s="3404"/>
      <c r="IGT5" s="3404"/>
      <c r="IGU5" s="3404"/>
      <c r="IGV5" s="3404"/>
      <c r="IGW5" s="3404"/>
      <c r="IGX5" s="3404"/>
      <c r="IGY5" s="3404"/>
      <c r="IGZ5" s="3404"/>
      <c r="IHA5" s="3404"/>
      <c r="IHB5" s="3404"/>
      <c r="IHC5" s="3404"/>
      <c r="IHD5" s="3404"/>
      <c r="IHE5" s="3404"/>
      <c r="IHF5" s="3404"/>
      <c r="IHG5" s="3404"/>
      <c r="IHH5" s="3404"/>
      <c r="IHI5" s="3404"/>
      <c r="IHJ5" s="3404"/>
      <c r="IHK5" s="3404"/>
      <c r="IHL5" s="3404"/>
      <c r="IHM5" s="3404"/>
      <c r="IHN5" s="3404"/>
      <c r="IHO5" s="3404"/>
      <c r="IHP5" s="3404"/>
      <c r="IHQ5" s="3404"/>
      <c r="IHR5" s="3404"/>
      <c r="IHS5" s="3404"/>
      <c r="IHT5" s="3404"/>
      <c r="IHU5" s="3404"/>
      <c r="IHV5" s="3404"/>
      <c r="IHW5" s="3404"/>
      <c r="IHX5" s="3404"/>
      <c r="IHY5" s="3404"/>
      <c r="IHZ5" s="3404"/>
      <c r="IIA5" s="3404"/>
      <c r="IIB5" s="3404"/>
      <c r="IIC5" s="3404"/>
      <c r="IID5" s="3404"/>
      <c r="IIE5" s="3404"/>
      <c r="IIF5" s="3404"/>
      <c r="IIG5" s="3404"/>
      <c r="IIH5" s="3404"/>
      <c r="III5" s="3404"/>
      <c r="IIJ5" s="3404"/>
      <c r="IIK5" s="3404"/>
      <c r="IIL5" s="3404"/>
      <c r="IIM5" s="3404"/>
      <c r="IIN5" s="3404"/>
      <c r="IIO5" s="3404"/>
      <c r="IIP5" s="3404"/>
      <c r="IIQ5" s="3404"/>
      <c r="IIR5" s="3404"/>
      <c r="IIS5" s="3404"/>
      <c r="IIT5" s="3404"/>
      <c r="IIU5" s="3404"/>
      <c r="IIV5" s="3404"/>
      <c r="IIW5" s="3404"/>
      <c r="IIX5" s="3404"/>
      <c r="IIY5" s="3404"/>
      <c r="IIZ5" s="3404"/>
      <c r="IJA5" s="3404"/>
      <c r="IJB5" s="3404"/>
      <c r="IJC5" s="3404"/>
      <c r="IJD5" s="3404"/>
      <c r="IJE5" s="3404"/>
      <c r="IJF5" s="3404"/>
      <c r="IJG5" s="3404"/>
      <c r="IJH5" s="3404"/>
      <c r="IJI5" s="3404"/>
      <c r="IJJ5" s="3404"/>
      <c r="IJK5" s="3404"/>
      <c r="IJL5" s="3404"/>
      <c r="IJM5" s="3404"/>
      <c r="IJN5" s="3404"/>
      <c r="IJO5" s="3404"/>
      <c r="IJP5" s="3404"/>
      <c r="IJQ5" s="3404"/>
      <c r="IJR5" s="3404"/>
      <c r="IJS5" s="3404"/>
      <c r="IJT5" s="3404"/>
      <c r="IJU5" s="3404"/>
      <c r="IJV5" s="3404"/>
      <c r="IJW5" s="3404"/>
      <c r="IJX5" s="3404"/>
      <c r="IJY5" s="3404"/>
      <c r="IJZ5" s="3404"/>
      <c r="IKA5" s="3404"/>
      <c r="IKB5" s="3404"/>
      <c r="IKC5" s="3404"/>
      <c r="IKD5" s="3404"/>
      <c r="IKE5" s="3404"/>
      <c r="IKF5" s="3404"/>
      <c r="IKG5" s="3404"/>
      <c r="IKH5" s="3404"/>
      <c r="IKI5" s="3404"/>
      <c r="IKJ5" s="3404"/>
      <c r="IKK5" s="3404"/>
      <c r="IKL5" s="3404"/>
      <c r="IKM5" s="3404"/>
      <c r="IKN5" s="3404"/>
      <c r="IKO5" s="3404"/>
      <c r="IKP5" s="3404"/>
      <c r="IKQ5" s="3404"/>
      <c r="IKR5" s="3404"/>
      <c r="IKS5" s="3404"/>
      <c r="IKT5" s="3404"/>
      <c r="IKU5" s="3404"/>
      <c r="IKV5" s="3404"/>
      <c r="IKW5" s="3404"/>
      <c r="IKX5" s="3404"/>
      <c r="IKY5" s="3404"/>
      <c r="IKZ5" s="3404"/>
      <c r="ILA5" s="3404"/>
      <c r="ILB5" s="3404"/>
      <c r="ILC5" s="3404"/>
      <c r="ILD5" s="3404"/>
      <c r="ILE5" s="3404"/>
      <c r="ILF5" s="3404"/>
      <c r="ILG5" s="3404"/>
      <c r="ILH5" s="3404"/>
      <c r="ILI5" s="3404"/>
      <c r="ILJ5" s="3404"/>
      <c r="ILK5" s="3404"/>
      <c r="ILL5" s="3404"/>
      <c r="ILM5" s="3404"/>
      <c r="ILN5" s="3404"/>
      <c r="ILO5" s="3404"/>
      <c r="ILP5" s="3404"/>
      <c r="ILQ5" s="3404"/>
      <c r="ILR5" s="3404"/>
      <c r="ILS5" s="3404"/>
      <c r="ILT5" s="3404"/>
      <c r="ILU5" s="3404"/>
      <c r="ILV5" s="3404"/>
      <c r="ILW5" s="3404"/>
      <c r="ILX5" s="3404"/>
      <c r="ILY5" s="3404"/>
      <c r="ILZ5" s="3404"/>
      <c r="IMA5" s="3404"/>
      <c r="IMB5" s="3404"/>
      <c r="IMC5" s="3404"/>
      <c r="IMD5" s="3404"/>
      <c r="IME5" s="3404"/>
      <c r="IMF5" s="3404"/>
      <c r="IMG5" s="3404"/>
      <c r="IMH5" s="3404"/>
      <c r="IMI5" s="3404"/>
      <c r="IMJ5" s="3404"/>
      <c r="IMK5" s="3404"/>
      <c r="IML5" s="3404"/>
      <c r="IMM5" s="3404"/>
      <c r="IMN5" s="3404"/>
      <c r="IMO5" s="3404"/>
      <c r="IMP5" s="3404"/>
      <c r="IMQ5" s="3404"/>
      <c r="IMR5" s="3404"/>
      <c r="IMS5" s="3404"/>
      <c r="IMT5" s="3404"/>
      <c r="IMU5" s="3404"/>
      <c r="IMV5" s="3404"/>
      <c r="IMW5" s="3404"/>
      <c r="IMX5" s="3404"/>
      <c r="IMY5" s="3404"/>
      <c r="IMZ5" s="3404"/>
      <c r="INA5" s="3404"/>
      <c r="INB5" s="3404"/>
      <c r="INC5" s="3404"/>
      <c r="IND5" s="3404"/>
      <c r="INE5" s="3404"/>
      <c r="INF5" s="3404"/>
      <c r="ING5" s="3404"/>
      <c r="INH5" s="3404"/>
      <c r="INI5" s="3404"/>
      <c r="INJ5" s="3404"/>
      <c r="INK5" s="3404"/>
      <c r="INL5" s="3404"/>
      <c r="INM5" s="3404"/>
      <c r="INN5" s="3404"/>
      <c r="INO5" s="3404"/>
      <c r="INP5" s="3404"/>
      <c r="INQ5" s="3404"/>
      <c r="INR5" s="3404"/>
      <c r="INS5" s="3404"/>
      <c r="INT5" s="3404"/>
      <c r="INU5" s="3404"/>
      <c r="INV5" s="3404"/>
      <c r="INW5" s="3404"/>
      <c r="INX5" s="3404"/>
      <c r="INY5" s="3404"/>
      <c r="INZ5" s="3404"/>
      <c r="IOA5" s="3404"/>
      <c r="IOB5" s="3404"/>
      <c r="IOC5" s="3404"/>
      <c r="IOD5" s="3404"/>
      <c r="IOE5" s="3404"/>
      <c r="IOF5" s="3404"/>
      <c r="IOG5" s="3404"/>
      <c r="IOH5" s="3404"/>
      <c r="IOI5" s="3404"/>
      <c r="IOJ5" s="3404"/>
      <c r="IOK5" s="3404"/>
      <c r="IOL5" s="3404"/>
      <c r="IOM5" s="3404"/>
      <c r="ION5" s="3404"/>
      <c r="IOO5" s="3404"/>
      <c r="IOP5" s="3404"/>
      <c r="IOQ5" s="3404"/>
      <c r="IOR5" s="3404"/>
      <c r="IOS5" s="3404"/>
      <c r="IOT5" s="3404"/>
      <c r="IOU5" s="3404"/>
      <c r="IOV5" s="3404"/>
      <c r="IOW5" s="3404"/>
      <c r="IOX5" s="3404"/>
      <c r="IOY5" s="3404"/>
      <c r="IOZ5" s="3404"/>
      <c r="IPA5" s="3404"/>
      <c r="IPB5" s="3404"/>
      <c r="IPC5" s="3404"/>
      <c r="IPD5" s="3404"/>
      <c r="IPE5" s="3404"/>
      <c r="IPF5" s="3404"/>
      <c r="IPG5" s="3404"/>
      <c r="IPH5" s="3404"/>
      <c r="IPI5" s="3404"/>
      <c r="IPJ5" s="3404"/>
      <c r="IPK5" s="3404"/>
      <c r="IPL5" s="3404"/>
      <c r="IPM5" s="3404"/>
      <c r="IPN5" s="3404"/>
      <c r="IPO5" s="3404"/>
      <c r="IPP5" s="3404"/>
      <c r="IPQ5" s="3404"/>
      <c r="IPR5" s="3404"/>
      <c r="IPS5" s="3404"/>
      <c r="IPT5" s="3404"/>
      <c r="IPU5" s="3404"/>
      <c r="IPV5" s="3404"/>
      <c r="IPW5" s="3404"/>
      <c r="IPX5" s="3404"/>
      <c r="IPY5" s="3404"/>
      <c r="IPZ5" s="3404"/>
      <c r="IQA5" s="3404"/>
      <c r="IQB5" s="3404"/>
      <c r="IQC5" s="3404"/>
      <c r="IQD5" s="3404"/>
      <c r="IQE5" s="3404"/>
      <c r="IQF5" s="3404"/>
      <c r="IQG5" s="3404"/>
      <c r="IQH5" s="3404"/>
      <c r="IQI5" s="3404"/>
      <c r="IQJ5" s="3404"/>
      <c r="IQK5" s="3404"/>
      <c r="IQL5" s="3404"/>
      <c r="IQM5" s="3404"/>
      <c r="IQN5" s="3404"/>
      <c r="IQO5" s="3404"/>
      <c r="IQP5" s="3404"/>
      <c r="IQQ5" s="3404"/>
      <c r="IQR5" s="3404"/>
      <c r="IQS5" s="3404"/>
      <c r="IQT5" s="3404"/>
      <c r="IQU5" s="3404"/>
      <c r="IQV5" s="3404"/>
      <c r="IQW5" s="3404"/>
      <c r="IQX5" s="3404"/>
      <c r="IQY5" s="3404"/>
      <c r="IQZ5" s="3404"/>
      <c r="IRA5" s="3404"/>
      <c r="IRB5" s="3404"/>
      <c r="IRC5" s="3404"/>
      <c r="IRD5" s="3404"/>
      <c r="IRE5" s="3404"/>
      <c r="IRF5" s="3404"/>
      <c r="IRG5" s="3404"/>
      <c r="IRH5" s="3404"/>
      <c r="IRI5" s="3404"/>
      <c r="IRJ5" s="3404"/>
      <c r="IRK5" s="3404"/>
      <c r="IRL5" s="3404"/>
      <c r="IRM5" s="3404"/>
      <c r="IRN5" s="3404"/>
      <c r="IRO5" s="3404"/>
      <c r="IRP5" s="3404"/>
      <c r="IRQ5" s="3404"/>
      <c r="IRR5" s="3404"/>
      <c r="IRS5" s="3404"/>
      <c r="IRT5" s="3404"/>
      <c r="IRU5" s="3404"/>
      <c r="IRV5" s="3404"/>
      <c r="IRW5" s="3404"/>
      <c r="IRX5" s="3404"/>
      <c r="IRY5" s="3404"/>
      <c r="IRZ5" s="3404"/>
      <c r="ISA5" s="3404"/>
      <c r="ISB5" s="3404"/>
      <c r="ISC5" s="3404"/>
      <c r="ISD5" s="3404"/>
      <c r="ISE5" s="3404"/>
      <c r="ISF5" s="3404"/>
      <c r="ISG5" s="3404"/>
      <c r="ISH5" s="3404"/>
      <c r="ISI5" s="3404"/>
      <c r="ISJ5" s="3404"/>
      <c r="ISK5" s="3404"/>
      <c r="ISL5" s="3404"/>
      <c r="ISM5" s="3404"/>
      <c r="ISN5" s="3404"/>
      <c r="ISO5" s="3404"/>
      <c r="ISP5" s="3404"/>
      <c r="ISQ5" s="3404"/>
      <c r="ISR5" s="3404"/>
      <c r="ISS5" s="3404"/>
      <c r="IST5" s="3404"/>
      <c r="ISU5" s="3404"/>
      <c r="ISV5" s="3404"/>
      <c r="ISW5" s="3404"/>
      <c r="ISX5" s="3404"/>
      <c r="ISY5" s="3404"/>
      <c r="ISZ5" s="3404"/>
      <c r="ITA5" s="3404"/>
      <c r="ITB5" s="3404"/>
      <c r="ITC5" s="3404"/>
      <c r="ITD5" s="3404"/>
      <c r="ITE5" s="3404"/>
      <c r="ITF5" s="3404"/>
      <c r="ITG5" s="3404"/>
      <c r="ITH5" s="3404"/>
      <c r="ITI5" s="3404"/>
      <c r="ITJ5" s="3404"/>
      <c r="ITK5" s="3404"/>
      <c r="ITL5" s="3404"/>
      <c r="ITM5" s="3404"/>
      <c r="ITN5" s="3404"/>
      <c r="ITO5" s="3404"/>
      <c r="ITP5" s="3404"/>
      <c r="ITQ5" s="3404"/>
      <c r="ITR5" s="3404"/>
      <c r="ITS5" s="3404"/>
      <c r="ITT5" s="3404"/>
      <c r="ITU5" s="3404"/>
      <c r="ITV5" s="3404"/>
      <c r="ITW5" s="3404"/>
      <c r="ITX5" s="3404"/>
      <c r="ITY5" s="3404"/>
      <c r="ITZ5" s="3404"/>
      <c r="IUA5" s="3404"/>
      <c r="IUB5" s="3404"/>
      <c r="IUC5" s="3404"/>
      <c r="IUD5" s="3404"/>
      <c r="IUE5" s="3404"/>
      <c r="IUF5" s="3404"/>
      <c r="IUG5" s="3404"/>
      <c r="IUH5" s="3404"/>
      <c r="IUI5" s="3404"/>
      <c r="IUJ5" s="3404"/>
      <c r="IUK5" s="3404"/>
      <c r="IUL5" s="3404"/>
      <c r="IUM5" s="3404"/>
      <c r="IUN5" s="3404"/>
      <c r="IUO5" s="3404"/>
      <c r="IUP5" s="3404"/>
      <c r="IUQ5" s="3404"/>
      <c r="IUR5" s="3404"/>
      <c r="IUS5" s="3404"/>
      <c r="IUT5" s="3404"/>
      <c r="IUU5" s="3404"/>
      <c r="IUV5" s="3404"/>
      <c r="IUW5" s="3404"/>
      <c r="IUX5" s="3404"/>
      <c r="IUY5" s="3404"/>
      <c r="IUZ5" s="3404"/>
      <c r="IVA5" s="3404"/>
      <c r="IVB5" s="3404"/>
      <c r="IVC5" s="3404"/>
      <c r="IVD5" s="3404"/>
      <c r="IVE5" s="3404"/>
      <c r="IVF5" s="3404"/>
      <c r="IVG5" s="3404"/>
      <c r="IVH5" s="3404"/>
      <c r="IVI5" s="3404"/>
      <c r="IVJ5" s="3404"/>
      <c r="IVK5" s="3404"/>
      <c r="IVL5" s="3404"/>
      <c r="IVM5" s="3404"/>
      <c r="IVN5" s="3404"/>
      <c r="IVO5" s="3404"/>
      <c r="IVP5" s="3404"/>
      <c r="IVQ5" s="3404"/>
      <c r="IVR5" s="3404"/>
      <c r="IVS5" s="3404"/>
      <c r="IVT5" s="3404"/>
      <c r="IVU5" s="3404"/>
      <c r="IVV5" s="3404"/>
      <c r="IVW5" s="3404"/>
      <c r="IVX5" s="3404"/>
      <c r="IVY5" s="3404"/>
      <c r="IVZ5" s="3404"/>
      <c r="IWA5" s="3404"/>
      <c r="IWB5" s="3404"/>
      <c r="IWC5" s="3404"/>
      <c r="IWD5" s="3404"/>
      <c r="IWE5" s="3404"/>
      <c r="IWF5" s="3404"/>
      <c r="IWG5" s="3404"/>
      <c r="IWH5" s="3404"/>
      <c r="IWI5" s="3404"/>
      <c r="IWJ5" s="3404"/>
      <c r="IWK5" s="3404"/>
      <c r="IWL5" s="3404"/>
      <c r="IWM5" s="3404"/>
      <c r="IWN5" s="3404"/>
      <c r="IWO5" s="3404"/>
      <c r="IWP5" s="3404"/>
      <c r="IWQ5" s="3404"/>
      <c r="IWR5" s="3404"/>
      <c r="IWS5" s="3404"/>
      <c r="IWT5" s="3404"/>
      <c r="IWU5" s="3404"/>
      <c r="IWV5" s="3404"/>
      <c r="IWW5" s="3404"/>
      <c r="IWX5" s="3404"/>
      <c r="IWY5" s="3404"/>
      <c r="IWZ5" s="3404"/>
      <c r="IXA5" s="3404"/>
      <c r="IXB5" s="3404"/>
      <c r="IXC5" s="3404"/>
      <c r="IXD5" s="3404"/>
      <c r="IXE5" s="3404"/>
      <c r="IXF5" s="3404"/>
      <c r="IXG5" s="3404"/>
      <c r="IXH5" s="3404"/>
      <c r="IXI5" s="3404"/>
      <c r="IXJ5" s="3404"/>
      <c r="IXK5" s="3404"/>
      <c r="IXL5" s="3404"/>
      <c r="IXM5" s="3404"/>
      <c r="IXN5" s="3404"/>
      <c r="IXO5" s="3404"/>
      <c r="IXP5" s="3404"/>
      <c r="IXQ5" s="3404"/>
      <c r="IXR5" s="3404"/>
      <c r="IXS5" s="3404"/>
      <c r="IXT5" s="3404"/>
      <c r="IXU5" s="3404"/>
      <c r="IXV5" s="3404"/>
      <c r="IXW5" s="3404"/>
      <c r="IXX5" s="3404"/>
      <c r="IXY5" s="3404"/>
      <c r="IXZ5" s="3404"/>
      <c r="IYA5" s="3404"/>
      <c r="IYB5" s="3404"/>
      <c r="IYC5" s="3404"/>
      <c r="IYD5" s="3404"/>
      <c r="IYE5" s="3404"/>
      <c r="IYF5" s="3404"/>
      <c r="IYG5" s="3404"/>
      <c r="IYH5" s="3404"/>
      <c r="IYI5" s="3404"/>
      <c r="IYJ5" s="3404"/>
      <c r="IYK5" s="3404"/>
      <c r="IYL5" s="3404"/>
      <c r="IYM5" s="3404"/>
      <c r="IYN5" s="3404"/>
      <c r="IYO5" s="3404"/>
      <c r="IYP5" s="3404"/>
      <c r="IYQ5" s="3404"/>
      <c r="IYR5" s="3404"/>
      <c r="IYS5" s="3404"/>
      <c r="IYT5" s="3404"/>
      <c r="IYU5" s="3404"/>
      <c r="IYV5" s="3404"/>
      <c r="IYW5" s="3404"/>
      <c r="IYX5" s="3404"/>
      <c r="IYY5" s="3404"/>
      <c r="IYZ5" s="3404"/>
      <c r="IZA5" s="3404"/>
      <c r="IZB5" s="3404"/>
      <c r="IZC5" s="3404"/>
      <c r="IZD5" s="3404"/>
      <c r="IZE5" s="3404"/>
      <c r="IZF5" s="3404"/>
      <c r="IZG5" s="3404"/>
      <c r="IZH5" s="3404"/>
      <c r="IZI5" s="3404"/>
      <c r="IZJ5" s="3404"/>
      <c r="IZK5" s="3404"/>
      <c r="IZL5" s="3404"/>
      <c r="IZM5" s="3404"/>
      <c r="IZN5" s="3404"/>
      <c r="IZO5" s="3404"/>
      <c r="IZP5" s="3404"/>
      <c r="IZQ5" s="3404"/>
      <c r="IZR5" s="3404"/>
      <c r="IZS5" s="3404"/>
      <c r="IZT5" s="3404"/>
      <c r="IZU5" s="3404"/>
      <c r="IZV5" s="3404"/>
      <c r="IZW5" s="3404"/>
      <c r="IZX5" s="3404"/>
      <c r="IZY5" s="3404"/>
      <c r="IZZ5" s="3404"/>
      <c r="JAA5" s="3404"/>
      <c r="JAB5" s="3404"/>
      <c r="JAC5" s="3404"/>
      <c r="JAD5" s="3404"/>
      <c r="JAE5" s="3404"/>
      <c r="JAF5" s="3404"/>
      <c r="JAG5" s="3404"/>
      <c r="JAH5" s="3404"/>
      <c r="JAI5" s="3404"/>
      <c r="JAJ5" s="3404"/>
      <c r="JAK5" s="3404"/>
      <c r="JAL5" s="3404"/>
      <c r="JAM5" s="3404"/>
      <c r="JAN5" s="3404"/>
      <c r="JAO5" s="3404"/>
      <c r="JAP5" s="3404"/>
      <c r="JAQ5" s="3404"/>
      <c r="JAR5" s="3404"/>
      <c r="JAS5" s="3404"/>
      <c r="JAT5" s="3404"/>
      <c r="JAU5" s="3404"/>
      <c r="JAV5" s="3404"/>
      <c r="JAW5" s="3404"/>
      <c r="JAX5" s="3404"/>
      <c r="JAY5" s="3404"/>
      <c r="JAZ5" s="3404"/>
      <c r="JBA5" s="3404"/>
      <c r="JBB5" s="3404"/>
      <c r="JBC5" s="3404"/>
      <c r="JBD5" s="3404"/>
      <c r="JBE5" s="3404"/>
      <c r="JBF5" s="3404"/>
      <c r="JBG5" s="3404"/>
      <c r="JBH5" s="3404"/>
      <c r="JBI5" s="3404"/>
      <c r="JBJ5" s="3404"/>
      <c r="JBK5" s="3404"/>
      <c r="JBL5" s="3404"/>
      <c r="JBM5" s="3404"/>
      <c r="JBN5" s="3404"/>
      <c r="JBO5" s="3404"/>
      <c r="JBP5" s="3404"/>
      <c r="JBQ5" s="3404"/>
      <c r="JBR5" s="3404"/>
      <c r="JBS5" s="3404"/>
      <c r="JBT5" s="3404"/>
      <c r="JBU5" s="3404"/>
      <c r="JBV5" s="3404"/>
      <c r="JBW5" s="3404"/>
      <c r="JBX5" s="3404"/>
      <c r="JBY5" s="3404"/>
      <c r="JBZ5" s="3404"/>
      <c r="JCA5" s="3404"/>
      <c r="JCB5" s="3404"/>
      <c r="JCC5" s="3404"/>
      <c r="JCD5" s="3404"/>
      <c r="JCE5" s="3404"/>
      <c r="JCF5" s="3404"/>
      <c r="JCG5" s="3404"/>
      <c r="JCH5" s="3404"/>
      <c r="JCI5" s="3404"/>
      <c r="JCJ5" s="3404"/>
      <c r="JCK5" s="3404"/>
      <c r="JCL5" s="3404"/>
      <c r="JCM5" s="3404"/>
      <c r="JCN5" s="3404"/>
      <c r="JCO5" s="3404"/>
      <c r="JCP5" s="3404"/>
      <c r="JCQ5" s="3404"/>
      <c r="JCR5" s="3404"/>
      <c r="JCS5" s="3404"/>
      <c r="JCT5" s="3404"/>
      <c r="JCU5" s="3404"/>
      <c r="JCV5" s="3404"/>
      <c r="JCW5" s="3404"/>
      <c r="JCX5" s="3404"/>
      <c r="JCY5" s="3404"/>
      <c r="JCZ5" s="3404"/>
      <c r="JDA5" s="3404"/>
      <c r="JDB5" s="3404"/>
      <c r="JDC5" s="3404"/>
      <c r="JDD5" s="3404"/>
      <c r="JDE5" s="3404"/>
      <c r="JDF5" s="3404"/>
      <c r="JDG5" s="3404"/>
      <c r="JDH5" s="3404"/>
      <c r="JDI5" s="3404"/>
      <c r="JDJ5" s="3404"/>
      <c r="JDK5" s="3404"/>
      <c r="JDL5" s="3404"/>
      <c r="JDM5" s="3404"/>
      <c r="JDN5" s="3404"/>
      <c r="JDO5" s="3404"/>
      <c r="JDP5" s="3404"/>
      <c r="JDQ5" s="3404"/>
      <c r="JDR5" s="3404"/>
      <c r="JDS5" s="3404"/>
      <c r="JDT5" s="3404"/>
      <c r="JDU5" s="3404"/>
      <c r="JDV5" s="3404"/>
      <c r="JDW5" s="3404"/>
      <c r="JDX5" s="3404"/>
      <c r="JDY5" s="3404"/>
      <c r="JDZ5" s="3404"/>
      <c r="JEA5" s="3404"/>
      <c r="JEB5" s="3404"/>
      <c r="JEC5" s="3404"/>
      <c r="JED5" s="3404"/>
      <c r="JEE5" s="3404"/>
      <c r="JEF5" s="3404"/>
      <c r="JEG5" s="3404"/>
      <c r="JEH5" s="3404"/>
      <c r="JEI5" s="3404"/>
      <c r="JEJ5" s="3404"/>
      <c r="JEK5" s="3404"/>
      <c r="JEL5" s="3404"/>
      <c r="JEM5" s="3404"/>
      <c r="JEN5" s="3404"/>
      <c r="JEO5" s="3404"/>
      <c r="JEP5" s="3404"/>
      <c r="JEQ5" s="3404"/>
      <c r="JER5" s="3404"/>
      <c r="JES5" s="3404"/>
      <c r="JET5" s="3404"/>
      <c r="JEU5" s="3404"/>
      <c r="JEV5" s="3404"/>
      <c r="JEW5" s="3404"/>
      <c r="JEX5" s="3404"/>
      <c r="JEY5" s="3404"/>
      <c r="JEZ5" s="3404"/>
      <c r="JFA5" s="3404"/>
      <c r="JFB5" s="3404"/>
      <c r="JFC5" s="3404"/>
      <c r="JFD5" s="3404"/>
      <c r="JFE5" s="3404"/>
      <c r="JFF5" s="3404"/>
      <c r="JFG5" s="3404"/>
      <c r="JFH5" s="3404"/>
      <c r="JFI5" s="3404"/>
      <c r="JFJ5" s="3404"/>
      <c r="JFK5" s="3404"/>
      <c r="JFL5" s="3404"/>
      <c r="JFM5" s="3404"/>
      <c r="JFN5" s="3404"/>
      <c r="JFO5" s="3404"/>
      <c r="JFP5" s="3404"/>
      <c r="JFQ5" s="3404"/>
      <c r="JFR5" s="3404"/>
      <c r="JFS5" s="3404"/>
      <c r="JFT5" s="3404"/>
      <c r="JFU5" s="3404"/>
      <c r="JFV5" s="3404"/>
      <c r="JFW5" s="3404"/>
      <c r="JFX5" s="3404"/>
      <c r="JFY5" s="3404"/>
      <c r="JFZ5" s="3404"/>
      <c r="JGA5" s="3404"/>
      <c r="JGB5" s="3404"/>
      <c r="JGC5" s="3404"/>
      <c r="JGD5" s="3404"/>
      <c r="JGE5" s="3404"/>
      <c r="JGF5" s="3404"/>
      <c r="JGG5" s="3404"/>
      <c r="JGH5" s="3404"/>
      <c r="JGI5" s="3404"/>
      <c r="JGJ5" s="3404"/>
      <c r="JGK5" s="3404"/>
      <c r="JGL5" s="3404"/>
      <c r="JGM5" s="3404"/>
      <c r="JGN5" s="3404"/>
      <c r="JGO5" s="3404"/>
      <c r="JGP5" s="3404"/>
      <c r="JGQ5" s="3404"/>
      <c r="JGR5" s="3404"/>
      <c r="JGS5" s="3404"/>
      <c r="JGT5" s="3404"/>
      <c r="JGU5" s="3404"/>
      <c r="JGV5" s="3404"/>
      <c r="JGW5" s="3404"/>
      <c r="JGX5" s="3404"/>
      <c r="JGY5" s="3404"/>
      <c r="JGZ5" s="3404"/>
      <c r="JHA5" s="3404"/>
      <c r="JHB5" s="3404"/>
      <c r="JHC5" s="3404"/>
      <c r="JHD5" s="3404"/>
      <c r="JHE5" s="3404"/>
      <c r="JHF5" s="3404"/>
      <c r="JHG5" s="3404"/>
      <c r="JHH5" s="3404"/>
      <c r="JHI5" s="3404"/>
      <c r="JHJ5" s="3404"/>
      <c r="JHK5" s="3404"/>
      <c r="JHL5" s="3404"/>
      <c r="JHM5" s="3404"/>
      <c r="JHN5" s="3404"/>
      <c r="JHO5" s="3404"/>
      <c r="JHP5" s="3404"/>
      <c r="JHQ5" s="3404"/>
      <c r="JHR5" s="3404"/>
      <c r="JHS5" s="3404"/>
      <c r="JHT5" s="3404"/>
      <c r="JHU5" s="3404"/>
      <c r="JHV5" s="3404"/>
      <c r="JHW5" s="3404"/>
      <c r="JHX5" s="3404"/>
      <c r="JHY5" s="3404"/>
      <c r="JHZ5" s="3404"/>
      <c r="JIA5" s="3404"/>
      <c r="JIB5" s="3404"/>
      <c r="JIC5" s="3404"/>
      <c r="JID5" s="3404"/>
      <c r="JIE5" s="3404"/>
      <c r="JIF5" s="3404"/>
      <c r="JIG5" s="3404"/>
      <c r="JIH5" s="3404"/>
      <c r="JII5" s="3404"/>
      <c r="JIJ5" s="3404"/>
      <c r="JIK5" s="3404"/>
      <c r="JIL5" s="3404"/>
      <c r="JIM5" s="3404"/>
      <c r="JIN5" s="3404"/>
      <c r="JIO5" s="3404"/>
      <c r="JIP5" s="3404"/>
      <c r="JIQ5" s="3404"/>
      <c r="JIR5" s="3404"/>
      <c r="JIS5" s="3404"/>
      <c r="JIT5" s="3404"/>
      <c r="JIU5" s="3404"/>
      <c r="JIV5" s="3404"/>
      <c r="JIW5" s="3404"/>
      <c r="JIX5" s="3404"/>
      <c r="JIY5" s="3404"/>
      <c r="JIZ5" s="3404"/>
      <c r="JJA5" s="3404"/>
      <c r="JJB5" s="3404"/>
      <c r="JJC5" s="3404"/>
      <c r="JJD5" s="3404"/>
      <c r="JJE5" s="3404"/>
      <c r="JJF5" s="3404"/>
      <c r="JJG5" s="3404"/>
      <c r="JJH5" s="3404"/>
      <c r="JJI5" s="3404"/>
      <c r="JJJ5" s="3404"/>
      <c r="JJK5" s="3404"/>
      <c r="JJL5" s="3404"/>
      <c r="JJM5" s="3404"/>
      <c r="JJN5" s="3404"/>
      <c r="JJO5" s="3404"/>
      <c r="JJP5" s="3404"/>
      <c r="JJQ5" s="3404"/>
      <c r="JJR5" s="3404"/>
      <c r="JJS5" s="3404"/>
      <c r="JJT5" s="3404"/>
      <c r="JJU5" s="3404"/>
      <c r="JJV5" s="3404"/>
      <c r="JJW5" s="3404"/>
      <c r="JJX5" s="3404"/>
      <c r="JJY5" s="3404"/>
      <c r="JJZ5" s="3404"/>
      <c r="JKA5" s="3404"/>
      <c r="JKB5" s="3404"/>
      <c r="JKC5" s="3404"/>
      <c r="JKD5" s="3404"/>
      <c r="JKE5" s="3404"/>
      <c r="JKF5" s="3404"/>
      <c r="JKG5" s="3404"/>
      <c r="JKH5" s="3404"/>
      <c r="JKI5" s="3404"/>
      <c r="JKJ5" s="3404"/>
      <c r="JKK5" s="3404"/>
      <c r="JKL5" s="3404"/>
      <c r="JKM5" s="3404"/>
      <c r="JKN5" s="3404"/>
      <c r="JKO5" s="3404"/>
      <c r="JKP5" s="3404"/>
      <c r="JKQ5" s="3404"/>
      <c r="JKR5" s="3404"/>
      <c r="JKS5" s="3404"/>
      <c r="JKT5" s="3404"/>
      <c r="JKU5" s="3404"/>
      <c r="JKV5" s="3404"/>
      <c r="JKW5" s="3404"/>
      <c r="JKX5" s="3404"/>
      <c r="JKY5" s="3404"/>
      <c r="JKZ5" s="3404"/>
      <c r="JLA5" s="3404"/>
      <c r="JLB5" s="3404"/>
      <c r="JLC5" s="3404"/>
      <c r="JLD5" s="3404"/>
      <c r="JLE5" s="3404"/>
      <c r="JLF5" s="3404"/>
      <c r="JLG5" s="3404"/>
      <c r="JLH5" s="3404"/>
      <c r="JLI5" s="3404"/>
      <c r="JLJ5" s="3404"/>
      <c r="JLK5" s="3404"/>
      <c r="JLL5" s="3404"/>
      <c r="JLM5" s="3404"/>
      <c r="JLN5" s="3404"/>
      <c r="JLO5" s="3404"/>
      <c r="JLP5" s="3404"/>
      <c r="JLQ5" s="3404"/>
      <c r="JLR5" s="3404"/>
      <c r="JLS5" s="3404"/>
      <c r="JLT5" s="3404"/>
      <c r="JLU5" s="3404"/>
      <c r="JLV5" s="3404"/>
      <c r="JLW5" s="3404"/>
      <c r="JLX5" s="3404"/>
      <c r="JLY5" s="3404"/>
      <c r="JLZ5" s="3404"/>
      <c r="JMA5" s="3404"/>
      <c r="JMB5" s="3404"/>
      <c r="JMC5" s="3404"/>
      <c r="JMD5" s="3404"/>
      <c r="JME5" s="3404"/>
      <c r="JMF5" s="3404"/>
      <c r="JMG5" s="3404"/>
      <c r="JMH5" s="3404"/>
      <c r="JMI5" s="3404"/>
      <c r="JMJ5" s="3404"/>
      <c r="JMK5" s="3404"/>
      <c r="JML5" s="3404"/>
      <c r="JMM5" s="3404"/>
      <c r="JMN5" s="3404"/>
      <c r="JMO5" s="3404"/>
      <c r="JMP5" s="3404"/>
      <c r="JMQ5" s="3404"/>
      <c r="JMR5" s="3404"/>
      <c r="JMS5" s="3404"/>
      <c r="JMT5" s="3404"/>
      <c r="JMU5" s="3404"/>
      <c r="JMV5" s="3404"/>
      <c r="JMW5" s="3404"/>
      <c r="JMX5" s="3404"/>
      <c r="JMY5" s="3404"/>
      <c r="JMZ5" s="3404"/>
      <c r="JNA5" s="3404"/>
      <c r="JNB5" s="3404"/>
      <c r="JNC5" s="3404"/>
      <c r="JND5" s="3404"/>
      <c r="JNE5" s="3404"/>
      <c r="JNF5" s="3404"/>
      <c r="JNG5" s="3404"/>
      <c r="JNH5" s="3404"/>
      <c r="JNI5" s="3404"/>
      <c r="JNJ5" s="3404"/>
      <c r="JNK5" s="3404"/>
      <c r="JNL5" s="3404"/>
      <c r="JNM5" s="3404"/>
      <c r="JNN5" s="3404"/>
      <c r="JNO5" s="3404"/>
      <c r="JNP5" s="3404"/>
      <c r="JNQ5" s="3404"/>
      <c r="JNR5" s="3404"/>
      <c r="JNS5" s="3404"/>
      <c r="JNT5" s="3404"/>
      <c r="JNU5" s="3404"/>
      <c r="JNV5" s="3404"/>
      <c r="JNW5" s="3404"/>
      <c r="JNX5" s="3404"/>
      <c r="JNY5" s="3404"/>
      <c r="JNZ5" s="3404"/>
      <c r="JOA5" s="3404"/>
      <c r="JOB5" s="3404"/>
      <c r="JOC5" s="3404"/>
      <c r="JOD5" s="3404"/>
      <c r="JOE5" s="3404"/>
      <c r="JOF5" s="3404"/>
      <c r="JOG5" s="3404"/>
      <c r="JOH5" s="3404"/>
      <c r="JOI5" s="3404"/>
      <c r="JOJ5" s="3404"/>
      <c r="JOK5" s="3404"/>
      <c r="JOL5" s="3404"/>
      <c r="JOM5" s="3404"/>
      <c r="JON5" s="3404"/>
      <c r="JOO5" s="3404"/>
      <c r="JOP5" s="3404"/>
      <c r="JOQ5" s="3404"/>
      <c r="JOR5" s="3404"/>
      <c r="JOS5" s="3404"/>
      <c r="JOT5" s="3404"/>
      <c r="JOU5" s="3404"/>
      <c r="JOV5" s="3404"/>
      <c r="JOW5" s="3404"/>
      <c r="JOX5" s="3404"/>
      <c r="JOY5" s="3404"/>
      <c r="JOZ5" s="3404"/>
      <c r="JPA5" s="3404"/>
      <c r="JPB5" s="3404"/>
      <c r="JPC5" s="3404"/>
      <c r="JPD5" s="3404"/>
      <c r="JPE5" s="3404"/>
      <c r="JPF5" s="3404"/>
      <c r="JPG5" s="3404"/>
      <c r="JPH5" s="3404"/>
      <c r="JPI5" s="3404"/>
      <c r="JPJ5" s="3404"/>
      <c r="JPK5" s="3404"/>
      <c r="JPL5" s="3404"/>
      <c r="JPM5" s="3404"/>
      <c r="JPN5" s="3404"/>
      <c r="JPO5" s="3404"/>
      <c r="JPP5" s="3404"/>
      <c r="JPQ5" s="3404"/>
      <c r="JPR5" s="3404"/>
      <c r="JPS5" s="3404"/>
      <c r="JPT5" s="3404"/>
      <c r="JPU5" s="3404"/>
      <c r="JPV5" s="3404"/>
      <c r="JPW5" s="3404"/>
      <c r="JPX5" s="3404"/>
      <c r="JPY5" s="3404"/>
      <c r="JPZ5" s="3404"/>
      <c r="JQA5" s="3404"/>
      <c r="JQB5" s="3404"/>
      <c r="JQC5" s="3404"/>
      <c r="JQD5" s="3404"/>
      <c r="JQE5" s="3404"/>
      <c r="JQF5" s="3404"/>
      <c r="JQG5" s="3404"/>
      <c r="JQH5" s="3404"/>
      <c r="JQI5" s="3404"/>
      <c r="JQJ5" s="3404"/>
      <c r="JQK5" s="3404"/>
      <c r="JQL5" s="3404"/>
      <c r="JQM5" s="3404"/>
      <c r="JQN5" s="3404"/>
      <c r="JQO5" s="3404"/>
      <c r="JQP5" s="3404"/>
      <c r="JQQ5" s="3404"/>
      <c r="JQR5" s="3404"/>
      <c r="JQS5" s="3404"/>
      <c r="JQT5" s="3404"/>
      <c r="JQU5" s="3404"/>
      <c r="JQV5" s="3404"/>
      <c r="JQW5" s="3404"/>
      <c r="JQX5" s="3404"/>
      <c r="JQY5" s="3404"/>
      <c r="JQZ5" s="3404"/>
      <c r="JRA5" s="3404"/>
      <c r="JRB5" s="3404"/>
      <c r="JRC5" s="3404"/>
      <c r="JRD5" s="3404"/>
      <c r="JRE5" s="3404"/>
      <c r="JRF5" s="3404"/>
      <c r="JRG5" s="3404"/>
      <c r="JRH5" s="3404"/>
      <c r="JRI5" s="3404"/>
      <c r="JRJ5" s="3404"/>
      <c r="JRK5" s="3404"/>
      <c r="JRL5" s="3404"/>
      <c r="JRM5" s="3404"/>
      <c r="JRN5" s="3404"/>
      <c r="JRO5" s="3404"/>
      <c r="JRP5" s="3404"/>
      <c r="JRQ5" s="3404"/>
      <c r="JRR5" s="3404"/>
      <c r="JRS5" s="3404"/>
      <c r="JRT5" s="3404"/>
      <c r="JRU5" s="3404"/>
      <c r="JRV5" s="3404"/>
      <c r="JRW5" s="3404"/>
      <c r="JRX5" s="3404"/>
      <c r="JRY5" s="3404"/>
      <c r="JRZ5" s="3404"/>
      <c r="JSA5" s="3404"/>
      <c r="JSB5" s="3404"/>
      <c r="JSC5" s="3404"/>
      <c r="JSD5" s="3404"/>
      <c r="JSE5" s="3404"/>
      <c r="JSF5" s="3404"/>
      <c r="JSG5" s="3404"/>
      <c r="JSH5" s="3404"/>
      <c r="JSI5" s="3404"/>
      <c r="JSJ5" s="3404"/>
      <c r="JSK5" s="3404"/>
      <c r="JSL5" s="3404"/>
      <c r="JSM5" s="3404"/>
      <c r="JSN5" s="3404"/>
      <c r="JSO5" s="3404"/>
      <c r="JSP5" s="3404"/>
      <c r="JSQ5" s="3404"/>
      <c r="JSR5" s="3404"/>
      <c r="JSS5" s="3404"/>
      <c r="JST5" s="3404"/>
      <c r="JSU5" s="3404"/>
      <c r="JSV5" s="3404"/>
      <c r="JSW5" s="3404"/>
      <c r="JSX5" s="3404"/>
      <c r="JSY5" s="3404"/>
      <c r="JSZ5" s="3404"/>
      <c r="JTA5" s="3404"/>
      <c r="JTB5" s="3404"/>
      <c r="JTC5" s="3404"/>
      <c r="JTD5" s="3404"/>
      <c r="JTE5" s="3404"/>
      <c r="JTF5" s="3404"/>
      <c r="JTG5" s="3404"/>
      <c r="JTH5" s="3404"/>
      <c r="JTI5" s="3404"/>
      <c r="JTJ5" s="3404"/>
      <c r="JTK5" s="3404"/>
      <c r="JTL5" s="3404"/>
      <c r="JTM5" s="3404"/>
      <c r="JTN5" s="3404"/>
      <c r="JTO5" s="3404"/>
      <c r="JTP5" s="3404"/>
      <c r="JTQ5" s="3404"/>
      <c r="JTR5" s="3404"/>
      <c r="JTS5" s="3404"/>
      <c r="JTT5" s="3404"/>
      <c r="JTU5" s="3404"/>
      <c r="JTV5" s="3404"/>
      <c r="JTW5" s="3404"/>
      <c r="JTX5" s="3404"/>
      <c r="JTY5" s="3404"/>
      <c r="JTZ5" s="3404"/>
      <c r="JUA5" s="3404"/>
      <c r="JUB5" s="3404"/>
      <c r="JUC5" s="3404"/>
      <c r="JUD5" s="3404"/>
      <c r="JUE5" s="3404"/>
      <c r="JUF5" s="3404"/>
      <c r="JUG5" s="3404"/>
      <c r="JUH5" s="3404"/>
      <c r="JUI5" s="3404"/>
      <c r="JUJ5" s="3404"/>
      <c r="JUK5" s="3404"/>
      <c r="JUL5" s="3404"/>
      <c r="JUM5" s="3404"/>
      <c r="JUN5" s="3404"/>
      <c r="JUO5" s="3404"/>
      <c r="JUP5" s="3404"/>
      <c r="JUQ5" s="3404"/>
      <c r="JUR5" s="3404"/>
      <c r="JUS5" s="3404"/>
      <c r="JUT5" s="3404"/>
      <c r="JUU5" s="3404"/>
      <c r="JUV5" s="3404"/>
      <c r="JUW5" s="3404"/>
      <c r="JUX5" s="3404"/>
      <c r="JUY5" s="3404"/>
      <c r="JUZ5" s="3404"/>
      <c r="JVA5" s="3404"/>
      <c r="JVB5" s="3404"/>
      <c r="JVC5" s="3404"/>
      <c r="JVD5" s="3404"/>
      <c r="JVE5" s="3404"/>
      <c r="JVF5" s="3404"/>
      <c r="JVG5" s="3404"/>
      <c r="JVH5" s="3404"/>
      <c r="JVI5" s="3404"/>
      <c r="JVJ5" s="3404"/>
      <c r="JVK5" s="3404"/>
      <c r="JVL5" s="3404"/>
      <c r="JVM5" s="3404"/>
      <c r="JVN5" s="3404"/>
      <c r="JVO5" s="3404"/>
      <c r="JVP5" s="3404"/>
      <c r="JVQ5" s="3404"/>
      <c r="JVR5" s="3404"/>
      <c r="JVS5" s="3404"/>
      <c r="JVT5" s="3404"/>
      <c r="JVU5" s="3404"/>
      <c r="JVV5" s="3404"/>
      <c r="JVW5" s="3404"/>
      <c r="JVX5" s="3404"/>
      <c r="JVY5" s="3404"/>
      <c r="JVZ5" s="3404"/>
      <c r="JWA5" s="3404"/>
      <c r="JWB5" s="3404"/>
      <c r="JWC5" s="3404"/>
      <c r="JWD5" s="3404"/>
      <c r="JWE5" s="3404"/>
      <c r="JWF5" s="3404"/>
      <c r="JWG5" s="3404"/>
      <c r="JWH5" s="3404"/>
      <c r="JWI5" s="3404"/>
      <c r="JWJ5" s="3404"/>
      <c r="JWK5" s="3404"/>
      <c r="JWL5" s="3404"/>
      <c r="JWM5" s="3404"/>
      <c r="JWN5" s="3404"/>
      <c r="JWO5" s="3404"/>
      <c r="JWP5" s="3404"/>
      <c r="JWQ5" s="3404"/>
      <c r="JWR5" s="3404"/>
      <c r="JWS5" s="3404"/>
      <c r="JWT5" s="3404"/>
      <c r="JWU5" s="3404"/>
      <c r="JWV5" s="3404"/>
      <c r="JWW5" s="3404"/>
      <c r="JWX5" s="3404"/>
      <c r="JWY5" s="3404"/>
      <c r="JWZ5" s="3404"/>
      <c r="JXA5" s="3404"/>
      <c r="JXB5" s="3404"/>
      <c r="JXC5" s="3404"/>
      <c r="JXD5" s="3404"/>
      <c r="JXE5" s="3404"/>
      <c r="JXF5" s="3404"/>
      <c r="JXG5" s="3404"/>
      <c r="JXH5" s="3404"/>
      <c r="JXI5" s="3404"/>
      <c r="JXJ5" s="3404"/>
      <c r="JXK5" s="3404"/>
      <c r="JXL5" s="3404"/>
      <c r="JXM5" s="3404"/>
      <c r="JXN5" s="3404"/>
      <c r="JXO5" s="3404"/>
      <c r="JXP5" s="3404"/>
      <c r="JXQ5" s="3404"/>
      <c r="JXR5" s="3404"/>
      <c r="JXS5" s="3404"/>
      <c r="JXT5" s="3404"/>
      <c r="JXU5" s="3404"/>
      <c r="JXV5" s="3404"/>
      <c r="JXW5" s="3404"/>
      <c r="JXX5" s="3404"/>
      <c r="JXY5" s="3404"/>
      <c r="JXZ5" s="3404"/>
      <c r="JYA5" s="3404"/>
      <c r="JYB5" s="3404"/>
      <c r="JYC5" s="3404"/>
      <c r="JYD5" s="3404"/>
      <c r="JYE5" s="3404"/>
      <c r="JYF5" s="3404"/>
      <c r="JYG5" s="3404"/>
      <c r="JYH5" s="3404"/>
      <c r="JYI5" s="3404"/>
      <c r="JYJ5" s="3404"/>
      <c r="JYK5" s="3404"/>
      <c r="JYL5" s="3404"/>
      <c r="JYM5" s="3404"/>
      <c r="JYN5" s="3404"/>
      <c r="JYO5" s="3404"/>
      <c r="JYP5" s="3404"/>
      <c r="JYQ5" s="3404"/>
      <c r="JYR5" s="3404"/>
      <c r="JYS5" s="3404"/>
      <c r="JYT5" s="3404"/>
      <c r="JYU5" s="3404"/>
      <c r="JYV5" s="3404"/>
      <c r="JYW5" s="3404"/>
      <c r="JYX5" s="3404"/>
      <c r="JYY5" s="3404"/>
      <c r="JYZ5" s="3404"/>
      <c r="JZA5" s="3404"/>
      <c r="JZB5" s="3404"/>
      <c r="JZC5" s="3404"/>
      <c r="JZD5" s="3404"/>
      <c r="JZE5" s="3404"/>
      <c r="JZF5" s="3404"/>
      <c r="JZG5" s="3404"/>
      <c r="JZH5" s="3404"/>
      <c r="JZI5" s="3404"/>
      <c r="JZJ5" s="3404"/>
      <c r="JZK5" s="3404"/>
      <c r="JZL5" s="3404"/>
      <c r="JZM5" s="3404"/>
      <c r="JZN5" s="3404"/>
      <c r="JZO5" s="3404"/>
      <c r="JZP5" s="3404"/>
      <c r="JZQ5" s="3404"/>
      <c r="JZR5" s="3404"/>
      <c r="JZS5" s="3404"/>
      <c r="JZT5" s="3404"/>
      <c r="JZU5" s="3404"/>
      <c r="JZV5" s="3404"/>
      <c r="JZW5" s="3404"/>
      <c r="JZX5" s="3404"/>
      <c r="JZY5" s="3404"/>
      <c r="JZZ5" s="3404"/>
      <c r="KAA5" s="3404"/>
      <c r="KAB5" s="3404"/>
      <c r="KAC5" s="3404"/>
      <c r="KAD5" s="3404"/>
      <c r="KAE5" s="3404"/>
      <c r="KAF5" s="3404"/>
      <c r="KAG5" s="3404"/>
      <c r="KAH5" s="3404"/>
      <c r="KAI5" s="3404"/>
      <c r="KAJ5" s="3404"/>
      <c r="KAK5" s="3404"/>
      <c r="KAL5" s="3404"/>
      <c r="KAM5" s="3404"/>
      <c r="KAN5" s="3404"/>
      <c r="KAO5" s="3404"/>
      <c r="KAP5" s="3404"/>
      <c r="KAQ5" s="3404"/>
      <c r="KAR5" s="3404"/>
      <c r="KAS5" s="3404"/>
      <c r="KAT5" s="3404"/>
      <c r="KAU5" s="3404"/>
      <c r="KAV5" s="3404"/>
      <c r="KAW5" s="3404"/>
      <c r="KAX5" s="3404"/>
      <c r="KAY5" s="3404"/>
      <c r="KAZ5" s="3404"/>
      <c r="KBA5" s="3404"/>
      <c r="KBB5" s="3404"/>
      <c r="KBC5" s="3404"/>
      <c r="KBD5" s="3404"/>
      <c r="KBE5" s="3404"/>
      <c r="KBF5" s="3404"/>
      <c r="KBG5" s="3404"/>
      <c r="KBH5" s="3404"/>
      <c r="KBI5" s="3404"/>
      <c r="KBJ5" s="3404"/>
      <c r="KBK5" s="3404"/>
      <c r="KBL5" s="3404"/>
      <c r="KBM5" s="3404"/>
      <c r="KBN5" s="3404"/>
      <c r="KBO5" s="3404"/>
      <c r="KBP5" s="3404"/>
      <c r="KBQ5" s="3404"/>
      <c r="KBR5" s="3404"/>
      <c r="KBS5" s="3404"/>
      <c r="KBT5" s="3404"/>
      <c r="KBU5" s="3404"/>
      <c r="KBV5" s="3404"/>
      <c r="KBW5" s="3404"/>
      <c r="KBX5" s="3404"/>
      <c r="KBY5" s="3404"/>
      <c r="KBZ5" s="3404"/>
      <c r="KCA5" s="3404"/>
      <c r="KCB5" s="3404"/>
      <c r="KCC5" s="3404"/>
      <c r="KCD5" s="3404"/>
      <c r="KCE5" s="3404"/>
      <c r="KCF5" s="3404"/>
      <c r="KCG5" s="3404"/>
      <c r="KCH5" s="3404"/>
      <c r="KCI5" s="3404"/>
      <c r="KCJ5" s="3404"/>
      <c r="KCK5" s="3404"/>
      <c r="KCL5" s="3404"/>
      <c r="KCM5" s="3404"/>
      <c r="KCN5" s="3404"/>
      <c r="KCO5" s="3404"/>
      <c r="KCP5" s="3404"/>
      <c r="KCQ5" s="3404"/>
      <c r="KCR5" s="3404"/>
      <c r="KCS5" s="3404"/>
      <c r="KCT5" s="3404"/>
      <c r="KCU5" s="3404"/>
      <c r="KCV5" s="3404"/>
      <c r="KCW5" s="3404"/>
      <c r="KCX5" s="3404"/>
      <c r="KCY5" s="3404"/>
      <c r="KCZ5" s="3404"/>
      <c r="KDA5" s="3404"/>
      <c r="KDB5" s="3404"/>
      <c r="KDC5" s="3404"/>
      <c r="KDD5" s="3404"/>
      <c r="KDE5" s="3404"/>
      <c r="KDF5" s="3404"/>
      <c r="KDG5" s="3404"/>
      <c r="KDH5" s="3404"/>
      <c r="KDI5" s="3404"/>
      <c r="KDJ5" s="3404"/>
      <c r="KDK5" s="3404"/>
      <c r="KDL5" s="3404"/>
      <c r="KDM5" s="3404"/>
      <c r="KDN5" s="3404"/>
      <c r="KDO5" s="3404"/>
      <c r="KDP5" s="3404"/>
      <c r="KDQ5" s="3404"/>
      <c r="KDR5" s="3404"/>
      <c r="KDS5" s="3404"/>
      <c r="KDT5" s="3404"/>
      <c r="KDU5" s="3404"/>
      <c r="KDV5" s="3404"/>
      <c r="KDW5" s="3404"/>
      <c r="KDX5" s="3404"/>
      <c r="KDY5" s="3404"/>
      <c r="KDZ5" s="3404"/>
      <c r="KEA5" s="3404"/>
      <c r="KEB5" s="3404"/>
      <c r="KEC5" s="3404"/>
      <c r="KED5" s="3404"/>
      <c r="KEE5" s="3404"/>
      <c r="KEF5" s="3404"/>
      <c r="KEG5" s="3404"/>
      <c r="KEH5" s="3404"/>
      <c r="KEI5" s="3404"/>
      <c r="KEJ5" s="3404"/>
      <c r="KEK5" s="3404"/>
      <c r="KEL5" s="3404"/>
      <c r="KEM5" s="3404"/>
      <c r="KEN5" s="3404"/>
      <c r="KEO5" s="3404"/>
      <c r="KEP5" s="3404"/>
      <c r="KEQ5" s="3404"/>
      <c r="KER5" s="3404"/>
      <c r="KES5" s="3404"/>
      <c r="KET5" s="3404"/>
      <c r="KEU5" s="3404"/>
      <c r="KEV5" s="3404"/>
      <c r="KEW5" s="3404"/>
      <c r="KEX5" s="3404"/>
      <c r="KEY5" s="3404"/>
      <c r="KEZ5" s="3404"/>
      <c r="KFA5" s="3404"/>
      <c r="KFB5" s="3404"/>
      <c r="KFC5" s="3404"/>
      <c r="KFD5" s="3404"/>
      <c r="KFE5" s="3404"/>
      <c r="KFF5" s="3404"/>
      <c r="KFG5" s="3404"/>
      <c r="KFH5" s="3404"/>
      <c r="KFI5" s="3404"/>
      <c r="KFJ5" s="3404"/>
      <c r="KFK5" s="3404"/>
      <c r="KFL5" s="3404"/>
      <c r="KFM5" s="3404"/>
      <c r="KFN5" s="3404"/>
      <c r="KFO5" s="3404"/>
      <c r="KFP5" s="3404"/>
      <c r="KFQ5" s="3404"/>
      <c r="KFR5" s="3404"/>
      <c r="KFS5" s="3404"/>
      <c r="KFT5" s="3404"/>
      <c r="KFU5" s="3404"/>
      <c r="KFV5" s="3404"/>
      <c r="KFW5" s="3404"/>
      <c r="KFX5" s="3404"/>
      <c r="KFY5" s="3404"/>
      <c r="KFZ5" s="3404"/>
      <c r="KGA5" s="3404"/>
      <c r="KGB5" s="3404"/>
      <c r="KGC5" s="3404"/>
      <c r="KGD5" s="3404"/>
      <c r="KGE5" s="3404"/>
      <c r="KGF5" s="3404"/>
      <c r="KGG5" s="3404"/>
      <c r="KGH5" s="3404"/>
      <c r="KGI5" s="3404"/>
      <c r="KGJ5" s="3404"/>
      <c r="KGK5" s="3404"/>
      <c r="KGL5" s="3404"/>
      <c r="KGM5" s="3404"/>
      <c r="KGN5" s="3404"/>
      <c r="KGO5" s="3404"/>
      <c r="KGP5" s="3404"/>
      <c r="KGQ5" s="3404"/>
      <c r="KGR5" s="3404"/>
      <c r="KGS5" s="3404"/>
      <c r="KGT5" s="3404"/>
      <c r="KGU5" s="3404"/>
      <c r="KGV5" s="3404"/>
      <c r="KGW5" s="3404"/>
      <c r="KGX5" s="3404"/>
      <c r="KGY5" s="3404"/>
      <c r="KGZ5" s="3404"/>
      <c r="KHA5" s="3404"/>
      <c r="KHB5" s="3404"/>
      <c r="KHC5" s="3404"/>
      <c r="KHD5" s="3404"/>
      <c r="KHE5" s="3404"/>
      <c r="KHF5" s="3404"/>
      <c r="KHG5" s="3404"/>
      <c r="KHH5" s="3404"/>
      <c r="KHI5" s="3404"/>
      <c r="KHJ5" s="3404"/>
      <c r="KHK5" s="3404"/>
      <c r="KHL5" s="3404"/>
      <c r="KHM5" s="3404"/>
      <c r="KHN5" s="3404"/>
      <c r="KHO5" s="3404"/>
      <c r="KHP5" s="3404"/>
      <c r="KHQ5" s="3404"/>
      <c r="KHR5" s="3404"/>
      <c r="KHS5" s="3404"/>
      <c r="KHT5" s="3404"/>
      <c r="KHU5" s="3404"/>
      <c r="KHV5" s="3404"/>
      <c r="KHW5" s="3404"/>
      <c r="KHX5" s="3404"/>
      <c r="KHY5" s="3404"/>
      <c r="KHZ5" s="3404"/>
      <c r="KIA5" s="3404"/>
      <c r="KIB5" s="3404"/>
      <c r="KIC5" s="3404"/>
      <c r="KID5" s="3404"/>
      <c r="KIE5" s="3404"/>
      <c r="KIF5" s="3404"/>
      <c r="KIG5" s="3404"/>
      <c r="KIH5" s="3404"/>
      <c r="KII5" s="3404"/>
      <c r="KIJ5" s="3404"/>
      <c r="KIK5" s="3404"/>
      <c r="KIL5" s="3404"/>
      <c r="KIM5" s="3404"/>
      <c r="KIN5" s="3404"/>
      <c r="KIO5" s="3404"/>
      <c r="KIP5" s="3404"/>
      <c r="KIQ5" s="3404"/>
      <c r="KIR5" s="3404"/>
      <c r="KIS5" s="3404"/>
      <c r="KIT5" s="3404"/>
      <c r="KIU5" s="3404"/>
      <c r="KIV5" s="3404"/>
      <c r="KIW5" s="3404"/>
      <c r="KIX5" s="3404"/>
      <c r="KIY5" s="3404"/>
      <c r="KIZ5" s="3404"/>
      <c r="KJA5" s="3404"/>
      <c r="KJB5" s="3404"/>
      <c r="KJC5" s="3404"/>
      <c r="KJD5" s="3404"/>
      <c r="KJE5" s="3404"/>
      <c r="KJF5" s="3404"/>
      <c r="KJG5" s="3404"/>
      <c r="KJH5" s="3404"/>
      <c r="KJI5" s="3404"/>
      <c r="KJJ5" s="3404"/>
      <c r="KJK5" s="3404"/>
      <c r="KJL5" s="3404"/>
      <c r="KJM5" s="3404"/>
      <c r="KJN5" s="3404"/>
      <c r="KJO5" s="3404"/>
      <c r="KJP5" s="3404"/>
      <c r="KJQ5" s="3404"/>
      <c r="KJR5" s="3404"/>
      <c r="KJS5" s="3404"/>
      <c r="KJT5" s="3404"/>
      <c r="KJU5" s="3404"/>
      <c r="KJV5" s="3404"/>
      <c r="KJW5" s="3404"/>
      <c r="KJX5" s="3404"/>
      <c r="KJY5" s="3404"/>
      <c r="KJZ5" s="3404"/>
      <c r="KKA5" s="3404"/>
      <c r="KKB5" s="3404"/>
      <c r="KKC5" s="3404"/>
      <c r="KKD5" s="3404"/>
      <c r="KKE5" s="3404"/>
      <c r="KKF5" s="3404"/>
      <c r="KKG5" s="3404"/>
      <c r="KKH5" s="3404"/>
      <c r="KKI5" s="3404"/>
      <c r="KKJ5" s="3404"/>
      <c r="KKK5" s="3404"/>
      <c r="KKL5" s="3404"/>
      <c r="KKM5" s="3404"/>
      <c r="KKN5" s="3404"/>
      <c r="KKO5" s="3404"/>
      <c r="KKP5" s="3404"/>
      <c r="KKQ5" s="3404"/>
      <c r="KKR5" s="3404"/>
      <c r="KKS5" s="3404"/>
      <c r="KKT5" s="3404"/>
      <c r="KKU5" s="3404"/>
      <c r="KKV5" s="3404"/>
      <c r="KKW5" s="3404"/>
      <c r="KKX5" s="3404"/>
      <c r="KKY5" s="3404"/>
      <c r="KKZ5" s="3404"/>
      <c r="KLA5" s="3404"/>
      <c r="KLB5" s="3404"/>
      <c r="KLC5" s="3404"/>
      <c r="KLD5" s="3404"/>
      <c r="KLE5" s="3404"/>
      <c r="KLF5" s="3404"/>
      <c r="KLG5" s="3404"/>
      <c r="KLH5" s="3404"/>
      <c r="KLI5" s="3404"/>
      <c r="KLJ5" s="3404"/>
      <c r="KLK5" s="3404"/>
      <c r="KLL5" s="3404"/>
      <c r="KLM5" s="3404"/>
      <c r="KLN5" s="3404"/>
      <c r="KLO5" s="3404"/>
      <c r="KLP5" s="3404"/>
      <c r="KLQ5" s="3404"/>
      <c r="KLR5" s="3404"/>
      <c r="KLS5" s="3404"/>
      <c r="KLT5" s="3404"/>
      <c r="KLU5" s="3404"/>
      <c r="KLV5" s="3404"/>
      <c r="KLW5" s="3404"/>
      <c r="KLX5" s="3404"/>
      <c r="KLY5" s="3404"/>
      <c r="KLZ5" s="3404"/>
      <c r="KMA5" s="3404"/>
      <c r="KMB5" s="3404"/>
      <c r="KMC5" s="3404"/>
      <c r="KMD5" s="3404"/>
      <c r="KME5" s="3404"/>
      <c r="KMF5" s="3404"/>
      <c r="KMG5" s="3404"/>
      <c r="KMH5" s="3404"/>
      <c r="KMI5" s="3404"/>
      <c r="KMJ5" s="3404"/>
      <c r="KMK5" s="3404"/>
      <c r="KML5" s="3404"/>
      <c r="KMM5" s="3404"/>
      <c r="KMN5" s="3404"/>
      <c r="KMO5" s="3404"/>
      <c r="KMP5" s="3404"/>
      <c r="KMQ5" s="3404"/>
      <c r="KMR5" s="3404"/>
      <c r="KMS5" s="3404"/>
      <c r="KMT5" s="3404"/>
      <c r="KMU5" s="3404"/>
      <c r="KMV5" s="3404"/>
      <c r="KMW5" s="3404"/>
      <c r="KMX5" s="3404"/>
      <c r="KMY5" s="3404"/>
      <c r="KMZ5" s="3404"/>
      <c r="KNA5" s="3404"/>
      <c r="KNB5" s="3404"/>
      <c r="KNC5" s="3404"/>
      <c r="KND5" s="3404"/>
      <c r="KNE5" s="3404"/>
      <c r="KNF5" s="3404"/>
      <c r="KNG5" s="3404"/>
      <c r="KNH5" s="3404"/>
      <c r="KNI5" s="3404"/>
      <c r="KNJ5" s="3404"/>
      <c r="KNK5" s="3404"/>
      <c r="KNL5" s="3404"/>
      <c r="KNM5" s="3404"/>
      <c r="KNN5" s="3404"/>
      <c r="KNO5" s="3404"/>
      <c r="KNP5" s="3404"/>
      <c r="KNQ5" s="3404"/>
      <c r="KNR5" s="3404"/>
      <c r="KNS5" s="3404"/>
      <c r="KNT5" s="3404"/>
      <c r="KNU5" s="3404"/>
      <c r="KNV5" s="3404"/>
      <c r="KNW5" s="3404"/>
      <c r="KNX5" s="3404"/>
      <c r="KNY5" s="3404"/>
      <c r="KNZ5" s="3404"/>
      <c r="KOA5" s="3404"/>
      <c r="KOB5" s="3404"/>
      <c r="KOC5" s="3404"/>
      <c r="KOD5" s="3404"/>
      <c r="KOE5" s="3404"/>
      <c r="KOF5" s="3404"/>
      <c r="KOG5" s="3404"/>
      <c r="KOH5" s="3404"/>
      <c r="KOI5" s="3404"/>
      <c r="KOJ5" s="3404"/>
      <c r="KOK5" s="3404"/>
      <c r="KOL5" s="3404"/>
      <c r="KOM5" s="3404"/>
      <c r="KON5" s="3404"/>
      <c r="KOO5" s="3404"/>
      <c r="KOP5" s="3404"/>
      <c r="KOQ5" s="3404"/>
      <c r="KOR5" s="3404"/>
      <c r="KOS5" s="3404"/>
      <c r="KOT5" s="3404"/>
      <c r="KOU5" s="3404"/>
      <c r="KOV5" s="3404"/>
      <c r="KOW5" s="3404"/>
      <c r="KOX5" s="3404"/>
      <c r="KOY5" s="3404"/>
      <c r="KOZ5" s="3404"/>
      <c r="KPA5" s="3404"/>
      <c r="KPB5" s="3404"/>
      <c r="KPC5" s="3404"/>
      <c r="KPD5" s="3404"/>
      <c r="KPE5" s="3404"/>
      <c r="KPF5" s="3404"/>
      <c r="KPG5" s="3404"/>
      <c r="KPH5" s="3404"/>
      <c r="KPI5" s="3404"/>
      <c r="KPJ5" s="3404"/>
      <c r="KPK5" s="3404"/>
      <c r="KPL5" s="3404"/>
      <c r="KPM5" s="3404"/>
      <c r="KPN5" s="3404"/>
      <c r="KPO5" s="3404"/>
      <c r="KPP5" s="3404"/>
      <c r="KPQ5" s="3404"/>
      <c r="KPR5" s="3404"/>
      <c r="KPS5" s="3404"/>
      <c r="KPT5" s="3404"/>
      <c r="KPU5" s="3404"/>
      <c r="KPV5" s="3404"/>
      <c r="KPW5" s="3404"/>
      <c r="KPX5" s="3404"/>
      <c r="KPY5" s="3404"/>
      <c r="KPZ5" s="3404"/>
      <c r="KQA5" s="3404"/>
      <c r="KQB5" s="3404"/>
      <c r="KQC5" s="3404"/>
      <c r="KQD5" s="3404"/>
      <c r="KQE5" s="3404"/>
      <c r="KQF5" s="3404"/>
      <c r="KQG5" s="3404"/>
      <c r="KQH5" s="3404"/>
      <c r="KQI5" s="3404"/>
      <c r="KQJ5" s="3404"/>
      <c r="KQK5" s="3404"/>
      <c r="KQL5" s="3404"/>
      <c r="KQM5" s="3404"/>
      <c r="KQN5" s="3404"/>
      <c r="KQO5" s="3404"/>
      <c r="KQP5" s="3404"/>
      <c r="KQQ5" s="3404"/>
      <c r="KQR5" s="3404"/>
      <c r="KQS5" s="3404"/>
      <c r="KQT5" s="3404"/>
      <c r="KQU5" s="3404"/>
      <c r="KQV5" s="3404"/>
      <c r="KQW5" s="3404"/>
      <c r="KQX5" s="3404"/>
      <c r="KQY5" s="3404"/>
      <c r="KQZ5" s="3404"/>
      <c r="KRA5" s="3404"/>
      <c r="KRB5" s="3404"/>
      <c r="KRC5" s="3404"/>
      <c r="KRD5" s="3404"/>
      <c r="KRE5" s="3404"/>
      <c r="KRF5" s="3404"/>
      <c r="KRG5" s="3404"/>
      <c r="KRH5" s="3404"/>
      <c r="KRI5" s="3404"/>
      <c r="KRJ5" s="3404"/>
      <c r="KRK5" s="3404"/>
      <c r="KRL5" s="3404"/>
      <c r="KRM5" s="3404"/>
      <c r="KRN5" s="3404"/>
      <c r="KRO5" s="3404"/>
      <c r="KRP5" s="3404"/>
      <c r="KRQ5" s="3404"/>
      <c r="KRR5" s="3404"/>
      <c r="KRS5" s="3404"/>
      <c r="KRT5" s="3404"/>
      <c r="KRU5" s="3404"/>
      <c r="KRV5" s="3404"/>
      <c r="KRW5" s="3404"/>
      <c r="KRX5" s="3404"/>
      <c r="KRY5" s="3404"/>
      <c r="KRZ5" s="3404"/>
      <c r="KSA5" s="3404"/>
      <c r="KSB5" s="3404"/>
      <c r="KSC5" s="3404"/>
      <c r="KSD5" s="3404"/>
      <c r="KSE5" s="3404"/>
      <c r="KSF5" s="3404"/>
      <c r="KSG5" s="3404"/>
      <c r="KSH5" s="3404"/>
      <c r="KSI5" s="3404"/>
      <c r="KSJ5" s="3404"/>
      <c r="KSK5" s="3404"/>
      <c r="KSL5" s="3404"/>
      <c r="KSM5" s="3404"/>
      <c r="KSN5" s="3404"/>
      <c r="KSO5" s="3404"/>
      <c r="KSP5" s="3404"/>
      <c r="KSQ5" s="3404"/>
      <c r="KSR5" s="3404"/>
      <c r="KSS5" s="3404"/>
      <c r="KST5" s="3404"/>
      <c r="KSU5" s="3404"/>
      <c r="KSV5" s="3404"/>
      <c r="KSW5" s="3404"/>
      <c r="KSX5" s="3404"/>
      <c r="KSY5" s="3404"/>
      <c r="KSZ5" s="3404"/>
      <c r="KTA5" s="3404"/>
      <c r="KTB5" s="3404"/>
      <c r="KTC5" s="3404"/>
      <c r="KTD5" s="3404"/>
      <c r="KTE5" s="3404"/>
      <c r="KTF5" s="3404"/>
      <c r="KTG5" s="3404"/>
      <c r="KTH5" s="3404"/>
      <c r="KTI5" s="3404"/>
      <c r="KTJ5" s="3404"/>
      <c r="KTK5" s="3404"/>
      <c r="KTL5" s="3404"/>
      <c r="KTM5" s="3404"/>
      <c r="KTN5" s="3404"/>
      <c r="KTO5" s="3404"/>
      <c r="KTP5" s="3404"/>
      <c r="KTQ5" s="3404"/>
      <c r="KTR5" s="3404"/>
      <c r="KTS5" s="3404"/>
      <c r="KTT5" s="3404"/>
      <c r="KTU5" s="3404"/>
      <c r="KTV5" s="3404"/>
      <c r="KTW5" s="3404"/>
      <c r="KTX5" s="3404"/>
      <c r="KTY5" s="3404"/>
      <c r="KTZ5" s="3404"/>
      <c r="KUA5" s="3404"/>
      <c r="KUB5" s="3404"/>
      <c r="KUC5" s="3404"/>
      <c r="KUD5" s="3404"/>
      <c r="KUE5" s="3404"/>
      <c r="KUF5" s="3404"/>
      <c r="KUG5" s="3404"/>
      <c r="KUH5" s="3404"/>
      <c r="KUI5" s="3404"/>
      <c r="KUJ5" s="3404"/>
      <c r="KUK5" s="3404"/>
      <c r="KUL5" s="3404"/>
      <c r="KUM5" s="3404"/>
      <c r="KUN5" s="3404"/>
      <c r="KUO5" s="3404"/>
      <c r="KUP5" s="3404"/>
      <c r="KUQ5" s="3404"/>
      <c r="KUR5" s="3404"/>
      <c r="KUS5" s="3404"/>
      <c r="KUT5" s="3404"/>
      <c r="KUU5" s="3404"/>
      <c r="KUV5" s="3404"/>
      <c r="KUW5" s="3404"/>
      <c r="KUX5" s="3404"/>
      <c r="KUY5" s="3404"/>
      <c r="KUZ5" s="3404"/>
      <c r="KVA5" s="3404"/>
      <c r="KVB5" s="3404"/>
      <c r="KVC5" s="3404"/>
      <c r="KVD5" s="3404"/>
      <c r="KVE5" s="3404"/>
      <c r="KVF5" s="3404"/>
      <c r="KVG5" s="3404"/>
      <c r="KVH5" s="3404"/>
      <c r="KVI5" s="3404"/>
      <c r="KVJ5" s="3404"/>
      <c r="KVK5" s="3404"/>
      <c r="KVL5" s="3404"/>
      <c r="KVM5" s="3404"/>
      <c r="KVN5" s="3404"/>
      <c r="KVO5" s="3404"/>
      <c r="KVP5" s="3404"/>
      <c r="KVQ5" s="3404"/>
      <c r="KVR5" s="3404"/>
      <c r="KVS5" s="3404"/>
      <c r="KVT5" s="3404"/>
      <c r="KVU5" s="3404"/>
      <c r="KVV5" s="3404"/>
      <c r="KVW5" s="3404"/>
      <c r="KVX5" s="3404"/>
      <c r="KVY5" s="3404"/>
      <c r="KVZ5" s="3404"/>
      <c r="KWA5" s="3404"/>
      <c r="KWB5" s="3404"/>
      <c r="KWC5" s="3404"/>
      <c r="KWD5" s="3404"/>
      <c r="KWE5" s="3404"/>
      <c r="KWF5" s="3404"/>
      <c r="KWG5" s="3404"/>
      <c r="KWH5" s="3404"/>
      <c r="KWI5" s="3404"/>
      <c r="KWJ5" s="3404"/>
      <c r="KWK5" s="3404"/>
      <c r="KWL5" s="3404"/>
      <c r="KWM5" s="3404"/>
      <c r="KWN5" s="3404"/>
      <c r="KWO5" s="3404"/>
      <c r="KWP5" s="3404"/>
      <c r="KWQ5" s="3404"/>
      <c r="KWR5" s="3404"/>
      <c r="KWS5" s="3404"/>
      <c r="KWT5" s="3404"/>
      <c r="KWU5" s="3404"/>
      <c r="KWV5" s="3404"/>
      <c r="KWW5" s="3404"/>
      <c r="KWX5" s="3404"/>
      <c r="KWY5" s="3404"/>
      <c r="KWZ5" s="3404"/>
      <c r="KXA5" s="3404"/>
      <c r="KXB5" s="3404"/>
      <c r="KXC5" s="3404"/>
      <c r="KXD5" s="3404"/>
      <c r="KXE5" s="3404"/>
      <c r="KXF5" s="3404"/>
      <c r="KXG5" s="3404"/>
      <c r="KXH5" s="3404"/>
      <c r="KXI5" s="3404"/>
      <c r="KXJ5" s="3404"/>
      <c r="KXK5" s="3404"/>
      <c r="KXL5" s="3404"/>
      <c r="KXM5" s="3404"/>
      <c r="KXN5" s="3404"/>
      <c r="KXO5" s="3404"/>
      <c r="KXP5" s="3404"/>
      <c r="KXQ5" s="3404"/>
      <c r="KXR5" s="3404"/>
      <c r="KXS5" s="3404"/>
      <c r="KXT5" s="3404"/>
      <c r="KXU5" s="3404"/>
      <c r="KXV5" s="3404"/>
      <c r="KXW5" s="3404"/>
      <c r="KXX5" s="3404"/>
      <c r="KXY5" s="3404"/>
      <c r="KXZ5" s="3404"/>
      <c r="KYA5" s="3404"/>
      <c r="KYB5" s="3404"/>
      <c r="KYC5" s="3404"/>
      <c r="KYD5" s="3404"/>
      <c r="KYE5" s="3404"/>
      <c r="KYF5" s="3404"/>
      <c r="KYG5" s="3404"/>
      <c r="KYH5" s="3404"/>
      <c r="KYI5" s="3404"/>
      <c r="KYJ5" s="3404"/>
      <c r="KYK5" s="3404"/>
      <c r="KYL5" s="3404"/>
      <c r="KYM5" s="3404"/>
      <c r="KYN5" s="3404"/>
      <c r="KYO5" s="3404"/>
      <c r="KYP5" s="3404"/>
      <c r="KYQ5" s="3404"/>
      <c r="KYR5" s="3404"/>
      <c r="KYS5" s="3404"/>
      <c r="KYT5" s="3404"/>
      <c r="KYU5" s="3404"/>
      <c r="KYV5" s="3404"/>
      <c r="KYW5" s="3404"/>
      <c r="KYX5" s="3404"/>
      <c r="KYY5" s="3404"/>
      <c r="KYZ5" s="3404"/>
      <c r="KZA5" s="3404"/>
      <c r="KZB5" s="3404"/>
      <c r="KZC5" s="3404"/>
      <c r="KZD5" s="3404"/>
      <c r="KZE5" s="3404"/>
      <c r="KZF5" s="3404"/>
      <c r="KZG5" s="3404"/>
      <c r="KZH5" s="3404"/>
      <c r="KZI5" s="3404"/>
      <c r="KZJ5" s="3404"/>
      <c r="KZK5" s="3404"/>
      <c r="KZL5" s="3404"/>
      <c r="KZM5" s="3404"/>
      <c r="KZN5" s="3404"/>
      <c r="KZO5" s="3404"/>
      <c r="KZP5" s="3404"/>
      <c r="KZQ5" s="3404"/>
      <c r="KZR5" s="3404"/>
      <c r="KZS5" s="3404"/>
      <c r="KZT5" s="3404"/>
      <c r="KZU5" s="3404"/>
      <c r="KZV5" s="3404"/>
      <c r="KZW5" s="3404"/>
      <c r="KZX5" s="3404"/>
      <c r="KZY5" s="3404"/>
      <c r="KZZ5" s="3404"/>
      <c r="LAA5" s="3404"/>
      <c r="LAB5" s="3404"/>
      <c r="LAC5" s="3404"/>
      <c r="LAD5" s="3404"/>
      <c r="LAE5" s="3404"/>
      <c r="LAF5" s="3404"/>
      <c r="LAG5" s="3404"/>
      <c r="LAH5" s="3404"/>
      <c r="LAI5" s="3404"/>
      <c r="LAJ5" s="3404"/>
      <c r="LAK5" s="3404"/>
      <c r="LAL5" s="3404"/>
      <c r="LAM5" s="3404"/>
      <c r="LAN5" s="3404"/>
      <c r="LAO5" s="3404"/>
      <c r="LAP5" s="3404"/>
      <c r="LAQ5" s="3404"/>
      <c r="LAR5" s="3404"/>
      <c r="LAS5" s="3404"/>
      <c r="LAT5" s="3404"/>
      <c r="LAU5" s="3404"/>
      <c r="LAV5" s="3404"/>
      <c r="LAW5" s="3404"/>
      <c r="LAX5" s="3404"/>
      <c r="LAY5" s="3404"/>
      <c r="LAZ5" s="3404"/>
      <c r="LBA5" s="3404"/>
      <c r="LBB5" s="3404"/>
      <c r="LBC5" s="3404"/>
      <c r="LBD5" s="3404"/>
      <c r="LBE5" s="3404"/>
      <c r="LBF5" s="3404"/>
      <c r="LBG5" s="3404"/>
      <c r="LBH5" s="3404"/>
      <c r="LBI5" s="3404"/>
      <c r="LBJ5" s="3404"/>
      <c r="LBK5" s="3404"/>
      <c r="LBL5" s="3404"/>
      <c r="LBM5" s="3404"/>
      <c r="LBN5" s="3404"/>
      <c r="LBO5" s="3404"/>
      <c r="LBP5" s="3404"/>
      <c r="LBQ5" s="3404"/>
      <c r="LBR5" s="3404"/>
      <c r="LBS5" s="3404"/>
      <c r="LBT5" s="3404"/>
      <c r="LBU5" s="3404"/>
      <c r="LBV5" s="3404"/>
      <c r="LBW5" s="3404"/>
      <c r="LBX5" s="3404"/>
      <c r="LBY5" s="3404"/>
      <c r="LBZ5" s="3404"/>
      <c r="LCA5" s="3404"/>
      <c r="LCB5" s="3404"/>
      <c r="LCC5" s="3404"/>
      <c r="LCD5" s="3404"/>
      <c r="LCE5" s="3404"/>
      <c r="LCF5" s="3404"/>
      <c r="LCG5" s="3404"/>
      <c r="LCH5" s="3404"/>
      <c r="LCI5" s="3404"/>
      <c r="LCJ5" s="3404"/>
      <c r="LCK5" s="3404"/>
      <c r="LCL5" s="3404"/>
      <c r="LCM5" s="3404"/>
      <c r="LCN5" s="3404"/>
      <c r="LCO5" s="3404"/>
      <c r="LCP5" s="3404"/>
      <c r="LCQ5" s="3404"/>
      <c r="LCR5" s="3404"/>
      <c r="LCS5" s="3404"/>
      <c r="LCT5" s="3404"/>
      <c r="LCU5" s="3404"/>
      <c r="LCV5" s="3404"/>
      <c r="LCW5" s="3404"/>
      <c r="LCX5" s="3404"/>
      <c r="LCY5" s="3404"/>
      <c r="LCZ5" s="3404"/>
      <c r="LDA5" s="3404"/>
      <c r="LDB5" s="3404"/>
      <c r="LDC5" s="3404"/>
      <c r="LDD5" s="3404"/>
      <c r="LDE5" s="3404"/>
      <c r="LDF5" s="3404"/>
      <c r="LDG5" s="3404"/>
      <c r="LDH5" s="3404"/>
      <c r="LDI5" s="3404"/>
      <c r="LDJ5" s="3404"/>
      <c r="LDK5" s="3404"/>
      <c r="LDL5" s="3404"/>
      <c r="LDM5" s="3404"/>
      <c r="LDN5" s="3404"/>
      <c r="LDO5" s="3404"/>
      <c r="LDP5" s="3404"/>
      <c r="LDQ5" s="3404"/>
      <c r="LDR5" s="3404"/>
      <c r="LDS5" s="3404"/>
      <c r="LDT5" s="3404"/>
      <c r="LDU5" s="3404"/>
      <c r="LDV5" s="3404"/>
      <c r="LDW5" s="3404"/>
      <c r="LDX5" s="3404"/>
      <c r="LDY5" s="3404"/>
      <c r="LDZ5" s="3404"/>
      <c r="LEA5" s="3404"/>
      <c r="LEB5" s="3404"/>
      <c r="LEC5" s="3404"/>
      <c r="LED5" s="3404"/>
      <c r="LEE5" s="3404"/>
      <c r="LEF5" s="3404"/>
      <c r="LEG5" s="3404"/>
      <c r="LEH5" s="3404"/>
      <c r="LEI5" s="3404"/>
      <c r="LEJ5" s="3404"/>
      <c r="LEK5" s="3404"/>
      <c r="LEL5" s="3404"/>
      <c r="LEM5" s="3404"/>
      <c r="LEN5" s="3404"/>
      <c r="LEO5" s="3404"/>
      <c r="LEP5" s="3404"/>
      <c r="LEQ5" s="3404"/>
      <c r="LER5" s="3404"/>
      <c r="LES5" s="3404"/>
      <c r="LET5" s="3404"/>
      <c r="LEU5" s="3404"/>
      <c r="LEV5" s="3404"/>
      <c r="LEW5" s="3404"/>
      <c r="LEX5" s="3404"/>
      <c r="LEY5" s="3404"/>
      <c r="LEZ5" s="3404"/>
      <c r="LFA5" s="3404"/>
      <c r="LFB5" s="3404"/>
      <c r="LFC5" s="3404"/>
      <c r="LFD5" s="3404"/>
      <c r="LFE5" s="3404"/>
      <c r="LFF5" s="3404"/>
      <c r="LFG5" s="3404"/>
      <c r="LFH5" s="3404"/>
      <c r="LFI5" s="3404"/>
      <c r="LFJ5" s="3404"/>
      <c r="LFK5" s="3404"/>
      <c r="LFL5" s="3404"/>
      <c r="LFM5" s="3404"/>
      <c r="LFN5" s="3404"/>
      <c r="LFO5" s="3404"/>
      <c r="LFP5" s="3404"/>
      <c r="LFQ5" s="3404"/>
      <c r="LFR5" s="3404"/>
      <c r="LFS5" s="3404"/>
      <c r="LFT5" s="3404"/>
      <c r="LFU5" s="3404"/>
      <c r="LFV5" s="3404"/>
      <c r="LFW5" s="3404"/>
      <c r="LFX5" s="3404"/>
      <c r="LFY5" s="3404"/>
      <c r="LFZ5" s="3404"/>
      <c r="LGA5" s="3404"/>
      <c r="LGB5" s="3404"/>
      <c r="LGC5" s="3404"/>
      <c r="LGD5" s="3404"/>
      <c r="LGE5" s="3404"/>
      <c r="LGF5" s="3404"/>
      <c r="LGG5" s="3404"/>
      <c r="LGH5" s="3404"/>
      <c r="LGI5" s="3404"/>
      <c r="LGJ5" s="3404"/>
      <c r="LGK5" s="3404"/>
      <c r="LGL5" s="3404"/>
      <c r="LGM5" s="3404"/>
      <c r="LGN5" s="3404"/>
      <c r="LGO5" s="3404"/>
      <c r="LGP5" s="3404"/>
      <c r="LGQ5" s="3404"/>
      <c r="LGR5" s="3404"/>
      <c r="LGS5" s="3404"/>
      <c r="LGT5" s="3404"/>
      <c r="LGU5" s="3404"/>
      <c r="LGV5" s="3404"/>
      <c r="LGW5" s="3404"/>
      <c r="LGX5" s="3404"/>
      <c r="LGY5" s="3404"/>
      <c r="LGZ5" s="3404"/>
      <c r="LHA5" s="3404"/>
      <c r="LHB5" s="3404"/>
      <c r="LHC5" s="3404"/>
      <c r="LHD5" s="3404"/>
      <c r="LHE5" s="3404"/>
      <c r="LHF5" s="3404"/>
      <c r="LHG5" s="3404"/>
      <c r="LHH5" s="3404"/>
      <c r="LHI5" s="3404"/>
      <c r="LHJ5" s="3404"/>
      <c r="LHK5" s="3404"/>
      <c r="LHL5" s="3404"/>
      <c r="LHM5" s="3404"/>
      <c r="LHN5" s="3404"/>
      <c r="LHO5" s="3404"/>
      <c r="LHP5" s="3404"/>
      <c r="LHQ5" s="3404"/>
      <c r="LHR5" s="3404"/>
      <c r="LHS5" s="3404"/>
      <c r="LHT5" s="3404"/>
      <c r="LHU5" s="3404"/>
      <c r="LHV5" s="3404"/>
      <c r="LHW5" s="3404"/>
      <c r="LHX5" s="3404"/>
      <c r="LHY5" s="3404"/>
      <c r="LHZ5" s="3404"/>
      <c r="LIA5" s="3404"/>
      <c r="LIB5" s="3404"/>
      <c r="LIC5" s="3404"/>
      <c r="LID5" s="3404"/>
      <c r="LIE5" s="3404"/>
      <c r="LIF5" s="3404"/>
      <c r="LIG5" s="3404"/>
      <c r="LIH5" s="3404"/>
      <c r="LII5" s="3404"/>
      <c r="LIJ5" s="3404"/>
      <c r="LIK5" s="3404"/>
      <c r="LIL5" s="3404"/>
      <c r="LIM5" s="3404"/>
      <c r="LIN5" s="3404"/>
      <c r="LIO5" s="3404"/>
      <c r="LIP5" s="3404"/>
      <c r="LIQ5" s="3404"/>
      <c r="LIR5" s="3404"/>
      <c r="LIS5" s="3404"/>
      <c r="LIT5" s="3404"/>
      <c r="LIU5" s="3404"/>
      <c r="LIV5" s="3404"/>
      <c r="LIW5" s="3404"/>
      <c r="LIX5" s="3404"/>
      <c r="LIY5" s="3404"/>
      <c r="LIZ5" s="3404"/>
      <c r="LJA5" s="3404"/>
      <c r="LJB5" s="3404"/>
      <c r="LJC5" s="3404"/>
      <c r="LJD5" s="3404"/>
      <c r="LJE5" s="3404"/>
      <c r="LJF5" s="3404"/>
      <c r="LJG5" s="3404"/>
      <c r="LJH5" s="3404"/>
      <c r="LJI5" s="3404"/>
      <c r="LJJ5" s="3404"/>
      <c r="LJK5" s="3404"/>
      <c r="LJL5" s="3404"/>
      <c r="LJM5" s="3404"/>
      <c r="LJN5" s="3404"/>
      <c r="LJO5" s="3404"/>
      <c r="LJP5" s="3404"/>
      <c r="LJQ5" s="3404"/>
      <c r="LJR5" s="3404"/>
      <c r="LJS5" s="3404"/>
      <c r="LJT5" s="3404"/>
      <c r="LJU5" s="3404"/>
      <c r="LJV5" s="3404"/>
      <c r="LJW5" s="3404"/>
      <c r="LJX5" s="3404"/>
      <c r="LJY5" s="3404"/>
      <c r="LJZ5" s="3404"/>
      <c r="LKA5" s="3404"/>
      <c r="LKB5" s="3404"/>
      <c r="LKC5" s="3404"/>
      <c r="LKD5" s="3404"/>
      <c r="LKE5" s="3404"/>
      <c r="LKF5" s="3404"/>
      <c r="LKG5" s="3404"/>
      <c r="LKH5" s="3404"/>
      <c r="LKI5" s="3404"/>
      <c r="LKJ5" s="3404"/>
      <c r="LKK5" s="3404"/>
      <c r="LKL5" s="3404"/>
      <c r="LKM5" s="3404"/>
      <c r="LKN5" s="3404"/>
      <c r="LKO5" s="3404"/>
      <c r="LKP5" s="3404"/>
      <c r="LKQ5" s="3404"/>
      <c r="LKR5" s="3404"/>
      <c r="LKS5" s="3404"/>
      <c r="LKT5" s="3404"/>
      <c r="LKU5" s="3404"/>
      <c r="LKV5" s="3404"/>
      <c r="LKW5" s="3404"/>
      <c r="LKX5" s="3404"/>
      <c r="LKY5" s="3404"/>
      <c r="LKZ5" s="3404"/>
      <c r="LLA5" s="3404"/>
      <c r="LLB5" s="3404"/>
      <c r="LLC5" s="3404"/>
      <c r="LLD5" s="3404"/>
      <c r="LLE5" s="3404"/>
      <c r="LLF5" s="3404"/>
      <c r="LLG5" s="3404"/>
      <c r="LLH5" s="3404"/>
      <c r="LLI5" s="3404"/>
      <c r="LLJ5" s="3404"/>
      <c r="LLK5" s="3404"/>
      <c r="LLL5" s="3404"/>
      <c r="LLM5" s="3404"/>
      <c r="LLN5" s="3404"/>
      <c r="LLO5" s="3404"/>
      <c r="LLP5" s="3404"/>
      <c r="LLQ5" s="3404"/>
      <c r="LLR5" s="3404"/>
      <c r="LLS5" s="3404"/>
      <c r="LLT5" s="3404"/>
      <c r="LLU5" s="3404"/>
      <c r="LLV5" s="3404"/>
      <c r="LLW5" s="3404"/>
      <c r="LLX5" s="3404"/>
      <c r="LLY5" s="3404"/>
      <c r="LLZ5" s="3404"/>
      <c r="LMA5" s="3404"/>
      <c r="LMB5" s="3404"/>
      <c r="LMC5" s="3404"/>
      <c r="LMD5" s="3404"/>
      <c r="LME5" s="3404"/>
      <c r="LMF5" s="3404"/>
      <c r="LMG5" s="3404"/>
      <c r="LMH5" s="3404"/>
      <c r="LMI5" s="3404"/>
      <c r="LMJ5" s="3404"/>
      <c r="LMK5" s="3404"/>
      <c r="LML5" s="3404"/>
      <c r="LMM5" s="3404"/>
      <c r="LMN5" s="3404"/>
      <c r="LMO5" s="3404"/>
      <c r="LMP5" s="3404"/>
      <c r="LMQ5" s="3404"/>
      <c r="LMR5" s="3404"/>
      <c r="LMS5" s="3404"/>
      <c r="LMT5" s="3404"/>
      <c r="LMU5" s="3404"/>
      <c r="LMV5" s="3404"/>
      <c r="LMW5" s="3404"/>
      <c r="LMX5" s="3404"/>
      <c r="LMY5" s="3404"/>
      <c r="LMZ5" s="3404"/>
      <c r="LNA5" s="3404"/>
      <c r="LNB5" s="3404"/>
      <c r="LNC5" s="3404"/>
      <c r="LND5" s="3404"/>
      <c r="LNE5" s="3404"/>
      <c r="LNF5" s="3404"/>
      <c r="LNG5" s="3404"/>
      <c r="LNH5" s="3404"/>
      <c r="LNI5" s="3404"/>
      <c r="LNJ5" s="3404"/>
      <c r="LNK5" s="3404"/>
      <c r="LNL5" s="3404"/>
      <c r="LNM5" s="3404"/>
      <c r="LNN5" s="3404"/>
      <c r="LNO5" s="3404"/>
      <c r="LNP5" s="3404"/>
      <c r="LNQ5" s="3404"/>
      <c r="LNR5" s="3404"/>
      <c r="LNS5" s="3404"/>
      <c r="LNT5" s="3404"/>
      <c r="LNU5" s="3404"/>
      <c r="LNV5" s="3404"/>
      <c r="LNW5" s="3404"/>
      <c r="LNX5" s="3404"/>
      <c r="LNY5" s="3404"/>
      <c r="LNZ5" s="3404"/>
      <c r="LOA5" s="3404"/>
      <c r="LOB5" s="3404"/>
      <c r="LOC5" s="3404"/>
      <c r="LOD5" s="3404"/>
      <c r="LOE5" s="3404"/>
      <c r="LOF5" s="3404"/>
      <c r="LOG5" s="3404"/>
      <c r="LOH5" s="3404"/>
      <c r="LOI5" s="3404"/>
      <c r="LOJ5" s="3404"/>
      <c r="LOK5" s="3404"/>
      <c r="LOL5" s="3404"/>
      <c r="LOM5" s="3404"/>
      <c r="LON5" s="3404"/>
      <c r="LOO5" s="3404"/>
      <c r="LOP5" s="3404"/>
      <c r="LOQ5" s="3404"/>
      <c r="LOR5" s="3404"/>
      <c r="LOS5" s="3404"/>
      <c r="LOT5" s="3404"/>
      <c r="LOU5" s="3404"/>
      <c r="LOV5" s="3404"/>
      <c r="LOW5" s="3404"/>
      <c r="LOX5" s="3404"/>
      <c r="LOY5" s="3404"/>
      <c r="LOZ5" s="3404"/>
      <c r="LPA5" s="3404"/>
      <c r="LPB5" s="3404"/>
      <c r="LPC5" s="3404"/>
      <c r="LPD5" s="3404"/>
      <c r="LPE5" s="3404"/>
      <c r="LPF5" s="3404"/>
      <c r="LPG5" s="3404"/>
      <c r="LPH5" s="3404"/>
      <c r="LPI5" s="3404"/>
      <c r="LPJ5" s="3404"/>
      <c r="LPK5" s="3404"/>
      <c r="LPL5" s="3404"/>
      <c r="LPM5" s="3404"/>
      <c r="LPN5" s="3404"/>
      <c r="LPO5" s="3404"/>
      <c r="LPP5" s="3404"/>
      <c r="LPQ5" s="3404"/>
      <c r="LPR5" s="3404"/>
      <c r="LPS5" s="3404"/>
      <c r="LPT5" s="3404"/>
      <c r="LPU5" s="3404"/>
      <c r="LPV5" s="3404"/>
      <c r="LPW5" s="3404"/>
      <c r="LPX5" s="3404"/>
      <c r="LPY5" s="3404"/>
      <c r="LPZ5" s="3404"/>
      <c r="LQA5" s="3404"/>
      <c r="LQB5" s="3404"/>
      <c r="LQC5" s="3404"/>
      <c r="LQD5" s="3404"/>
      <c r="LQE5" s="3404"/>
      <c r="LQF5" s="3404"/>
      <c r="LQG5" s="3404"/>
      <c r="LQH5" s="3404"/>
      <c r="LQI5" s="3404"/>
      <c r="LQJ5" s="3404"/>
      <c r="LQK5" s="3404"/>
      <c r="LQL5" s="3404"/>
      <c r="LQM5" s="3404"/>
      <c r="LQN5" s="3404"/>
      <c r="LQO5" s="3404"/>
      <c r="LQP5" s="3404"/>
      <c r="LQQ5" s="3404"/>
      <c r="LQR5" s="3404"/>
      <c r="LQS5" s="3404"/>
      <c r="LQT5" s="3404"/>
      <c r="LQU5" s="3404"/>
      <c r="LQV5" s="3404"/>
      <c r="LQW5" s="3404"/>
      <c r="LQX5" s="3404"/>
      <c r="LQY5" s="3404"/>
      <c r="LQZ5" s="3404"/>
      <c r="LRA5" s="3404"/>
      <c r="LRB5" s="3404"/>
      <c r="LRC5" s="3404"/>
      <c r="LRD5" s="3404"/>
      <c r="LRE5" s="3404"/>
      <c r="LRF5" s="3404"/>
      <c r="LRG5" s="3404"/>
      <c r="LRH5" s="3404"/>
      <c r="LRI5" s="3404"/>
      <c r="LRJ5" s="3404"/>
      <c r="LRK5" s="3404"/>
      <c r="LRL5" s="3404"/>
      <c r="LRM5" s="3404"/>
      <c r="LRN5" s="3404"/>
      <c r="LRO5" s="3404"/>
      <c r="LRP5" s="3404"/>
      <c r="LRQ5" s="3404"/>
      <c r="LRR5" s="3404"/>
      <c r="LRS5" s="3404"/>
      <c r="LRT5" s="3404"/>
      <c r="LRU5" s="3404"/>
      <c r="LRV5" s="3404"/>
      <c r="LRW5" s="3404"/>
      <c r="LRX5" s="3404"/>
      <c r="LRY5" s="3404"/>
      <c r="LRZ5" s="3404"/>
      <c r="LSA5" s="3404"/>
      <c r="LSB5" s="3404"/>
      <c r="LSC5" s="3404"/>
      <c r="LSD5" s="3404"/>
      <c r="LSE5" s="3404"/>
      <c r="LSF5" s="3404"/>
      <c r="LSG5" s="3404"/>
      <c r="LSH5" s="3404"/>
      <c r="LSI5" s="3404"/>
      <c r="LSJ5" s="3404"/>
      <c r="LSK5" s="3404"/>
      <c r="LSL5" s="3404"/>
      <c r="LSM5" s="3404"/>
      <c r="LSN5" s="3404"/>
      <c r="LSO5" s="3404"/>
      <c r="LSP5" s="3404"/>
      <c r="LSQ5" s="3404"/>
      <c r="LSR5" s="3404"/>
      <c r="LSS5" s="3404"/>
      <c r="LST5" s="3404"/>
      <c r="LSU5" s="3404"/>
      <c r="LSV5" s="3404"/>
      <c r="LSW5" s="3404"/>
      <c r="LSX5" s="3404"/>
      <c r="LSY5" s="3404"/>
      <c r="LSZ5" s="3404"/>
      <c r="LTA5" s="3404"/>
      <c r="LTB5" s="3404"/>
      <c r="LTC5" s="3404"/>
      <c r="LTD5" s="3404"/>
      <c r="LTE5" s="3404"/>
      <c r="LTF5" s="3404"/>
      <c r="LTG5" s="3404"/>
      <c r="LTH5" s="3404"/>
      <c r="LTI5" s="3404"/>
      <c r="LTJ5" s="3404"/>
      <c r="LTK5" s="3404"/>
      <c r="LTL5" s="3404"/>
      <c r="LTM5" s="3404"/>
      <c r="LTN5" s="3404"/>
      <c r="LTO5" s="3404"/>
      <c r="LTP5" s="3404"/>
      <c r="LTQ5" s="3404"/>
      <c r="LTR5" s="3404"/>
      <c r="LTS5" s="3404"/>
      <c r="LTT5" s="3404"/>
      <c r="LTU5" s="3404"/>
      <c r="LTV5" s="3404"/>
      <c r="LTW5" s="3404"/>
      <c r="LTX5" s="3404"/>
      <c r="LTY5" s="3404"/>
      <c r="LTZ5" s="3404"/>
      <c r="LUA5" s="3404"/>
      <c r="LUB5" s="3404"/>
      <c r="LUC5" s="3404"/>
      <c r="LUD5" s="3404"/>
      <c r="LUE5" s="3404"/>
      <c r="LUF5" s="3404"/>
      <c r="LUG5" s="3404"/>
      <c r="LUH5" s="3404"/>
      <c r="LUI5" s="3404"/>
      <c r="LUJ5" s="3404"/>
      <c r="LUK5" s="3404"/>
      <c r="LUL5" s="3404"/>
      <c r="LUM5" s="3404"/>
      <c r="LUN5" s="3404"/>
      <c r="LUO5" s="3404"/>
      <c r="LUP5" s="3404"/>
      <c r="LUQ5" s="3404"/>
      <c r="LUR5" s="3404"/>
      <c r="LUS5" s="3404"/>
      <c r="LUT5" s="3404"/>
      <c r="LUU5" s="3404"/>
      <c r="LUV5" s="3404"/>
      <c r="LUW5" s="3404"/>
      <c r="LUX5" s="3404"/>
      <c r="LUY5" s="3404"/>
      <c r="LUZ5" s="3404"/>
      <c r="LVA5" s="3404"/>
      <c r="LVB5" s="3404"/>
      <c r="LVC5" s="3404"/>
      <c r="LVD5" s="3404"/>
      <c r="LVE5" s="3404"/>
      <c r="LVF5" s="3404"/>
      <c r="LVG5" s="3404"/>
      <c r="LVH5" s="3404"/>
      <c r="LVI5" s="3404"/>
      <c r="LVJ5" s="3404"/>
      <c r="LVK5" s="3404"/>
      <c r="LVL5" s="3404"/>
      <c r="LVM5" s="3404"/>
      <c r="LVN5" s="3404"/>
      <c r="LVO5" s="3404"/>
      <c r="LVP5" s="3404"/>
      <c r="LVQ5" s="3404"/>
      <c r="LVR5" s="3404"/>
      <c r="LVS5" s="3404"/>
      <c r="LVT5" s="3404"/>
      <c r="LVU5" s="3404"/>
      <c r="LVV5" s="3404"/>
      <c r="LVW5" s="3404"/>
      <c r="LVX5" s="3404"/>
      <c r="LVY5" s="3404"/>
      <c r="LVZ5" s="3404"/>
      <c r="LWA5" s="3404"/>
      <c r="LWB5" s="3404"/>
      <c r="LWC5" s="3404"/>
      <c r="LWD5" s="3404"/>
      <c r="LWE5" s="3404"/>
      <c r="LWF5" s="3404"/>
      <c r="LWG5" s="3404"/>
      <c r="LWH5" s="3404"/>
      <c r="LWI5" s="3404"/>
      <c r="LWJ5" s="3404"/>
      <c r="LWK5" s="3404"/>
      <c r="LWL5" s="3404"/>
      <c r="LWM5" s="3404"/>
      <c r="LWN5" s="3404"/>
      <c r="LWO5" s="3404"/>
      <c r="LWP5" s="3404"/>
      <c r="LWQ5" s="3404"/>
      <c r="LWR5" s="3404"/>
      <c r="LWS5" s="3404"/>
      <c r="LWT5" s="3404"/>
      <c r="LWU5" s="3404"/>
      <c r="LWV5" s="3404"/>
      <c r="LWW5" s="3404"/>
      <c r="LWX5" s="3404"/>
      <c r="LWY5" s="3404"/>
      <c r="LWZ5" s="3404"/>
      <c r="LXA5" s="3404"/>
      <c r="LXB5" s="3404"/>
      <c r="LXC5" s="3404"/>
      <c r="LXD5" s="3404"/>
      <c r="LXE5" s="3404"/>
      <c r="LXF5" s="3404"/>
      <c r="LXG5" s="3404"/>
      <c r="LXH5" s="3404"/>
      <c r="LXI5" s="3404"/>
      <c r="LXJ5" s="3404"/>
      <c r="LXK5" s="3404"/>
      <c r="LXL5" s="3404"/>
      <c r="LXM5" s="3404"/>
      <c r="LXN5" s="3404"/>
      <c r="LXO5" s="3404"/>
      <c r="LXP5" s="3404"/>
      <c r="LXQ5" s="3404"/>
      <c r="LXR5" s="3404"/>
      <c r="LXS5" s="3404"/>
      <c r="LXT5" s="3404"/>
      <c r="LXU5" s="3404"/>
      <c r="LXV5" s="3404"/>
      <c r="LXW5" s="3404"/>
      <c r="LXX5" s="3404"/>
      <c r="LXY5" s="3404"/>
      <c r="LXZ5" s="3404"/>
      <c r="LYA5" s="3404"/>
      <c r="LYB5" s="3404"/>
      <c r="LYC5" s="3404"/>
      <c r="LYD5" s="3404"/>
      <c r="LYE5" s="3404"/>
      <c r="LYF5" s="3404"/>
      <c r="LYG5" s="3404"/>
      <c r="LYH5" s="3404"/>
      <c r="LYI5" s="3404"/>
      <c r="LYJ5" s="3404"/>
      <c r="LYK5" s="3404"/>
      <c r="LYL5" s="3404"/>
      <c r="LYM5" s="3404"/>
      <c r="LYN5" s="3404"/>
      <c r="LYO5" s="3404"/>
      <c r="LYP5" s="3404"/>
      <c r="LYQ5" s="3404"/>
      <c r="LYR5" s="3404"/>
      <c r="LYS5" s="3404"/>
      <c r="LYT5" s="3404"/>
      <c r="LYU5" s="3404"/>
      <c r="LYV5" s="3404"/>
      <c r="LYW5" s="3404"/>
      <c r="LYX5" s="3404"/>
      <c r="LYY5" s="3404"/>
      <c r="LYZ5" s="3404"/>
      <c r="LZA5" s="3404"/>
      <c r="LZB5" s="3404"/>
      <c r="LZC5" s="3404"/>
      <c r="LZD5" s="3404"/>
      <c r="LZE5" s="3404"/>
      <c r="LZF5" s="3404"/>
      <c r="LZG5" s="3404"/>
      <c r="LZH5" s="3404"/>
      <c r="LZI5" s="3404"/>
      <c r="LZJ5" s="3404"/>
      <c r="LZK5" s="3404"/>
      <c r="LZL5" s="3404"/>
      <c r="LZM5" s="3404"/>
      <c r="LZN5" s="3404"/>
      <c r="LZO5" s="3404"/>
      <c r="LZP5" s="3404"/>
      <c r="LZQ5" s="3404"/>
      <c r="LZR5" s="3404"/>
      <c r="LZS5" s="3404"/>
      <c r="LZT5" s="3404"/>
      <c r="LZU5" s="3404"/>
      <c r="LZV5" s="3404"/>
      <c r="LZW5" s="3404"/>
      <c r="LZX5" s="3404"/>
      <c r="LZY5" s="3404"/>
      <c r="LZZ5" s="3404"/>
      <c r="MAA5" s="3404"/>
      <c r="MAB5" s="3404"/>
      <c r="MAC5" s="3404"/>
      <c r="MAD5" s="3404"/>
      <c r="MAE5" s="3404"/>
      <c r="MAF5" s="3404"/>
      <c r="MAG5" s="3404"/>
      <c r="MAH5" s="3404"/>
      <c r="MAI5" s="3404"/>
      <c r="MAJ5" s="3404"/>
      <c r="MAK5" s="3404"/>
      <c r="MAL5" s="3404"/>
      <c r="MAM5" s="3404"/>
      <c r="MAN5" s="3404"/>
      <c r="MAO5" s="3404"/>
      <c r="MAP5" s="3404"/>
      <c r="MAQ5" s="3404"/>
      <c r="MAR5" s="3404"/>
      <c r="MAS5" s="3404"/>
      <c r="MAT5" s="3404"/>
      <c r="MAU5" s="3404"/>
      <c r="MAV5" s="3404"/>
      <c r="MAW5" s="3404"/>
      <c r="MAX5" s="3404"/>
      <c r="MAY5" s="3404"/>
      <c r="MAZ5" s="3404"/>
      <c r="MBA5" s="3404"/>
      <c r="MBB5" s="3404"/>
      <c r="MBC5" s="3404"/>
      <c r="MBD5" s="3404"/>
      <c r="MBE5" s="3404"/>
      <c r="MBF5" s="3404"/>
      <c r="MBG5" s="3404"/>
      <c r="MBH5" s="3404"/>
      <c r="MBI5" s="3404"/>
      <c r="MBJ5" s="3404"/>
      <c r="MBK5" s="3404"/>
      <c r="MBL5" s="3404"/>
      <c r="MBM5" s="3404"/>
      <c r="MBN5" s="3404"/>
      <c r="MBO5" s="3404"/>
      <c r="MBP5" s="3404"/>
      <c r="MBQ5" s="3404"/>
      <c r="MBR5" s="3404"/>
      <c r="MBS5" s="3404"/>
      <c r="MBT5" s="3404"/>
      <c r="MBU5" s="3404"/>
      <c r="MBV5" s="3404"/>
      <c r="MBW5" s="3404"/>
      <c r="MBX5" s="3404"/>
      <c r="MBY5" s="3404"/>
      <c r="MBZ5" s="3404"/>
      <c r="MCA5" s="3404"/>
      <c r="MCB5" s="3404"/>
      <c r="MCC5" s="3404"/>
      <c r="MCD5" s="3404"/>
      <c r="MCE5" s="3404"/>
      <c r="MCF5" s="3404"/>
      <c r="MCG5" s="3404"/>
      <c r="MCH5" s="3404"/>
      <c r="MCI5" s="3404"/>
      <c r="MCJ5" s="3404"/>
      <c r="MCK5" s="3404"/>
      <c r="MCL5" s="3404"/>
      <c r="MCM5" s="3404"/>
      <c r="MCN5" s="3404"/>
      <c r="MCO5" s="3404"/>
      <c r="MCP5" s="3404"/>
      <c r="MCQ5" s="3404"/>
      <c r="MCR5" s="3404"/>
      <c r="MCS5" s="3404"/>
      <c r="MCT5" s="3404"/>
      <c r="MCU5" s="3404"/>
      <c r="MCV5" s="3404"/>
      <c r="MCW5" s="3404"/>
      <c r="MCX5" s="3404"/>
      <c r="MCY5" s="3404"/>
      <c r="MCZ5" s="3404"/>
      <c r="MDA5" s="3404"/>
      <c r="MDB5" s="3404"/>
      <c r="MDC5" s="3404"/>
      <c r="MDD5" s="3404"/>
      <c r="MDE5" s="3404"/>
      <c r="MDF5" s="3404"/>
      <c r="MDG5" s="3404"/>
      <c r="MDH5" s="3404"/>
      <c r="MDI5" s="3404"/>
      <c r="MDJ5" s="3404"/>
      <c r="MDK5" s="3404"/>
      <c r="MDL5" s="3404"/>
      <c r="MDM5" s="3404"/>
      <c r="MDN5" s="3404"/>
      <c r="MDO5" s="3404"/>
      <c r="MDP5" s="3404"/>
      <c r="MDQ5" s="3404"/>
      <c r="MDR5" s="3404"/>
      <c r="MDS5" s="3404"/>
      <c r="MDT5" s="3404"/>
      <c r="MDU5" s="3404"/>
      <c r="MDV5" s="3404"/>
      <c r="MDW5" s="3404"/>
      <c r="MDX5" s="3404"/>
      <c r="MDY5" s="3404"/>
      <c r="MDZ5" s="3404"/>
      <c r="MEA5" s="3404"/>
      <c r="MEB5" s="3404"/>
      <c r="MEC5" s="3404"/>
      <c r="MED5" s="3404"/>
      <c r="MEE5" s="3404"/>
      <c r="MEF5" s="3404"/>
      <c r="MEG5" s="3404"/>
      <c r="MEH5" s="3404"/>
      <c r="MEI5" s="3404"/>
      <c r="MEJ5" s="3404"/>
      <c r="MEK5" s="3404"/>
      <c r="MEL5" s="3404"/>
      <c r="MEM5" s="3404"/>
      <c r="MEN5" s="3404"/>
      <c r="MEO5" s="3404"/>
      <c r="MEP5" s="3404"/>
      <c r="MEQ5" s="3404"/>
      <c r="MER5" s="3404"/>
      <c r="MES5" s="3404"/>
      <c r="MET5" s="3404"/>
      <c r="MEU5" s="3404"/>
      <c r="MEV5" s="3404"/>
      <c r="MEW5" s="3404"/>
      <c r="MEX5" s="3404"/>
      <c r="MEY5" s="3404"/>
      <c r="MEZ5" s="3404"/>
      <c r="MFA5" s="3404"/>
      <c r="MFB5" s="3404"/>
      <c r="MFC5" s="3404"/>
      <c r="MFD5" s="3404"/>
      <c r="MFE5" s="3404"/>
      <c r="MFF5" s="3404"/>
      <c r="MFG5" s="3404"/>
      <c r="MFH5" s="3404"/>
      <c r="MFI5" s="3404"/>
      <c r="MFJ5" s="3404"/>
      <c r="MFK5" s="3404"/>
      <c r="MFL5" s="3404"/>
      <c r="MFM5" s="3404"/>
      <c r="MFN5" s="3404"/>
      <c r="MFO5" s="3404"/>
      <c r="MFP5" s="3404"/>
      <c r="MFQ5" s="3404"/>
      <c r="MFR5" s="3404"/>
      <c r="MFS5" s="3404"/>
      <c r="MFT5" s="3404"/>
      <c r="MFU5" s="3404"/>
      <c r="MFV5" s="3404"/>
      <c r="MFW5" s="3404"/>
      <c r="MFX5" s="3404"/>
      <c r="MFY5" s="3404"/>
      <c r="MFZ5" s="3404"/>
      <c r="MGA5" s="3404"/>
      <c r="MGB5" s="3404"/>
      <c r="MGC5" s="3404"/>
      <c r="MGD5" s="3404"/>
      <c r="MGE5" s="3404"/>
      <c r="MGF5" s="3404"/>
      <c r="MGG5" s="3404"/>
      <c r="MGH5" s="3404"/>
      <c r="MGI5" s="3404"/>
      <c r="MGJ5" s="3404"/>
      <c r="MGK5" s="3404"/>
      <c r="MGL5" s="3404"/>
      <c r="MGM5" s="3404"/>
      <c r="MGN5" s="3404"/>
      <c r="MGO5" s="3404"/>
      <c r="MGP5" s="3404"/>
      <c r="MGQ5" s="3404"/>
      <c r="MGR5" s="3404"/>
      <c r="MGS5" s="3404"/>
      <c r="MGT5" s="3404"/>
      <c r="MGU5" s="3404"/>
      <c r="MGV5" s="3404"/>
      <c r="MGW5" s="3404"/>
      <c r="MGX5" s="3404"/>
      <c r="MGY5" s="3404"/>
      <c r="MGZ5" s="3404"/>
      <c r="MHA5" s="3404"/>
      <c r="MHB5" s="3404"/>
      <c r="MHC5" s="3404"/>
      <c r="MHD5" s="3404"/>
      <c r="MHE5" s="3404"/>
      <c r="MHF5" s="3404"/>
      <c r="MHG5" s="3404"/>
      <c r="MHH5" s="3404"/>
      <c r="MHI5" s="3404"/>
      <c r="MHJ5" s="3404"/>
      <c r="MHK5" s="3404"/>
      <c r="MHL5" s="3404"/>
      <c r="MHM5" s="3404"/>
      <c r="MHN5" s="3404"/>
      <c r="MHO5" s="3404"/>
      <c r="MHP5" s="3404"/>
      <c r="MHQ5" s="3404"/>
      <c r="MHR5" s="3404"/>
      <c r="MHS5" s="3404"/>
      <c r="MHT5" s="3404"/>
      <c r="MHU5" s="3404"/>
      <c r="MHV5" s="3404"/>
      <c r="MHW5" s="3404"/>
      <c r="MHX5" s="3404"/>
      <c r="MHY5" s="3404"/>
      <c r="MHZ5" s="3404"/>
      <c r="MIA5" s="3404"/>
      <c r="MIB5" s="3404"/>
      <c r="MIC5" s="3404"/>
      <c r="MID5" s="3404"/>
      <c r="MIE5" s="3404"/>
      <c r="MIF5" s="3404"/>
      <c r="MIG5" s="3404"/>
      <c r="MIH5" s="3404"/>
      <c r="MII5" s="3404"/>
      <c r="MIJ5" s="3404"/>
      <c r="MIK5" s="3404"/>
      <c r="MIL5" s="3404"/>
      <c r="MIM5" s="3404"/>
      <c r="MIN5" s="3404"/>
      <c r="MIO5" s="3404"/>
      <c r="MIP5" s="3404"/>
      <c r="MIQ5" s="3404"/>
      <c r="MIR5" s="3404"/>
      <c r="MIS5" s="3404"/>
      <c r="MIT5" s="3404"/>
      <c r="MIU5" s="3404"/>
      <c r="MIV5" s="3404"/>
      <c r="MIW5" s="3404"/>
      <c r="MIX5" s="3404"/>
      <c r="MIY5" s="3404"/>
      <c r="MIZ5" s="3404"/>
      <c r="MJA5" s="3404"/>
      <c r="MJB5" s="3404"/>
      <c r="MJC5" s="3404"/>
      <c r="MJD5" s="3404"/>
      <c r="MJE5" s="3404"/>
      <c r="MJF5" s="3404"/>
      <c r="MJG5" s="3404"/>
      <c r="MJH5" s="3404"/>
      <c r="MJI5" s="3404"/>
      <c r="MJJ5" s="3404"/>
      <c r="MJK5" s="3404"/>
      <c r="MJL5" s="3404"/>
      <c r="MJM5" s="3404"/>
      <c r="MJN5" s="3404"/>
      <c r="MJO5" s="3404"/>
      <c r="MJP5" s="3404"/>
      <c r="MJQ5" s="3404"/>
      <c r="MJR5" s="3404"/>
      <c r="MJS5" s="3404"/>
      <c r="MJT5" s="3404"/>
      <c r="MJU5" s="3404"/>
      <c r="MJV5" s="3404"/>
      <c r="MJW5" s="3404"/>
      <c r="MJX5" s="3404"/>
      <c r="MJY5" s="3404"/>
      <c r="MJZ5" s="3404"/>
      <c r="MKA5" s="3404"/>
      <c r="MKB5" s="3404"/>
      <c r="MKC5" s="3404"/>
      <c r="MKD5" s="3404"/>
      <c r="MKE5" s="3404"/>
      <c r="MKF5" s="3404"/>
      <c r="MKG5" s="3404"/>
      <c r="MKH5" s="3404"/>
      <c r="MKI5" s="3404"/>
      <c r="MKJ5" s="3404"/>
      <c r="MKK5" s="3404"/>
      <c r="MKL5" s="3404"/>
      <c r="MKM5" s="3404"/>
      <c r="MKN5" s="3404"/>
      <c r="MKO5" s="3404"/>
      <c r="MKP5" s="3404"/>
      <c r="MKQ5" s="3404"/>
      <c r="MKR5" s="3404"/>
      <c r="MKS5" s="3404"/>
      <c r="MKT5" s="3404"/>
      <c r="MKU5" s="3404"/>
      <c r="MKV5" s="3404"/>
      <c r="MKW5" s="3404"/>
      <c r="MKX5" s="3404"/>
      <c r="MKY5" s="3404"/>
      <c r="MKZ5" s="3404"/>
      <c r="MLA5" s="3404"/>
      <c r="MLB5" s="3404"/>
      <c r="MLC5" s="3404"/>
      <c r="MLD5" s="3404"/>
      <c r="MLE5" s="3404"/>
      <c r="MLF5" s="3404"/>
      <c r="MLG5" s="3404"/>
      <c r="MLH5" s="3404"/>
      <c r="MLI5" s="3404"/>
      <c r="MLJ5" s="3404"/>
      <c r="MLK5" s="3404"/>
      <c r="MLL5" s="3404"/>
      <c r="MLM5" s="3404"/>
      <c r="MLN5" s="3404"/>
      <c r="MLO5" s="3404"/>
      <c r="MLP5" s="3404"/>
      <c r="MLQ5" s="3404"/>
      <c r="MLR5" s="3404"/>
      <c r="MLS5" s="3404"/>
      <c r="MLT5" s="3404"/>
      <c r="MLU5" s="3404"/>
      <c r="MLV5" s="3404"/>
      <c r="MLW5" s="3404"/>
      <c r="MLX5" s="3404"/>
      <c r="MLY5" s="3404"/>
      <c r="MLZ5" s="3404"/>
      <c r="MMA5" s="3404"/>
      <c r="MMB5" s="3404"/>
      <c r="MMC5" s="3404"/>
      <c r="MMD5" s="3404"/>
      <c r="MME5" s="3404"/>
      <c r="MMF5" s="3404"/>
      <c r="MMG5" s="3404"/>
      <c r="MMH5" s="3404"/>
      <c r="MMI5" s="3404"/>
      <c r="MMJ5" s="3404"/>
      <c r="MMK5" s="3404"/>
      <c r="MML5" s="3404"/>
      <c r="MMM5" s="3404"/>
      <c r="MMN5" s="3404"/>
      <c r="MMO5" s="3404"/>
      <c r="MMP5" s="3404"/>
      <c r="MMQ5" s="3404"/>
      <c r="MMR5" s="3404"/>
      <c r="MMS5" s="3404"/>
      <c r="MMT5" s="3404"/>
      <c r="MMU5" s="3404"/>
      <c r="MMV5" s="3404"/>
      <c r="MMW5" s="3404"/>
      <c r="MMX5" s="3404"/>
      <c r="MMY5" s="3404"/>
      <c r="MMZ5" s="3404"/>
      <c r="MNA5" s="3404"/>
      <c r="MNB5" s="3404"/>
      <c r="MNC5" s="3404"/>
      <c r="MND5" s="3404"/>
      <c r="MNE5" s="3404"/>
      <c r="MNF5" s="3404"/>
      <c r="MNG5" s="3404"/>
      <c r="MNH5" s="3404"/>
      <c r="MNI5" s="3404"/>
      <c r="MNJ5" s="3404"/>
      <c r="MNK5" s="3404"/>
      <c r="MNL5" s="3404"/>
      <c r="MNM5" s="3404"/>
      <c r="MNN5" s="3404"/>
      <c r="MNO5" s="3404"/>
      <c r="MNP5" s="3404"/>
      <c r="MNQ5" s="3404"/>
      <c r="MNR5" s="3404"/>
      <c r="MNS5" s="3404"/>
      <c r="MNT5" s="3404"/>
      <c r="MNU5" s="3404"/>
      <c r="MNV5" s="3404"/>
      <c r="MNW5" s="3404"/>
      <c r="MNX5" s="3404"/>
      <c r="MNY5" s="3404"/>
      <c r="MNZ5" s="3404"/>
      <c r="MOA5" s="3404"/>
      <c r="MOB5" s="3404"/>
      <c r="MOC5" s="3404"/>
      <c r="MOD5" s="3404"/>
      <c r="MOE5" s="3404"/>
      <c r="MOF5" s="3404"/>
      <c r="MOG5" s="3404"/>
      <c r="MOH5" s="3404"/>
      <c r="MOI5" s="3404"/>
      <c r="MOJ5" s="3404"/>
      <c r="MOK5" s="3404"/>
      <c r="MOL5" s="3404"/>
      <c r="MOM5" s="3404"/>
      <c r="MON5" s="3404"/>
      <c r="MOO5" s="3404"/>
      <c r="MOP5" s="3404"/>
      <c r="MOQ5" s="3404"/>
      <c r="MOR5" s="3404"/>
      <c r="MOS5" s="3404"/>
      <c r="MOT5" s="3404"/>
      <c r="MOU5" s="3404"/>
      <c r="MOV5" s="3404"/>
      <c r="MOW5" s="3404"/>
      <c r="MOX5" s="3404"/>
      <c r="MOY5" s="3404"/>
      <c r="MOZ5" s="3404"/>
      <c r="MPA5" s="3404"/>
      <c r="MPB5" s="3404"/>
      <c r="MPC5" s="3404"/>
      <c r="MPD5" s="3404"/>
      <c r="MPE5" s="3404"/>
      <c r="MPF5" s="3404"/>
      <c r="MPG5" s="3404"/>
      <c r="MPH5" s="3404"/>
      <c r="MPI5" s="3404"/>
      <c r="MPJ5" s="3404"/>
      <c r="MPK5" s="3404"/>
      <c r="MPL5" s="3404"/>
      <c r="MPM5" s="3404"/>
      <c r="MPN5" s="3404"/>
      <c r="MPO5" s="3404"/>
      <c r="MPP5" s="3404"/>
      <c r="MPQ5" s="3404"/>
      <c r="MPR5" s="3404"/>
      <c r="MPS5" s="3404"/>
      <c r="MPT5" s="3404"/>
      <c r="MPU5" s="3404"/>
      <c r="MPV5" s="3404"/>
      <c r="MPW5" s="3404"/>
      <c r="MPX5" s="3404"/>
      <c r="MPY5" s="3404"/>
      <c r="MPZ5" s="3404"/>
      <c r="MQA5" s="3404"/>
      <c r="MQB5" s="3404"/>
      <c r="MQC5" s="3404"/>
      <c r="MQD5" s="3404"/>
      <c r="MQE5" s="3404"/>
      <c r="MQF5" s="3404"/>
      <c r="MQG5" s="3404"/>
      <c r="MQH5" s="3404"/>
      <c r="MQI5" s="3404"/>
      <c r="MQJ5" s="3404"/>
      <c r="MQK5" s="3404"/>
      <c r="MQL5" s="3404"/>
      <c r="MQM5" s="3404"/>
      <c r="MQN5" s="3404"/>
      <c r="MQO5" s="3404"/>
      <c r="MQP5" s="3404"/>
      <c r="MQQ5" s="3404"/>
      <c r="MQR5" s="3404"/>
      <c r="MQS5" s="3404"/>
      <c r="MQT5" s="3404"/>
      <c r="MQU5" s="3404"/>
      <c r="MQV5" s="3404"/>
      <c r="MQW5" s="3404"/>
      <c r="MQX5" s="3404"/>
      <c r="MQY5" s="3404"/>
      <c r="MQZ5" s="3404"/>
      <c r="MRA5" s="3404"/>
      <c r="MRB5" s="3404"/>
      <c r="MRC5" s="3404"/>
      <c r="MRD5" s="3404"/>
      <c r="MRE5" s="3404"/>
      <c r="MRF5" s="3404"/>
      <c r="MRG5" s="3404"/>
      <c r="MRH5" s="3404"/>
      <c r="MRI5" s="3404"/>
      <c r="MRJ5" s="3404"/>
      <c r="MRK5" s="3404"/>
      <c r="MRL5" s="3404"/>
      <c r="MRM5" s="3404"/>
      <c r="MRN5" s="3404"/>
      <c r="MRO5" s="3404"/>
      <c r="MRP5" s="3404"/>
      <c r="MRQ5" s="3404"/>
      <c r="MRR5" s="3404"/>
      <c r="MRS5" s="3404"/>
      <c r="MRT5" s="3404"/>
      <c r="MRU5" s="3404"/>
      <c r="MRV5" s="3404"/>
      <c r="MRW5" s="3404"/>
      <c r="MRX5" s="3404"/>
      <c r="MRY5" s="3404"/>
      <c r="MRZ5" s="3404"/>
      <c r="MSA5" s="3404"/>
      <c r="MSB5" s="3404"/>
      <c r="MSC5" s="3404"/>
      <c r="MSD5" s="3404"/>
      <c r="MSE5" s="3404"/>
      <c r="MSF5" s="3404"/>
      <c r="MSG5" s="3404"/>
      <c r="MSH5" s="3404"/>
      <c r="MSI5" s="3404"/>
      <c r="MSJ5" s="3404"/>
      <c r="MSK5" s="3404"/>
      <c r="MSL5" s="3404"/>
      <c r="MSM5" s="3404"/>
      <c r="MSN5" s="3404"/>
      <c r="MSO5" s="3404"/>
      <c r="MSP5" s="3404"/>
      <c r="MSQ5" s="3404"/>
      <c r="MSR5" s="3404"/>
      <c r="MSS5" s="3404"/>
      <c r="MST5" s="3404"/>
      <c r="MSU5" s="3404"/>
      <c r="MSV5" s="3404"/>
      <c r="MSW5" s="3404"/>
      <c r="MSX5" s="3404"/>
      <c r="MSY5" s="3404"/>
      <c r="MSZ5" s="3404"/>
      <c r="MTA5" s="3404"/>
      <c r="MTB5" s="3404"/>
      <c r="MTC5" s="3404"/>
      <c r="MTD5" s="3404"/>
      <c r="MTE5" s="3404"/>
      <c r="MTF5" s="3404"/>
      <c r="MTG5" s="3404"/>
      <c r="MTH5" s="3404"/>
      <c r="MTI5" s="3404"/>
      <c r="MTJ5" s="3404"/>
      <c r="MTK5" s="3404"/>
      <c r="MTL5" s="3404"/>
      <c r="MTM5" s="3404"/>
      <c r="MTN5" s="3404"/>
      <c r="MTO5" s="3404"/>
      <c r="MTP5" s="3404"/>
      <c r="MTQ5" s="3404"/>
      <c r="MTR5" s="3404"/>
      <c r="MTS5" s="3404"/>
      <c r="MTT5" s="3404"/>
      <c r="MTU5" s="3404"/>
      <c r="MTV5" s="3404"/>
      <c r="MTW5" s="3404"/>
      <c r="MTX5" s="3404"/>
      <c r="MTY5" s="3404"/>
      <c r="MTZ5" s="3404"/>
      <c r="MUA5" s="3404"/>
      <c r="MUB5" s="3404"/>
      <c r="MUC5" s="3404"/>
      <c r="MUD5" s="3404"/>
      <c r="MUE5" s="3404"/>
      <c r="MUF5" s="3404"/>
      <c r="MUG5" s="3404"/>
      <c r="MUH5" s="3404"/>
      <c r="MUI5" s="3404"/>
      <c r="MUJ5" s="3404"/>
      <c r="MUK5" s="3404"/>
      <c r="MUL5" s="3404"/>
      <c r="MUM5" s="3404"/>
      <c r="MUN5" s="3404"/>
      <c r="MUO5" s="3404"/>
      <c r="MUP5" s="3404"/>
      <c r="MUQ5" s="3404"/>
      <c r="MUR5" s="3404"/>
      <c r="MUS5" s="3404"/>
      <c r="MUT5" s="3404"/>
      <c r="MUU5" s="3404"/>
      <c r="MUV5" s="3404"/>
      <c r="MUW5" s="3404"/>
      <c r="MUX5" s="3404"/>
      <c r="MUY5" s="3404"/>
      <c r="MUZ5" s="3404"/>
      <c r="MVA5" s="3404"/>
      <c r="MVB5" s="3404"/>
      <c r="MVC5" s="3404"/>
      <c r="MVD5" s="3404"/>
      <c r="MVE5" s="3404"/>
      <c r="MVF5" s="3404"/>
      <c r="MVG5" s="3404"/>
      <c r="MVH5" s="3404"/>
      <c r="MVI5" s="3404"/>
      <c r="MVJ5" s="3404"/>
      <c r="MVK5" s="3404"/>
      <c r="MVL5" s="3404"/>
      <c r="MVM5" s="3404"/>
      <c r="MVN5" s="3404"/>
      <c r="MVO5" s="3404"/>
      <c r="MVP5" s="3404"/>
      <c r="MVQ5" s="3404"/>
      <c r="MVR5" s="3404"/>
      <c r="MVS5" s="3404"/>
      <c r="MVT5" s="3404"/>
      <c r="MVU5" s="3404"/>
      <c r="MVV5" s="3404"/>
      <c r="MVW5" s="3404"/>
      <c r="MVX5" s="3404"/>
      <c r="MVY5" s="3404"/>
      <c r="MVZ5" s="3404"/>
      <c r="MWA5" s="3404"/>
      <c r="MWB5" s="3404"/>
      <c r="MWC5" s="3404"/>
      <c r="MWD5" s="3404"/>
      <c r="MWE5" s="3404"/>
      <c r="MWF5" s="3404"/>
      <c r="MWG5" s="3404"/>
      <c r="MWH5" s="3404"/>
      <c r="MWI5" s="3404"/>
      <c r="MWJ5" s="3404"/>
      <c r="MWK5" s="3404"/>
      <c r="MWL5" s="3404"/>
      <c r="MWM5" s="3404"/>
      <c r="MWN5" s="3404"/>
      <c r="MWO5" s="3404"/>
      <c r="MWP5" s="3404"/>
      <c r="MWQ5" s="3404"/>
      <c r="MWR5" s="3404"/>
      <c r="MWS5" s="3404"/>
      <c r="MWT5" s="3404"/>
      <c r="MWU5" s="3404"/>
      <c r="MWV5" s="3404"/>
      <c r="MWW5" s="3404"/>
      <c r="MWX5" s="3404"/>
      <c r="MWY5" s="3404"/>
      <c r="MWZ5" s="3404"/>
      <c r="MXA5" s="3404"/>
      <c r="MXB5" s="3404"/>
      <c r="MXC5" s="3404"/>
      <c r="MXD5" s="3404"/>
      <c r="MXE5" s="3404"/>
      <c r="MXF5" s="3404"/>
      <c r="MXG5" s="3404"/>
      <c r="MXH5" s="3404"/>
      <c r="MXI5" s="3404"/>
      <c r="MXJ5" s="3404"/>
      <c r="MXK5" s="3404"/>
      <c r="MXL5" s="3404"/>
      <c r="MXM5" s="3404"/>
      <c r="MXN5" s="3404"/>
      <c r="MXO5" s="3404"/>
      <c r="MXP5" s="3404"/>
      <c r="MXQ5" s="3404"/>
      <c r="MXR5" s="3404"/>
      <c r="MXS5" s="3404"/>
      <c r="MXT5" s="3404"/>
      <c r="MXU5" s="3404"/>
      <c r="MXV5" s="3404"/>
      <c r="MXW5" s="3404"/>
      <c r="MXX5" s="3404"/>
      <c r="MXY5" s="3404"/>
      <c r="MXZ5" s="3404"/>
      <c r="MYA5" s="3404"/>
      <c r="MYB5" s="3404"/>
      <c r="MYC5" s="3404"/>
      <c r="MYD5" s="3404"/>
      <c r="MYE5" s="3404"/>
      <c r="MYF5" s="3404"/>
      <c r="MYG5" s="3404"/>
      <c r="MYH5" s="3404"/>
      <c r="MYI5" s="3404"/>
      <c r="MYJ5" s="3404"/>
      <c r="MYK5" s="3404"/>
      <c r="MYL5" s="3404"/>
      <c r="MYM5" s="3404"/>
      <c r="MYN5" s="3404"/>
      <c r="MYO5" s="3404"/>
      <c r="MYP5" s="3404"/>
      <c r="MYQ5" s="3404"/>
      <c r="MYR5" s="3404"/>
      <c r="MYS5" s="3404"/>
      <c r="MYT5" s="3404"/>
      <c r="MYU5" s="3404"/>
      <c r="MYV5" s="3404"/>
      <c r="MYW5" s="3404"/>
      <c r="MYX5" s="3404"/>
      <c r="MYY5" s="3404"/>
      <c r="MYZ5" s="3404"/>
      <c r="MZA5" s="3404"/>
      <c r="MZB5" s="3404"/>
      <c r="MZC5" s="3404"/>
      <c r="MZD5" s="3404"/>
      <c r="MZE5" s="3404"/>
      <c r="MZF5" s="3404"/>
      <c r="MZG5" s="3404"/>
      <c r="MZH5" s="3404"/>
      <c r="MZI5" s="3404"/>
      <c r="MZJ5" s="3404"/>
      <c r="MZK5" s="3404"/>
      <c r="MZL5" s="3404"/>
      <c r="MZM5" s="3404"/>
      <c r="MZN5" s="3404"/>
      <c r="MZO5" s="3404"/>
      <c r="MZP5" s="3404"/>
      <c r="MZQ5" s="3404"/>
      <c r="MZR5" s="3404"/>
      <c r="MZS5" s="3404"/>
      <c r="MZT5" s="3404"/>
      <c r="MZU5" s="3404"/>
      <c r="MZV5" s="3404"/>
      <c r="MZW5" s="3404"/>
      <c r="MZX5" s="3404"/>
      <c r="MZY5" s="3404"/>
      <c r="MZZ5" s="3404"/>
      <c r="NAA5" s="3404"/>
      <c r="NAB5" s="3404"/>
      <c r="NAC5" s="3404"/>
      <c r="NAD5" s="3404"/>
      <c r="NAE5" s="3404"/>
      <c r="NAF5" s="3404"/>
      <c r="NAG5" s="3404"/>
      <c r="NAH5" s="3404"/>
      <c r="NAI5" s="3404"/>
      <c r="NAJ5" s="3404"/>
      <c r="NAK5" s="3404"/>
      <c r="NAL5" s="3404"/>
      <c r="NAM5" s="3404"/>
      <c r="NAN5" s="3404"/>
      <c r="NAO5" s="3404"/>
      <c r="NAP5" s="3404"/>
      <c r="NAQ5" s="3404"/>
      <c r="NAR5" s="3404"/>
      <c r="NAS5" s="3404"/>
      <c r="NAT5" s="3404"/>
      <c r="NAU5" s="3404"/>
      <c r="NAV5" s="3404"/>
      <c r="NAW5" s="3404"/>
      <c r="NAX5" s="3404"/>
      <c r="NAY5" s="3404"/>
      <c r="NAZ5" s="3404"/>
      <c r="NBA5" s="3404"/>
      <c r="NBB5" s="3404"/>
      <c r="NBC5" s="3404"/>
      <c r="NBD5" s="3404"/>
      <c r="NBE5" s="3404"/>
      <c r="NBF5" s="3404"/>
      <c r="NBG5" s="3404"/>
      <c r="NBH5" s="3404"/>
      <c r="NBI5" s="3404"/>
      <c r="NBJ5" s="3404"/>
      <c r="NBK5" s="3404"/>
      <c r="NBL5" s="3404"/>
      <c r="NBM5" s="3404"/>
      <c r="NBN5" s="3404"/>
      <c r="NBO5" s="3404"/>
      <c r="NBP5" s="3404"/>
      <c r="NBQ5" s="3404"/>
      <c r="NBR5" s="3404"/>
      <c r="NBS5" s="3404"/>
      <c r="NBT5" s="3404"/>
      <c r="NBU5" s="3404"/>
      <c r="NBV5" s="3404"/>
      <c r="NBW5" s="3404"/>
      <c r="NBX5" s="3404"/>
      <c r="NBY5" s="3404"/>
      <c r="NBZ5" s="3404"/>
      <c r="NCA5" s="3404"/>
      <c r="NCB5" s="3404"/>
      <c r="NCC5" s="3404"/>
      <c r="NCD5" s="3404"/>
      <c r="NCE5" s="3404"/>
      <c r="NCF5" s="3404"/>
      <c r="NCG5" s="3404"/>
      <c r="NCH5" s="3404"/>
      <c r="NCI5" s="3404"/>
      <c r="NCJ5" s="3404"/>
      <c r="NCK5" s="3404"/>
      <c r="NCL5" s="3404"/>
      <c r="NCM5" s="3404"/>
      <c r="NCN5" s="3404"/>
      <c r="NCO5" s="3404"/>
      <c r="NCP5" s="3404"/>
      <c r="NCQ5" s="3404"/>
      <c r="NCR5" s="3404"/>
      <c r="NCS5" s="3404"/>
      <c r="NCT5" s="3404"/>
      <c r="NCU5" s="3404"/>
      <c r="NCV5" s="3404"/>
      <c r="NCW5" s="3404"/>
      <c r="NCX5" s="3404"/>
      <c r="NCY5" s="3404"/>
      <c r="NCZ5" s="3404"/>
      <c r="NDA5" s="3404"/>
      <c r="NDB5" s="3404"/>
      <c r="NDC5" s="3404"/>
      <c r="NDD5" s="3404"/>
      <c r="NDE5" s="3404"/>
      <c r="NDF5" s="3404"/>
      <c r="NDG5" s="3404"/>
      <c r="NDH5" s="3404"/>
      <c r="NDI5" s="3404"/>
      <c r="NDJ5" s="3404"/>
      <c r="NDK5" s="3404"/>
      <c r="NDL5" s="3404"/>
      <c r="NDM5" s="3404"/>
      <c r="NDN5" s="3404"/>
      <c r="NDO5" s="3404"/>
      <c r="NDP5" s="3404"/>
      <c r="NDQ5" s="3404"/>
      <c r="NDR5" s="3404"/>
      <c r="NDS5" s="3404"/>
      <c r="NDT5" s="3404"/>
      <c r="NDU5" s="3404"/>
      <c r="NDV5" s="3404"/>
      <c r="NDW5" s="3404"/>
      <c r="NDX5" s="3404"/>
      <c r="NDY5" s="3404"/>
      <c r="NDZ5" s="3404"/>
      <c r="NEA5" s="3404"/>
      <c r="NEB5" s="3404"/>
      <c r="NEC5" s="3404"/>
      <c r="NED5" s="3404"/>
      <c r="NEE5" s="3404"/>
      <c r="NEF5" s="3404"/>
      <c r="NEG5" s="3404"/>
      <c r="NEH5" s="3404"/>
      <c r="NEI5" s="3404"/>
      <c r="NEJ5" s="3404"/>
      <c r="NEK5" s="3404"/>
      <c r="NEL5" s="3404"/>
      <c r="NEM5" s="3404"/>
      <c r="NEN5" s="3404"/>
      <c r="NEO5" s="3404"/>
      <c r="NEP5" s="3404"/>
      <c r="NEQ5" s="3404"/>
      <c r="NER5" s="3404"/>
      <c r="NES5" s="3404"/>
      <c r="NET5" s="3404"/>
      <c r="NEU5" s="3404"/>
      <c r="NEV5" s="3404"/>
      <c r="NEW5" s="3404"/>
      <c r="NEX5" s="3404"/>
      <c r="NEY5" s="3404"/>
      <c r="NEZ5" s="3404"/>
      <c r="NFA5" s="3404"/>
      <c r="NFB5" s="3404"/>
      <c r="NFC5" s="3404"/>
      <c r="NFD5" s="3404"/>
      <c r="NFE5" s="3404"/>
      <c r="NFF5" s="3404"/>
      <c r="NFG5" s="3404"/>
      <c r="NFH5" s="3404"/>
      <c r="NFI5" s="3404"/>
      <c r="NFJ5" s="3404"/>
      <c r="NFK5" s="3404"/>
      <c r="NFL5" s="3404"/>
      <c r="NFM5" s="3404"/>
      <c r="NFN5" s="3404"/>
      <c r="NFO5" s="3404"/>
      <c r="NFP5" s="3404"/>
      <c r="NFQ5" s="3404"/>
      <c r="NFR5" s="3404"/>
      <c r="NFS5" s="3404"/>
      <c r="NFT5" s="3404"/>
      <c r="NFU5" s="3404"/>
      <c r="NFV5" s="3404"/>
      <c r="NFW5" s="3404"/>
      <c r="NFX5" s="3404"/>
      <c r="NFY5" s="3404"/>
      <c r="NFZ5" s="3404"/>
      <c r="NGA5" s="3404"/>
      <c r="NGB5" s="3404"/>
      <c r="NGC5" s="3404"/>
      <c r="NGD5" s="3404"/>
      <c r="NGE5" s="3404"/>
      <c r="NGF5" s="3404"/>
      <c r="NGG5" s="3404"/>
      <c r="NGH5" s="3404"/>
      <c r="NGI5" s="3404"/>
      <c r="NGJ5" s="3404"/>
      <c r="NGK5" s="3404"/>
      <c r="NGL5" s="3404"/>
      <c r="NGM5" s="3404"/>
      <c r="NGN5" s="3404"/>
      <c r="NGO5" s="3404"/>
      <c r="NGP5" s="3404"/>
      <c r="NGQ5" s="3404"/>
      <c r="NGR5" s="3404"/>
      <c r="NGS5" s="3404"/>
      <c r="NGT5" s="3404"/>
      <c r="NGU5" s="3404"/>
      <c r="NGV5" s="3404"/>
      <c r="NGW5" s="3404"/>
      <c r="NGX5" s="3404"/>
      <c r="NGY5" s="3404"/>
      <c r="NGZ5" s="3404"/>
      <c r="NHA5" s="3404"/>
      <c r="NHB5" s="3404"/>
      <c r="NHC5" s="3404"/>
      <c r="NHD5" s="3404"/>
      <c r="NHE5" s="3404"/>
      <c r="NHF5" s="3404"/>
      <c r="NHG5" s="3404"/>
      <c r="NHH5" s="3404"/>
      <c r="NHI5" s="3404"/>
      <c r="NHJ5" s="3404"/>
      <c r="NHK5" s="3404"/>
      <c r="NHL5" s="3404"/>
      <c r="NHM5" s="3404"/>
      <c r="NHN5" s="3404"/>
      <c r="NHO5" s="3404"/>
      <c r="NHP5" s="3404"/>
      <c r="NHQ5" s="3404"/>
      <c r="NHR5" s="3404"/>
      <c r="NHS5" s="3404"/>
      <c r="NHT5" s="3404"/>
      <c r="NHU5" s="3404"/>
      <c r="NHV5" s="3404"/>
      <c r="NHW5" s="3404"/>
      <c r="NHX5" s="3404"/>
      <c r="NHY5" s="3404"/>
      <c r="NHZ5" s="3404"/>
      <c r="NIA5" s="3404"/>
      <c r="NIB5" s="3404"/>
      <c r="NIC5" s="3404"/>
      <c r="NID5" s="3404"/>
      <c r="NIE5" s="3404"/>
      <c r="NIF5" s="3404"/>
      <c r="NIG5" s="3404"/>
      <c r="NIH5" s="3404"/>
      <c r="NII5" s="3404"/>
      <c r="NIJ5" s="3404"/>
      <c r="NIK5" s="3404"/>
      <c r="NIL5" s="3404"/>
      <c r="NIM5" s="3404"/>
      <c r="NIN5" s="3404"/>
      <c r="NIO5" s="3404"/>
      <c r="NIP5" s="3404"/>
      <c r="NIQ5" s="3404"/>
      <c r="NIR5" s="3404"/>
      <c r="NIS5" s="3404"/>
      <c r="NIT5" s="3404"/>
      <c r="NIU5" s="3404"/>
      <c r="NIV5" s="3404"/>
      <c r="NIW5" s="3404"/>
      <c r="NIX5" s="3404"/>
      <c r="NIY5" s="3404"/>
      <c r="NIZ5" s="3404"/>
      <c r="NJA5" s="3404"/>
      <c r="NJB5" s="3404"/>
      <c r="NJC5" s="3404"/>
      <c r="NJD5" s="3404"/>
      <c r="NJE5" s="3404"/>
      <c r="NJF5" s="3404"/>
      <c r="NJG5" s="3404"/>
      <c r="NJH5" s="3404"/>
      <c r="NJI5" s="3404"/>
      <c r="NJJ5" s="3404"/>
      <c r="NJK5" s="3404"/>
      <c r="NJL5" s="3404"/>
      <c r="NJM5" s="3404"/>
      <c r="NJN5" s="3404"/>
      <c r="NJO5" s="3404"/>
      <c r="NJP5" s="3404"/>
      <c r="NJQ5" s="3404"/>
      <c r="NJR5" s="3404"/>
      <c r="NJS5" s="3404"/>
      <c r="NJT5" s="3404"/>
      <c r="NJU5" s="3404"/>
      <c r="NJV5" s="3404"/>
      <c r="NJW5" s="3404"/>
      <c r="NJX5" s="3404"/>
      <c r="NJY5" s="3404"/>
      <c r="NJZ5" s="3404"/>
      <c r="NKA5" s="3404"/>
      <c r="NKB5" s="3404"/>
      <c r="NKC5" s="3404"/>
      <c r="NKD5" s="3404"/>
      <c r="NKE5" s="3404"/>
      <c r="NKF5" s="3404"/>
      <c r="NKG5" s="3404"/>
      <c r="NKH5" s="3404"/>
      <c r="NKI5" s="3404"/>
      <c r="NKJ5" s="3404"/>
      <c r="NKK5" s="3404"/>
      <c r="NKL5" s="3404"/>
      <c r="NKM5" s="3404"/>
      <c r="NKN5" s="3404"/>
      <c r="NKO5" s="3404"/>
      <c r="NKP5" s="3404"/>
      <c r="NKQ5" s="3404"/>
      <c r="NKR5" s="3404"/>
      <c r="NKS5" s="3404"/>
      <c r="NKT5" s="3404"/>
      <c r="NKU5" s="3404"/>
      <c r="NKV5" s="3404"/>
      <c r="NKW5" s="3404"/>
      <c r="NKX5" s="3404"/>
      <c r="NKY5" s="3404"/>
      <c r="NKZ5" s="3404"/>
      <c r="NLA5" s="3404"/>
      <c r="NLB5" s="3404"/>
      <c r="NLC5" s="3404"/>
      <c r="NLD5" s="3404"/>
      <c r="NLE5" s="3404"/>
      <c r="NLF5" s="3404"/>
      <c r="NLG5" s="3404"/>
      <c r="NLH5" s="3404"/>
      <c r="NLI5" s="3404"/>
      <c r="NLJ5" s="3404"/>
      <c r="NLK5" s="3404"/>
      <c r="NLL5" s="3404"/>
      <c r="NLM5" s="3404"/>
      <c r="NLN5" s="3404"/>
      <c r="NLO5" s="3404"/>
      <c r="NLP5" s="3404"/>
      <c r="NLQ5" s="3404"/>
      <c r="NLR5" s="3404"/>
      <c r="NLS5" s="3404"/>
      <c r="NLT5" s="3404"/>
      <c r="NLU5" s="3404"/>
      <c r="NLV5" s="3404"/>
      <c r="NLW5" s="3404"/>
      <c r="NLX5" s="3404"/>
      <c r="NLY5" s="3404"/>
      <c r="NLZ5" s="3404"/>
      <c r="NMA5" s="3404"/>
      <c r="NMB5" s="3404"/>
      <c r="NMC5" s="3404"/>
      <c r="NMD5" s="3404"/>
      <c r="NME5" s="3404"/>
      <c r="NMF5" s="3404"/>
      <c r="NMG5" s="3404"/>
      <c r="NMH5" s="3404"/>
      <c r="NMI5" s="3404"/>
      <c r="NMJ5" s="3404"/>
      <c r="NMK5" s="3404"/>
      <c r="NML5" s="3404"/>
      <c r="NMM5" s="3404"/>
      <c r="NMN5" s="3404"/>
      <c r="NMO5" s="3404"/>
      <c r="NMP5" s="3404"/>
      <c r="NMQ5" s="3404"/>
      <c r="NMR5" s="3404"/>
      <c r="NMS5" s="3404"/>
      <c r="NMT5" s="3404"/>
      <c r="NMU5" s="3404"/>
      <c r="NMV5" s="3404"/>
      <c r="NMW5" s="3404"/>
      <c r="NMX5" s="3404"/>
      <c r="NMY5" s="3404"/>
      <c r="NMZ5" s="3404"/>
      <c r="NNA5" s="3404"/>
      <c r="NNB5" s="3404"/>
      <c r="NNC5" s="3404"/>
      <c r="NND5" s="3404"/>
      <c r="NNE5" s="3404"/>
      <c r="NNF5" s="3404"/>
      <c r="NNG5" s="3404"/>
      <c r="NNH5" s="3404"/>
      <c r="NNI5" s="3404"/>
      <c r="NNJ5" s="3404"/>
      <c r="NNK5" s="3404"/>
      <c r="NNL5" s="3404"/>
      <c r="NNM5" s="3404"/>
      <c r="NNN5" s="3404"/>
      <c r="NNO5" s="3404"/>
      <c r="NNP5" s="3404"/>
      <c r="NNQ5" s="3404"/>
      <c r="NNR5" s="3404"/>
      <c r="NNS5" s="3404"/>
      <c r="NNT5" s="3404"/>
      <c r="NNU5" s="3404"/>
      <c r="NNV5" s="3404"/>
      <c r="NNW5" s="3404"/>
      <c r="NNX5" s="3404"/>
      <c r="NNY5" s="3404"/>
      <c r="NNZ5" s="3404"/>
      <c r="NOA5" s="3404"/>
      <c r="NOB5" s="3404"/>
      <c r="NOC5" s="3404"/>
      <c r="NOD5" s="3404"/>
      <c r="NOE5" s="3404"/>
      <c r="NOF5" s="3404"/>
      <c r="NOG5" s="3404"/>
      <c r="NOH5" s="3404"/>
      <c r="NOI5" s="3404"/>
      <c r="NOJ5" s="3404"/>
      <c r="NOK5" s="3404"/>
      <c r="NOL5" s="3404"/>
      <c r="NOM5" s="3404"/>
      <c r="NON5" s="3404"/>
      <c r="NOO5" s="3404"/>
      <c r="NOP5" s="3404"/>
      <c r="NOQ5" s="3404"/>
      <c r="NOR5" s="3404"/>
      <c r="NOS5" s="3404"/>
      <c r="NOT5" s="3404"/>
      <c r="NOU5" s="3404"/>
      <c r="NOV5" s="3404"/>
      <c r="NOW5" s="3404"/>
      <c r="NOX5" s="3404"/>
      <c r="NOY5" s="3404"/>
      <c r="NOZ5" s="3404"/>
      <c r="NPA5" s="3404"/>
      <c r="NPB5" s="3404"/>
      <c r="NPC5" s="3404"/>
      <c r="NPD5" s="3404"/>
      <c r="NPE5" s="3404"/>
      <c r="NPF5" s="3404"/>
      <c r="NPG5" s="3404"/>
      <c r="NPH5" s="3404"/>
      <c r="NPI5" s="3404"/>
      <c r="NPJ5" s="3404"/>
      <c r="NPK5" s="3404"/>
      <c r="NPL5" s="3404"/>
      <c r="NPM5" s="3404"/>
      <c r="NPN5" s="3404"/>
      <c r="NPO5" s="3404"/>
      <c r="NPP5" s="3404"/>
      <c r="NPQ5" s="3404"/>
      <c r="NPR5" s="3404"/>
      <c r="NPS5" s="3404"/>
      <c r="NPT5" s="3404"/>
      <c r="NPU5" s="3404"/>
      <c r="NPV5" s="3404"/>
      <c r="NPW5" s="3404"/>
      <c r="NPX5" s="3404"/>
      <c r="NPY5" s="3404"/>
      <c r="NPZ5" s="3404"/>
      <c r="NQA5" s="3404"/>
      <c r="NQB5" s="3404"/>
      <c r="NQC5" s="3404"/>
      <c r="NQD5" s="3404"/>
      <c r="NQE5" s="3404"/>
      <c r="NQF5" s="3404"/>
      <c r="NQG5" s="3404"/>
      <c r="NQH5" s="3404"/>
      <c r="NQI5" s="3404"/>
      <c r="NQJ5" s="3404"/>
      <c r="NQK5" s="3404"/>
      <c r="NQL5" s="3404"/>
      <c r="NQM5" s="3404"/>
      <c r="NQN5" s="3404"/>
      <c r="NQO5" s="3404"/>
      <c r="NQP5" s="3404"/>
      <c r="NQQ5" s="3404"/>
      <c r="NQR5" s="3404"/>
      <c r="NQS5" s="3404"/>
      <c r="NQT5" s="3404"/>
      <c r="NQU5" s="3404"/>
      <c r="NQV5" s="3404"/>
      <c r="NQW5" s="3404"/>
      <c r="NQX5" s="3404"/>
      <c r="NQY5" s="3404"/>
      <c r="NQZ5" s="3404"/>
      <c r="NRA5" s="3404"/>
      <c r="NRB5" s="3404"/>
      <c r="NRC5" s="3404"/>
      <c r="NRD5" s="3404"/>
      <c r="NRE5" s="3404"/>
      <c r="NRF5" s="3404"/>
      <c r="NRG5" s="3404"/>
      <c r="NRH5" s="3404"/>
      <c r="NRI5" s="3404"/>
      <c r="NRJ5" s="3404"/>
      <c r="NRK5" s="3404"/>
      <c r="NRL5" s="3404"/>
      <c r="NRM5" s="3404"/>
      <c r="NRN5" s="3404"/>
      <c r="NRO5" s="3404"/>
      <c r="NRP5" s="3404"/>
      <c r="NRQ5" s="3404"/>
      <c r="NRR5" s="3404"/>
      <c r="NRS5" s="3404"/>
      <c r="NRT5" s="3404"/>
      <c r="NRU5" s="3404"/>
      <c r="NRV5" s="3404"/>
      <c r="NRW5" s="3404"/>
      <c r="NRX5" s="3404"/>
      <c r="NRY5" s="3404"/>
      <c r="NRZ5" s="3404"/>
      <c r="NSA5" s="3404"/>
      <c r="NSB5" s="3404"/>
      <c r="NSC5" s="3404"/>
      <c r="NSD5" s="3404"/>
      <c r="NSE5" s="3404"/>
      <c r="NSF5" s="3404"/>
      <c r="NSG5" s="3404"/>
      <c r="NSH5" s="3404"/>
      <c r="NSI5" s="3404"/>
      <c r="NSJ5" s="3404"/>
      <c r="NSK5" s="3404"/>
      <c r="NSL5" s="3404"/>
      <c r="NSM5" s="3404"/>
      <c r="NSN5" s="3404"/>
      <c r="NSO5" s="3404"/>
      <c r="NSP5" s="3404"/>
      <c r="NSQ5" s="3404"/>
      <c r="NSR5" s="3404"/>
      <c r="NSS5" s="3404"/>
      <c r="NST5" s="3404"/>
      <c r="NSU5" s="3404"/>
      <c r="NSV5" s="3404"/>
      <c r="NSW5" s="3404"/>
      <c r="NSX5" s="3404"/>
      <c r="NSY5" s="3404"/>
      <c r="NSZ5" s="3404"/>
      <c r="NTA5" s="3404"/>
      <c r="NTB5" s="3404"/>
      <c r="NTC5" s="3404"/>
      <c r="NTD5" s="3404"/>
      <c r="NTE5" s="3404"/>
      <c r="NTF5" s="3404"/>
      <c r="NTG5" s="3404"/>
      <c r="NTH5" s="3404"/>
      <c r="NTI5" s="3404"/>
      <c r="NTJ5" s="3404"/>
      <c r="NTK5" s="3404"/>
      <c r="NTL5" s="3404"/>
      <c r="NTM5" s="3404"/>
      <c r="NTN5" s="3404"/>
      <c r="NTO5" s="3404"/>
      <c r="NTP5" s="3404"/>
      <c r="NTQ5" s="3404"/>
      <c r="NTR5" s="3404"/>
      <c r="NTS5" s="3404"/>
      <c r="NTT5" s="3404"/>
      <c r="NTU5" s="3404"/>
      <c r="NTV5" s="3404"/>
      <c r="NTW5" s="3404"/>
      <c r="NTX5" s="3404"/>
      <c r="NTY5" s="3404"/>
      <c r="NTZ5" s="3404"/>
      <c r="NUA5" s="3404"/>
      <c r="NUB5" s="3404"/>
      <c r="NUC5" s="3404"/>
      <c r="NUD5" s="3404"/>
      <c r="NUE5" s="3404"/>
      <c r="NUF5" s="3404"/>
      <c r="NUG5" s="3404"/>
      <c r="NUH5" s="3404"/>
      <c r="NUI5" s="3404"/>
      <c r="NUJ5" s="3404"/>
      <c r="NUK5" s="3404"/>
      <c r="NUL5" s="3404"/>
      <c r="NUM5" s="3404"/>
      <c r="NUN5" s="3404"/>
      <c r="NUO5" s="3404"/>
      <c r="NUP5" s="3404"/>
      <c r="NUQ5" s="3404"/>
      <c r="NUR5" s="3404"/>
      <c r="NUS5" s="3404"/>
      <c r="NUT5" s="3404"/>
      <c r="NUU5" s="3404"/>
      <c r="NUV5" s="3404"/>
      <c r="NUW5" s="3404"/>
      <c r="NUX5" s="3404"/>
      <c r="NUY5" s="3404"/>
      <c r="NUZ5" s="3404"/>
      <c r="NVA5" s="3404"/>
      <c r="NVB5" s="3404"/>
      <c r="NVC5" s="3404"/>
      <c r="NVD5" s="3404"/>
      <c r="NVE5" s="3404"/>
      <c r="NVF5" s="3404"/>
      <c r="NVG5" s="3404"/>
      <c r="NVH5" s="3404"/>
      <c r="NVI5" s="3404"/>
      <c r="NVJ5" s="3404"/>
      <c r="NVK5" s="3404"/>
      <c r="NVL5" s="3404"/>
      <c r="NVM5" s="3404"/>
      <c r="NVN5" s="3404"/>
      <c r="NVO5" s="3404"/>
      <c r="NVP5" s="3404"/>
      <c r="NVQ5" s="3404"/>
      <c r="NVR5" s="3404"/>
      <c r="NVS5" s="3404"/>
      <c r="NVT5" s="3404"/>
      <c r="NVU5" s="3404"/>
      <c r="NVV5" s="3404"/>
      <c r="NVW5" s="3404"/>
      <c r="NVX5" s="3404"/>
      <c r="NVY5" s="3404"/>
      <c r="NVZ5" s="3404"/>
      <c r="NWA5" s="3404"/>
      <c r="NWB5" s="3404"/>
      <c r="NWC5" s="3404"/>
      <c r="NWD5" s="3404"/>
      <c r="NWE5" s="3404"/>
      <c r="NWF5" s="3404"/>
      <c r="NWG5" s="3404"/>
      <c r="NWH5" s="3404"/>
      <c r="NWI5" s="3404"/>
      <c r="NWJ5" s="3404"/>
      <c r="NWK5" s="3404"/>
      <c r="NWL5" s="3404"/>
      <c r="NWM5" s="3404"/>
      <c r="NWN5" s="3404"/>
      <c r="NWO5" s="3404"/>
      <c r="NWP5" s="3404"/>
      <c r="NWQ5" s="3404"/>
      <c r="NWR5" s="3404"/>
      <c r="NWS5" s="3404"/>
      <c r="NWT5" s="3404"/>
      <c r="NWU5" s="3404"/>
      <c r="NWV5" s="3404"/>
      <c r="NWW5" s="3404"/>
      <c r="NWX5" s="3404"/>
      <c r="NWY5" s="3404"/>
      <c r="NWZ5" s="3404"/>
      <c r="NXA5" s="3404"/>
      <c r="NXB5" s="3404"/>
      <c r="NXC5" s="3404"/>
      <c r="NXD5" s="3404"/>
      <c r="NXE5" s="3404"/>
      <c r="NXF5" s="3404"/>
      <c r="NXG5" s="3404"/>
      <c r="NXH5" s="3404"/>
      <c r="NXI5" s="3404"/>
      <c r="NXJ5" s="3404"/>
      <c r="NXK5" s="3404"/>
      <c r="NXL5" s="3404"/>
      <c r="NXM5" s="3404"/>
      <c r="NXN5" s="3404"/>
      <c r="NXO5" s="3404"/>
      <c r="NXP5" s="3404"/>
      <c r="NXQ5" s="3404"/>
      <c r="NXR5" s="3404"/>
      <c r="NXS5" s="3404"/>
      <c r="NXT5" s="3404"/>
      <c r="NXU5" s="3404"/>
      <c r="NXV5" s="3404"/>
      <c r="NXW5" s="3404"/>
      <c r="NXX5" s="3404"/>
      <c r="NXY5" s="3404"/>
      <c r="NXZ5" s="3404"/>
      <c r="NYA5" s="3404"/>
      <c r="NYB5" s="3404"/>
      <c r="NYC5" s="3404"/>
      <c r="NYD5" s="3404"/>
      <c r="NYE5" s="3404"/>
      <c r="NYF5" s="3404"/>
      <c r="NYG5" s="3404"/>
      <c r="NYH5" s="3404"/>
      <c r="NYI5" s="3404"/>
      <c r="NYJ5" s="3404"/>
      <c r="NYK5" s="3404"/>
      <c r="NYL5" s="3404"/>
      <c r="NYM5" s="3404"/>
      <c r="NYN5" s="3404"/>
      <c r="NYO5" s="3404"/>
      <c r="NYP5" s="3404"/>
      <c r="NYQ5" s="3404"/>
      <c r="NYR5" s="3404"/>
      <c r="NYS5" s="3404"/>
      <c r="NYT5" s="3404"/>
      <c r="NYU5" s="3404"/>
      <c r="NYV5" s="3404"/>
      <c r="NYW5" s="3404"/>
      <c r="NYX5" s="3404"/>
      <c r="NYY5" s="3404"/>
      <c r="NYZ5" s="3404"/>
      <c r="NZA5" s="3404"/>
      <c r="NZB5" s="3404"/>
      <c r="NZC5" s="3404"/>
      <c r="NZD5" s="3404"/>
      <c r="NZE5" s="3404"/>
      <c r="NZF5" s="3404"/>
      <c r="NZG5" s="3404"/>
      <c r="NZH5" s="3404"/>
      <c r="NZI5" s="3404"/>
      <c r="NZJ5" s="3404"/>
      <c r="NZK5" s="3404"/>
      <c r="NZL5" s="3404"/>
      <c r="NZM5" s="3404"/>
      <c r="NZN5" s="3404"/>
      <c r="NZO5" s="3404"/>
      <c r="NZP5" s="3404"/>
      <c r="NZQ5" s="3404"/>
      <c r="NZR5" s="3404"/>
      <c r="NZS5" s="3404"/>
      <c r="NZT5" s="3404"/>
      <c r="NZU5" s="3404"/>
      <c r="NZV5" s="3404"/>
      <c r="NZW5" s="3404"/>
      <c r="NZX5" s="3404"/>
      <c r="NZY5" s="3404"/>
      <c r="NZZ5" s="3404"/>
      <c r="OAA5" s="3404"/>
      <c r="OAB5" s="3404"/>
      <c r="OAC5" s="3404"/>
      <c r="OAD5" s="3404"/>
      <c r="OAE5" s="3404"/>
      <c r="OAF5" s="3404"/>
      <c r="OAG5" s="3404"/>
      <c r="OAH5" s="3404"/>
      <c r="OAI5" s="3404"/>
      <c r="OAJ5" s="3404"/>
      <c r="OAK5" s="3404"/>
      <c r="OAL5" s="3404"/>
      <c r="OAM5" s="3404"/>
      <c r="OAN5" s="3404"/>
      <c r="OAO5" s="3404"/>
      <c r="OAP5" s="3404"/>
      <c r="OAQ5" s="3404"/>
      <c r="OAR5" s="3404"/>
      <c r="OAS5" s="3404"/>
      <c r="OAT5" s="3404"/>
      <c r="OAU5" s="3404"/>
      <c r="OAV5" s="3404"/>
      <c r="OAW5" s="3404"/>
      <c r="OAX5" s="3404"/>
      <c r="OAY5" s="3404"/>
      <c r="OAZ5" s="3404"/>
      <c r="OBA5" s="3404"/>
      <c r="OBB5" s="3404"/>
      <c r="OBC5" s="3404"/>
      <c r="OBD5" s="3404"/>
      <c r="OBE5" s="3404"/>
      <c r="OBF5" s="3404"/>
      <c r="OBG5" s="3404"/>
      <c r="OBH5" s="3404"/>
      <c r="OBI5" s="3404"/>
      <c r="OBJ5" s="3404"/>
      <c r="OBK5" s="3404"/>
      <c r="OBL5" s="3404"/>
      <c r="OBM5" s="3404"/>
      <c r="OBN5" s="3404"/>
      <c r="OBO5" s="3404"/>
      <c r="OBP5" s="3404"/>
      <c r="OBQ5" s="3404"/>
      <c r="OBR5" s="3404"/>
      <c r="OBS5" s="3404"/>
      <c r="OBT5" s="3404"/>
      <c r="OBU5" s="3404"/>
      <c r="OBV5" s="3404"/>
      <c r="OBW5" s="3404"/>
      <c r="OBX5" s="3404"/>
      <c r="OBY5" s="3404"/>
      <c r="OBZ5" s="3404"/>
      <c r="OCA5" s="3404"/>
      <c r="OCB5" s="3404"/>
      <c r="OCC5" s="3404"/>
      <c r="OCD5" s="3404"/>
      <c r="OCE5" s="3404"/>
      <c r="OCF5" s="3404"/>
      <c r="OCG5" s="3404"/>
      <c r="OCH5" s="3404"/>
      <c r="OCI5" s="3404"/>
      <c r="OCJ5" s="3404"/>
      <c r="OCK5" s="3404"/>
      <c r="OCL5" s="3404"/>
      <c r="OCM5" s="3404"/>
      <c r="OCN5" s="3404"/>
      <c r="OCO5" s="3404"/>
      <c r="OCP5" s="3404"/>
      <c r="OCQ5" s="3404"/>
      <c r="OCR5" s="3404"/>
      <c r="OCS5" s="3404"/>
      <c r="OCT5" s="3404"/>
      <c r="OCU5" s="3404"/>
      <c r="OCV5" s="3404"/>
      <c r="OCW5" s="3404"/>
      <c r="OCX5" s="3404"/>
      <c r="OCY5" s="3404"/>
      <c r="OCZ5" s="3404"/>
      <c r="ODA5" s="3404"/>
      <c r="ODB5" s="3404"/>
      <c r="ODC5" s="3404"/>
      <c r="ODD5" s="3404"/>
      <c r="ODE5" s="3404"/>
      <c r="ODF5" s="3404"/>
      <c r="ODG5" s="3404"/>
      <c r="ODH5" s="3404"/>
      <c r="ODI5" s="3404"/>
      <c r="ODJ5" s="3404"/>
      <c r="ODK5" s="3404"/>
      <c r="ODL5" s="3404"/>
      <c r="ODM5" s="3404"/>
      <c r="ODN5" s="3404"/>
      <c r="ODO5" s="3404"/>
      <c r="ODP5" s="3404"/>
      <c r="ODQ5" s="3404"/>
      <c r="ODR5" s="3404"/>
      <c r="ODS5" s="3404"/>
      <c r="ODT5" s="3404"/>
      <c r="ODU5" s="3404"/>
      <c r="ODV5" s="3404"/>
      <c r="ODW5" s="3404"/>
      <c r="ODX5" s="3404"/>
      <c r="ODY5" s="3404"/>
      <c r="ODZ5" s="3404"/>
      <c r="OEA5" s="3404"/>
      <c r="OEB5" s="3404"/>
      <c r="OEC5" s="3404"/>
      <c r="OED5" s="3404"/>
      <c r="OEE5" s="3404"/>
      <c r="OEF5" s="3404"/>
      <c r="OEG5" s="3404"/>
      <c r="OEH5" s="3404"/>
      <c r="OEI5" s="3404"/>
      <c r="OEJ5" s="3404"/>
      <c r="OEK5" s="3404"/>
      <c r="OEL5" s="3404"/>
      <c r="OEM5" s="3404"/>
      <c r="OEN5" s="3404"/>
      <c r="OEO5" s="3404"/>
      <c r="OEP5" s="3404"/>
      <c r="OEQ5" s="3404"/>
      <c r="OER5" s="3404"/>
      <c r="OES5" s="3404"/>
      <c r="OET5" s="3404"/>
      <c r="OEU5" s="3404"/>
      <c r="OEV5" s="3404"/>
      <c r="OEW5" s="3404"/>
      <c r="OEX5" s="3404"/>
      <c r="OEY5" s="3404"/>
      <c r="OEZ5" s="3404"/>
      <c r="OFA5" s="3404"/>
      <c r="OFB5" s="3404"/>
      <c r="OFC5" s="3404"/>
      <c r="OFD5" s="3404"/>
      <c r="OFE5" s="3404"/>
      <c r="OFF5" s="3404"/>
      <c r="OFG5" s="3404"/>
      <c r="OFH5" s="3404"/>
      <c r="OFI5" s="3404"/>
      <c r="OFJ5" s="3404"/>
      <c r="OFK5" s="3404"/>
      <c r="OFL5" s="3404"/>
      <c r="OFM5" s="3404"/>
      <c r="OFN5" s="3404"/>
      <c r="OFO5" s="3404"/>
      <c r="OFP5" s="3404"/>
      <c r="OFQ5" s="3404"/>
      <c r="OFR5" s="3404"/>
      <c r="OFS5" s="3404"/>
      <c r="OFT5" s="3404"/>
      <c r="OFU5" s="3404"/>
      <c r="OFV5" s="3404"/>
      <c r="OFW5" s="3404"/>
      <c r="OFX5" s="3404"/>
      <c r="OFY5" s="3404"/>
      <c r="OFZ5" s="3404"/>
      <c r="OGA5" s="3404"/>
      <c r="OGB5" s="3404"/>
      <c r="OGC5" s="3404"/>
      <c r="OGD5" s="3404"/>
      <c r="OGE5" s="3404"/>
      <c r="OGF5" s="3404"/>
      <c r="OGG5" s="3404"/>
      <c r="OGH5" s="3404"/>
      <c r="OGI5" s="3404"/>
      <c r="OGJ5" s="3404"/>
      <c r="OGK5" s="3404"/>
      <c r="OGL5" s="3404"/>
      <c r="OGM5" s="3404"/>
      <c r="OGN5" s="3404"/>
      <c r="OGO5" s="3404"/>
      <c r="OGP5" s="3404"/>
      <c r="OGQ5" s="3404"/>
      <c r="OGR5" s="3404"/>
      <c r="OGS5" s="3404"/>
      <c r="OGT5" s="3404"/>
      <c r="OGU5" s="3404"/>
      <c r="OGV5" s="3404"/>
      <c r="OGW5" s="3404"/>
      <c r="OGX5" s="3404"/>
      <c r="OGY5" s="3404"/>
      <c r="OGZ5" s="3404"/>
      <c r="OHA5" s="3404"/>
      <c r="OHB5" s="3404"/>
      <c r="OHC5" s="3404"/>
      <c r="OHD5" s="3404"/>
      <c r="OHE5" s="3404"/>
      <c r="OHF5" s="3404"/>
      <c r="OHG5" s="3404"/>
      <c r="OHH5" s="3404"/>
      <c r="OHI5" s="3404"/>
      <c r="OHJ5" s="3404"/>
      <c r="OHK5" s="3404"/>
      <c r="OHL5" s="3404"/>
      <c r="OHM5" s="3404"/>
      <c r="OHN5" s="3404"/>
      <c r="OHO5" s="3404"/>
      <c r="OHP5" s="3404"/>
      <c r="OHQ5" s="3404"/>
      <c r="OHR5" s="3404"/>
      <c r="OHS5" s="3404"/>
      <c r="OHT5" s="3404"/>
      <c r="OHU5" s="3404"/>
      <c r="OHV5" s="3404"/>
      <c r="OHW5" s="3404"/>
      <c r="OHX5" s="3404"/>
      <c r="OHY5" s="3404"/>
      <c r="OHZ5" s="3404"/>
      <c r="OIA5" s="3404"/>
      <c r="OIB5" s="3404"/>
      <c r="OIC5" s="3404"/>
      <c r="OID5" s="3404"/>
      <c r="OIE5" s="3404"/>
      <c r="OIF5" s="3404"/>
      <c r="OIG5" s="3404"/>
      <c r="OIH5" s="3404"/>
      <c r="OII5" s="3404"/>
      <c r="OIJ5" s="3404"/>
      <c r="OIK5" s="3404"/>
      <c r="OIL5" s="3404"/>
      <c r="OIM5" s="3404"/>
      <c r="OIN5" s="3404"/>
      <c r="OIO5" s="3404"/>
      <c r="OIP5" s="3404"/>
      <c r="OIQ5" s="3404"/>
      <c r="OIR5" s="3404"/>
      <c r="OIS5" s="3404"/>
      <c r="OIT5" s="3404"/>
      <c r="OIU5" s="3404"/>
      <c r="OIV5" s="3404"/>
      <c r="OIW5" s="3404"/>
      <c r="OIX5" s="3404"/>
      <c r="OIY5" s="3404"/>
      <c r="OIZ5" s="3404"/>
      <c r="OJA5" s="3404"/>
      <c r="OJB5" s="3404"/>
      <c r="OJC5" s="3404"/>
      <c r="OJD5" s="3404"/>
      <c r="OJE5" s="3404"/>
      <c r="OJF5" s="3404"/>
      <c r="OJG5" s="3404"/>
      <c r="OJH5" s="3404"/>
      <c r="OJI5" s="3404"/>
      <c r="OJJ5" s="3404"/>
      <c r="OJK5" s="3404"/>
      <c r="OJL5" s="3404"/>
      <c r="OJM5" s="3404"/>
      <c r="OJN5" s="3404"/>
      <c r="OJO5" s="3404"/>
      <c r="OJP5" s="3404"/>
      <c r="OJQ5" s="3404"/>
      <c r="OJR5" s="3404"/>
      <c r="OJS5" s="3404"/>
      <c r="OJT5" s="3404"/>
      <c r="OJU5" s="3404"/>
      <c r="OJV5" s="3404"/>
      <c r="OJW5" s="3404"/>
      <c r="OJX5" s="3404"/>
      <c r="OJY5" s="3404"/>
      <c r="OJZ5" s="3404"/>
      <c r="OKA5" s="3404"/>
      <c r="OKB5" s="3404"/>
      <c r="OKC5" s="3404"/>
      <c r="OKD5" s="3404"/>
      <c r="OKE5" s="3404"/>
      <c r="OKF5" s="3404"/>
      <c r="OKG5" s="3404"/>
      <c r="OKH5" s="3404"/>
      <c r="OKI5" s="3404"/>
      <c r="OKJ5" s="3404"/>
      <c r="OKK5" s="3404"/>
      <c r="OKL5" s="3404"/>
      <c r="OKM5" s="3404"/>
      <c r="OKN5" s="3404"/>
      <c r="OKO5" s="3404"/>
      <c r="OKP5" s="3404"/>
      <c r="OKQ5" s="3404"/>
      <c r="OKR5" s="3404"/>
      <c r="OKS5" s="3404"/>
      <c r="OKT5" s="3404"/>
      <c r="OKU5" s="3404"/>
      <c r="OKV5" s="3404"/>
      <c r="OKW5" s="3404"/>
      <c r="OKX5" s="3404"/>
      <c r="OKY5" s="3404"/>
      <c r="OKZ5" s="3404"/>
      <c r="OLA5" s="3404"/>
      <c r="OLB5" s="3404"/>
      <c r="OLC5" s="3404"/>
      <c r="OLD5" s="3404"/>
      <c r="OLE5" s="3404"/>
      <c r="OLF5" s="3404"/>
      <c r="OLG5" s="3404"/>
      <c r="OLH5" s="3404"/>
      <c r="OLI5" s="3404"/>
      <c r="OLJ5" s="3404"/>
      <c r="OLK5" s="3404"/>
      <c r="OLL5" s="3404"/>
      <c r="OLM5" s="3404"/>
      <c r="OLN5" s="3404"/>
      <c r="OLO5" s="3404"/>
      <c r="OLP5" s="3404"/>
      <c r="OLQ5" s="3404"/>
      <c r="OLR5" s="3404"/>
      <c r="OLS5" s="3404"/>
      <c r="OLT5" s="3404"/>
      <c r="OLU5" s="3404"/>
      <c r="OLV5" s="3404"/>
      <c r="OLW5" s="3404"/>
      <c r="OLX5" s="3404"/>
      <c r="OLY5" s="3404"/>
      <c r="OLZ5" s="3404"/>
      <c r="OMA5" s="3404"/>
      <c r="OMB5" s="3404"/>
      <c r="OMC5" s="3404"/>
      <c r="OMD5" s="3404"/>
      <c r="OME5" s="3404"/>
      <c r="OMF5" s="3404"/>
      <c r="OMG5" s="3404"/>
      <c r="OMH5" s="3404"/>
      <c r="OMI5" s="3404"/>
      <c r="OMJ5" s="3404"/>
      <c r="OMK5" s="3404"/>
      <c r="OML5" s="3404"/>
      <c r="OMM5" s="3404"/>
      <c r="OMN5" s="3404"/>
      <c r="OMO5" s="3404"/>
      <c r="OMP5" s="3404"/>
      <c r="OMQ5" s="3404"/>
      <c r="OMR5" s="3404"/>
      <c r="OMS5" s="3404"/>
      <c r="OMT5" s="3404"/>
      <c r="OMU5" s="3404"/>
      <c r="OMV5" s="3404"/>
      <c r="OMW5" s="3404"/>
      <c r="OMX5" s="3404"/>
      <c r="OMY5" s="3404"/>
      <c r="OMZ5" s="3404"/>
      <c r="ONA5" s="3404"/>
      <c r="ONB5" s="3404"/>
      <c r="ONC5" s="3404"/>
      <c r="OND5" s="3404"/>
      <c r="ONE5" s="3404"/>
      <c r="ONF5" s="3404"/>
      <c r="ONG5" s="3404"/>
      <c r="ONH5" s="3404"/>
      <c r="ONI5" s="3404"/>
      <c r="ONJ5" s="3404"/>
      <c r="ONK5" s="3404"/>
      <c r="ONL5" s="3404"/>
      <c r="ONM5" s="3404"/>
      <c r="ONN5" s="3404"/>
      <c r="ONO5" s="3404"/>
      <c r="ONP5" s="3404"/>
      <c r="ONQ5" s="3404"/>
      <c r="ONR5" s="3404"/>
      <c r="ONS5" s="3404"/>
      <c r="ONT5" s="3404"/>
      <c r="ONU5" s="3404"/>
      <c r="ONV5" s="3404"/>
      <c r="ONW5" s="3404"/>
      <c r="ONX5" s="3404"/>
      <c r="ONY5" s="3404"/>
      <c r="ONZ5" s="3404"/>
      <c r="OOA5" s="3404"/>
      <c r="OOB5" s="3404"/>
      <c r="OOC5" s="3404"/>
      <c r="OOD5" s="3404"/>
      <c r="OOE5" s="3404"/>
      <c r="OOF5" s="3404"/>
      <c r="OOG5" s="3404"/>
      <c r="OOH5" s="3404"/>
      <c r="OOI5" s="3404"/>
      <c r="OOJ5" s="3404"/>
      <c r="OOK5" s="3404"/>
      <c r="OOL5" s="3404"/>
      <c r="OOM5" s="3404"/>
      <c r="OON5" s="3404"/>
      <c r="OOO5" s="3404"/>
      <c r="OOP5" s="3404"/>
      <c r="OOQ5" s="3404"/>
      <c r="OOR5" s="3404"/>
      <c r="OOS5" s="3404"/>
      <c r="OOT5" s="3404"/>
      <c r="OOU5" s="3404"/>
      <c r="OOV5" s="3404"/>
      <c r="OOW5" s="3404"/>
      <c r="OOX5" s="3404"/>
      <c r="OOY5" s="3404"/>
      <c r="OOZ5" s="3404"/>
      <c r="OPA5" s="3404"/>
      <c r="OPB5" s="3404"/>
      <c r="OPC5" s="3404"/>
      <c r="OPD5" s="3404"/>
      <c r="OPE5" s="3404"/>
      <c r="OPF5" s="3404"/>
      <c r="OPG5" s="3404"/>
      <c r="OPH5" s="3404"/>
      <c r="OPI5" s="3404"/>
      <c r="OPJ5" s="3404"/>
      <c r="OPK5" s="3404"/>
      <c r="OPL5" s="3404"/>
      <c r="OPM5" s="3404"/>
      <c r="OPN5" s="3404"/>
      <c r="OPO5" s="3404"/>
      <c r="OPP5" s="3404"/>
      <c r="OPQ5" s="3404"/>
      <c r="OPR5" s="3404"/>
      <c r="OPS5" s="3404"/>
      <c r="OPT5" s="3404"/>
      <c r="OPU5" s="3404"/>
      <c r="OPV5" s="3404"/>
      <c r="OPW5" s="3404"/>
      <c r="OPX5" s="3404"/>
      <c r="OPY5" s="3404"/>
      <c r="OPZ5" s="3404"/>
      <c r="OQA5" s="3404"/>
      <c r="OQB5" s="3404"/>
      <c r="OQC5" s="3404"/>
      <c r="OQD5" s="3404"/>
      <c r="OQE5" s="3404"/>
      <c r="OQF5" s="3404"/>
      <c r="OQG5" s="3404"/>
      <c r="OQH5" s="3404"/>
      <c r="OQI5" s="3404"/>
      <c r="OQJ5" s="3404"/>
      <c r="OQK5" s="3404"/>
      <c r="OQL5" s="3404"/>
      <c r="OQM5" s="3404"/>
      <c r="OQN5" s="3404"/>
      <c r="OQO5" s="3404"/>
      <c r="OQP5" s="3404"/>
      <c r="OQQ5" s="3404"/>
      <c r="OQR5" s="3404"/>
      <c r="OQS5" s="3404"/>
      <c r="OQT5" s="3404"/>
      <c r="OQU5" s="3404"/>
      <c r="OQV5" s="3404"/>
      <c r="OQW5" s="3404"/>
      <c r="OQX5" s="3404"/>
      <c r="OQY5" s="3404"/>
      <c r="OQZ5" s="3404"/>
      <c r="ORA5" s="3404"/>
      <c r="ORB5" s="3404"/>
      <c r="ORC5" s="3404"/>
      <c r="ORD5" s="3404"/>
      <c r="ORE5" s="3404"/>
      <c r="ORF5" s="3404"/>
      <c r="ORG5" s="3404"/>
      <c r="ORH5" s="3404"/>
      <c r="ORI5" s="3404"/>
      <c r="ORJ5" s="3404"/>
      <c r="ORK5" s="3404"/>
      <c r="ORL5" s="3404"/>
      <c r="ORM5" s="3404"/>
      <c r="ORN5" s="3404"/>
      <c r="ORO5" s="3404"/>
      <c r="ORP5" s="3404"/>
      <c r="ORQ5" s="3404"/>
      <c r="ORR5" s="3404"/>
      <c r="ORS5" s="3404"/>
      <c r="ORT5" s="3404"/>
      <c r="ORU5" s="3404"/>
      <c r="ORV5" s="3404"/>
      <c r="ORW5" s="3404"/>
      <c r="ORX5" s="3404"/>
      <c r="ORY5" s="3404"/>
      <c r="ORZ5" s="3404"/>
      <c r="OSA5" s="3404"/>
      <c r="OSB5" s="3404"/>
      <c r="OSC5" s="3404"/>
      <c r="OSD5" s="3404"/>
      <c r="OSE5" s="3404"/>
      <c r="OSF5" s="3404"/>
      <c r="OSG5" s="3404"/>
      <c r="OSH5" s="3404"/>
      <c r="OSI5" s="3404"/>
      <c r="OSJ5" s="3404"/>
      <c r="OSK5" s="3404"/>
      <c r="OSL5" s="3404"/>
      <c r="OSM5" s="3404"/>
      <c r="OSN5" s="3404"/>
      <c r="OSO5" s="3404"/>
      <c r="OSP5" s="3404"/>
      <c r="OSQ5" s="3404"/>
      <c r="OSR5" s="3404"/>
      <c r="OSS5" s="3404"/>
      <c r="OST5" s="3404"/>
      <c r="OSU5" s="3404"/>
      <c r="OSV5" s="3404"/>
      <c r="OSW5" s="3404"/>
      <c r="OSX5" s="3404"/>
      <c r="OSY5" s="3404"/>
      <c r="OSZ5" s="3404"/>
      <c r="OTA5" s="3404"/>
      <c r="OTB5" s="3404"/>
      <c r="OTC5" s="3404"/>
      <c r="OTD5" s="3404"/>
      <c r="OTE5" s="3404"/>
      <c r="OTF5" s="3404"/>
      <c r="OTG5" s="3404"/>
      <c r="OTH5" s="3404"/>
      <c r="OTI5" s="3404"/>
      <c r="OTJ5" s="3404"/>
      <c r="OTK5" s="3404"/>
      <c r="OTL5" s="3404"/>
      <c r="OTM5" s="3404"/>
      <c r="OTN5" s="3404"/>
      <c r="OTO5" s="3404"/>
      <c r="OTP5" s="3404"/>
      <c r="OTQ5" s="3404"/>
      <c r="OTR5" s="3404"/>
      <c r="OTS5" s="3404"/>
      <c r="OTT5" s="3404"/>
      <c r="OTU5" s="3404"/>
      <c r="OTV5" s="3404"/>
      <c r="OTW5" s="3404"/>
      <c r="OTX5" s="3404"/>
      <c r="OTY5" s="3404"/>
      <c r="OTZ5" s="3404"/>
      <c r="OUA5" s="3404"/>
      <c r="OUB5" s="3404"/>
      <c r="OUC5" s="3404"/>
      <c r="OUD5" s="3404"/>
      <c r="OUE5" s="3404"/>
      <c r="OUF5" s="3404"/>
      <c r="OUG5" s="3404"/>
      <c r="OUH5" s="3404"/>
      <c r="OUI5" s="3404"/>
      <c r="OUJ5" s="3404"/>
      <c r="OUK5" s="3404"/>
      <c r="OUL5" s="3404"/>
      <c r="OUM5" s="3404"/>
      <c r="OUN5" s="3404"/>
      <c r="OUO5" s="3404"/>
      <c r="OUP5" s="3404"/>
      <c r="OUQ5" s="3404"/>
      <c r="OUR5" s="3404"/>
      <c r="OUS5" s="3404"/>
      <c r="OUT5" s="3404"/>
      <c r="OUU5" s="3404"/>
      <c r="OUV5" s="3404"/>
      <c r="OUW5" s="3404"/>
      <c r="OUX5" s="3404"/>
      <c r="OUY5" s="3404"/>
      <c r="OUZ5" s="3404"/>
      <c r="OVA5" s="3404"/>
      <c r="OVB5" s="3404"/>
      <c r="OVC5" s="3404"/>
      <c r="OVD5" s="3404"/>
      <c r="OVE5" s="3404"/>
      <c r="OVF5" s="3404"/>
      <c r="OVG5" s="3404"/>
      <c r="OVH5" s="3404"/>
      <c r="OVI5" s="3404"/>
      <c r="OVJ5" s="3404"/>
      <c r="OVK5" s="3404"/>
      <c r="OVL5" s="3404"/>
      <c r="OVM5" s="3404"/>
      <c r="OVN5" s="3404"/>
      <c r="OVO5" s="3404"/>
      <c r="OVP5" s="3404"/>
      <c r="OVQ5" s="3404"/>
      <c r="OVR5" s="3404"/>
      <c r="OVS5" s="3404"/>
      <c r="OVT5" s="3404"/>
      <c r="OVU5" s="3404"/>
      <c r="OVV5" s="3404"/>
      <c r="OVW5" s="3404"/>
      <c r="OVX5" s="3404"/>
      <c r="OVY5" s="3404"/>
      <c r="OVZ5" s="3404"/>
      <c r="OWA5" s="3404"/>
      <c r="OWB5" s="3404"/>
      <c r="OWC5" s="3404"/>
      <c r="OWD5" s="3404"/>
      <c r="OWE5" s="3404"/>
      <c r="OWF5" s="3404"/>
      <c r="OWG5" s="3404"/>
      <c r="OWH5" s="3404"/>
      <c r="OWI5" s="3404"/>
      <c r="OWJ5" s="3404"/>
      <c r="OWK5" s="3404"/>
      <c r="OWL5" s="3404"/>
      <c r="OWM5" s="3404"/>
      <c r="OWN5" s="3404"/>
      <c r="OWO5" s="3404"/>
      <c r="OWP5" s="3404"/>
      <c r="OWQ5" s="3404"/>
      <c r="OWR5" s="3404"/>
      <c r="OWS5" s="3404"/>
      <c r="OWT5" s="3404"/>
      <c r="OWU5" s="3404"/>
      <c r="OWV5" s="3404"/>
      <c r="OWW5" s="3404"/>
      <c r="OWX5" s="3404"/>
      <c r="OWY5" s="3404"/>
      <c r="OWZ5" s="3404"/>
      <c r="OXA5" s="3404"/>
      <c r="OXB5" s="3404"/>
      <c r="OXC5" s="3404"/>
      <c r="OXD5" s="3404"/>
      <c r="OXE5" s="3404"/>
      <c r="OXF5" s="3404"/>
      <c r="OXG5" s="3404"/>
      <c r="OXH5" s="3404"/>
      <c r="OXI5" s="3404"/>
      <c r="OXJ5" s="3404"/>
      <c r="OXK5" s="3404"/>
      <c r="OXL5" s="3404"/>
      <c r="OXM5" s="3404"/>
      <c r="OXN5" s="3404"/>
      <c r="OXO5" s="3404"/>
      <c r="OXP5" s="3404"/>
      <c r="OXQ5" s="3404"/>
      <c r="OXR5" s="3404"/>
      <c r="OXS5" s="3404"/>
      <c r="OXT5" s="3404"/>
      <c r="OXU5" s="3404"/>
      <c r="OXV5" s="3404"/>
      <c r="OXW5" s="3404"/>
      <c r="OXX5" s="3404"/>
      <c r="OXY5" s="3404"/>
      <c r="OXZ5" s="3404"/>
      <c r="OYA5" s="3404"/>
      <c r="OYB5" s="3404"/>
      <c r="OYC5" s="3404"/>
      <c r="OYD5" s="3404"/>
      <c r="OYE5" s="3404"/>
      <c r="OYF5" s="3404"/>
      <c r="OYG5" s="3404"/>
      <c r="OYH5" s="3404"/>
      <c r="OYI5" s="3404"/>
      <c r="OYJ5" s="3404"/>
      <c r="OYK5" s="3404"/>
      <c r="OYL5" s="3404"/>
      <c r="OYM5" s="3404"/>
      <c r="OYN5" s="3404"/>
      <c r="OYO5" s="3404"/>
      <c r="OYP5" s="3404"/>
      <c r="OYQ5" s="3404"/>
      <c r="OYR5" s="3404"/>
      <c r="OYS5" s="3404"/>
      <c r="OYT5" s="3404"/>
      <c r="OYU5" s="3404"/>
      <c r="OYV5" s="3404"/>
      <c r="OYW5" s="3404"/>
      <c r="OYX5" s="3404"/>
      <c r="OYY5" s="3404"/>
      <c r="OYZ5" s="3404"/>
      <c r="OZA5" s="3404"/>
      <c r="OZB5" s="3404"/>
      <c r="OZC5" s="3404"/>
      <c r="OZD5" s="3404"/>
      <c r="OZE5" s="3404"/>
      <c r="OZF5" s="3404"/>
      <c r="OZG5" s="3404"/>
      <c r="OZH5" s="3404"/>
      <c r="OZI5" s="3404"/>
      <c r="OZJ5" s="3404"/>
      <c r="OZK5" s="3404"/>
      <c r="OZL5" s="3404"/>
      <c r="OZM5" s="3404"/>
      <c r="OZN5" s="3404"/>
      <c r="OZO5" s="3404"/>
      <c r="OZP5" s="3404"/>
      <c r="OZQ5" s="3404"/>
      <c r="OZR5" s="3404"/>
      <c r="OZS5" s="3404"/>
      <c r="OZT5" s="3404"/>
      <c r="OZU5" s="3404"/>
      <c r="OZV5" s="3404"/>
      <c r="OZW5" s="3404"/>
      <c r="OZX5" s="3404"/>
      <c r="OZY5" s="3404"/>
      <c r="OZZ5" s="3404"/>
      <c r="PAA5" s="3404"/>
      <c r="PAB5" s="3404"/>
      <c r="PAC5" s="3404"/>
      <c r="PAD5" s="3404"/>
      <c r="PAE5" s="3404"/>
      <c r="PAF5" s="3404"/>
      <c r="PAG5" s="3404"/>
      <c r="PAH5" s="3404"/>
      <c r="PAI5" s="3404"/>
      <c r="PAJ5" s="3404"/>
      <c r="PAK5" s="3404"/>
      <c r="PAL5" s="3404"/>
      <c r="PAM5" s="3404"/>
      <c r="PAN5" s="3404"/>
      <c r="PAO5" s="3404"/>
      <c r="PAP5" s="3404"/>
      <c r="PAQ5" s="3404"/>
      <c r="PAR5" s="3404"/>
      <c r="PAS5" s="3404"/>
      <c r="PAT5" s="3404"/>
      <c r="PAU5" s="3404"/>
      <c r="PAV5" s="3404"/>
      <c r="PAW5" s="3404"/>
      <c r="PAX5" s="3404"/>
      <c r="PAY5" s="3404"/>
      <c r="PAZ5" s="3404"/>
      <c r="PBA5" s="3404"/>
      <c r="PBB5" s="3404"/>
      <c r="PBC5" s="3404"/>
      <c r="PBD5" s="3404"/>
      <c r="PBE5" s="3404"/>
      <c r="PBF5" s="3404"/>
      <c r="PBG5" s="3404"/>
      <c r="PBH5" s="3404"/>
      <c r="PBI5" s="3404"/>
      <c r="PBJ5" s="3404"/>
      <c r="PBK5" s="3404"/>
      <c r="PBL5" s="3404"/>
      <c r="PBM5" s="3404"/>
      <c r="PBN5" s="3404"/>
      <c r="PBO5" s="3404"/>
      <c r="PBP5" s="3404"/>
      <c r="PBQ5" s="3404"/>
      <c r="PBR5" s="3404"/>
      <c r="PBS5" s="3404"/>
      <c r="PBT5" s="3404"/>
      <c r="PBU5" s="3404"/>
      <c r="PBV5" s="3404"/>
      <c r="PBW5" s="3404"/>
      <c r="PBX5" s="3404"/>
      <c r="PBY5" s="3404"/>
      <c r="PBZ5" s="3404"/>
      <c r="PCA5" s="3404"/>
      <c r="PCB5" s="3404"/>
      <c r="PCC5" s="3404"/>
      <c r="PCD5" s="3404"/>
      <c r="PCE5" s="3404"/>
      <c r="PCF5" s="3404"/>
      <c r="PCG5" s="3404"/>
      <c r="PCH5" s="3404"/>
      <c r="PCI5" s="3404"/>
      <c r="PCJ5" s="3404"/>
      <c r="PCK5" s="3404"/>
      <c r="PCL5" s="3404"/>
      <c r="PCM5" s="3404"/>
      <c r="PCN5" s="3404"/>
      <c r="PCO5" s="3404"/>
      <c r="PCP5" s="3404"/>
      <c r="PCQ5" s="3404"/>
      <c r="PCR5" s="3404"/>
      <c r="PCS5" s="3404"/>
      <c r="PCT5" s="3404"/>
      <c r="PCU5" s="3404"/>
      <c r="PCV5" s="3404"/>
      <c r="PCW5" s="3404"/>
      <c r="PCX5" s="3404"/>
      <c r="PCY5" s="3404"/>
      <c r="PCZ5" s="3404"/>
      <c r="PDA5" s="3404"/>
      <c r="PDB5" s="3404"/>
      <c r="PDC5" s="3404"/>
      <c r="PDD5" s="3404"/>
      <c r="PDE5" s="3404"/>
      <c r="PDF5" s="3404"/>
      <c r="PDG5" s="3404"/>
      <c r="PDH5" s="3404"/>
      <c r="PDI5" s="3404"/>
      <c r="PDJ5" s="3404"/>
      <c r="PDK5" s="3404"/>
      <c r="PDL5" s="3404"/>
      <c r="PDM5" s="3404"/>
      <c r="PDN5" s="3404"/>
      <c r="PDO5" s="3404"/>
      <c r="PDP5" s="3404"/>
      <c r="PDQ5" s="3404"/>
      <c r="PDR5" s="3404"/>
      <c r="PDS5" s="3404"/>
      <c r="PDT5" s="3404"/>
      <c r="PDU5" s="3404"/>
      <c r="PDV5" s="3404"/>
      <c r="PDW5" s="3404"/>
      <c r="PDX5" s="3404"/>
      <c r="PDY5" s="3404"/>
      <c r="PDZ5" s="3404"/>
      <c r="PEA5" s="3404"/>
      <c r="PEB5" s="3404"/>
      <c r="PEC5" s="3404"/>
      <c r="PED5" s="3404"/>
      <c r="PEE5" s="3404"/>
      <c r="PEF5" s="3404"/>
      <c r="PEG5" s="3404"/>
      <c r="PEH5" s="3404"/>
      <c r="PEI5" s="3404"/>
      <c r="PEJ5" s="3404"/>
      <c r="PEK5" s="3404"/>
      <c r="PEL5" s="3404"/>
      <c r="PEM5" s="3404"/>
      <c r="PEN5" s="3404"/>
      <c r="PEO5" s="3404"/>
      <c r="PEP5" s="3404"/>
      <c r="PEQ5" s="3404"/>
      <c r="PER5" s="3404"/>
      <c r="PES5" s="3404"/>
      <c r="PET5" s="3404"/>
      <c r="PEU5" s="3404"/>
      <c r="PEV5" s="3404"/>
      <c r="PEW5" s="3404"/>
      <c r="PEX5" s="3404"/>
      <c r="PEY5" s="3404"/>
      <c r="PEZ5" s="3404"/>
      <c r="PFA5" s="3404"/>
      <c r="PFB5" s="3404"/>
      <c r="PFC5" s="3404"/>
      <c r="PFD5" s="3404"/>
      <c r="PFE5" s="3404"/>
      <c r="PFF5" s="3404"/>
      <c r="PFG5" s="3404"/>
      <c r="PFH5" s="3404"/>
      <c r="PFI5" s="3404"/>
      <c r="PFJ5" s="3404"/>
      <c r="PFK5" s="3404"/>
      <c r="PFL5" s="3404"/>
      <c r="PFM5" s="3404"/>
      <c r="PFN5" s="3404"/>
      <c r="PFO5" s="3404"/>
      <c r="PFP5" s="3404"/>
      <c r="PFQ5" s="3404"/>
      <c r="PFR5" s="3404"/>
      <c r="PFS5" s="3404"/>
      <c r="PFT5" s="3404"/>
      <c r="PFU5" s="3404"/>
      <c r="PFV5" s="3404"/>
      <c r="PFW5" s="3404"/>
      <c r="PFX5" s="3404"/>
      <c r="PFY5" s="3404"/>
      <c r="PFZ5" s="3404"/>
      <c r="PGA5" s="3404"/>
      <c r="PGB5" s="3404"/>
      <c r="PGC5" s="3404"/>
      <c r="PGD5" s="3404"/>
      <c r="PGE5" s="3404"/>
      <c r="PGF5" s="3404"/>
      <c r="PGG5" s="3404"/>
      <c r="PGH5" s="3404"/>
      <c r="PGI5" s="3404"/>
      <c r="PGJ5" s="3404"/>
      <c r="PGK5" s="3404"/>
      <c r="PGL5" s="3404"/>
      <c r="PGM5" s="3404"/>
      <c r="PGN5" s="3404"/>
      <c r="PGO5" s="3404"/>
      <c r="PGP5" s="3404"/>
      <c r="PGQ5" s="3404"/>
      <c r="PGR5" s="3404"/>
      <c r="PGS5" s="3404"/>
      <c r="PGT5" s="3404"/>
      <c r="PGU5" s="3404"/>
      <c r="PGV5" s="3404"/>
      <c r="PGW5" s="3404"/>
      <c r="PGX5" s="3404"/>
      <c r="PGY5" s="3404"/>
      <c r="PGZ5" s="3404"/>
      <c r="PHA5" s="3404"/>
      <c r="PHB5" s="3404"/>
      <c r="PHC5" s="3404"/>
      <c r="PHD5" s="3404"/>
      <c r="PHE5" s="3404"/>
      <c r="PHF5" s="3404"/>
      <c r="PHG5" s="3404"/>
      <c r="PHH5" s="3404"/>
      <c r="PHI5" s="3404"/>
      <c r="PHJ5" s="3404"/>
      <c r="PHK5" s="3404"/>
      <c r="PHL5" s="3404"/>
      <c r="PHM5" s="3404"/>
      <c r="PHN5" s="3404"/>
      <c r="PHO5" s="3404"/>
      <c r="PHP5" s="3404"/>
      <c r="PHQ5" s="3404"/>
      <c r="PHR5" s="3404"/>
      <c r="PHS5" s="3404"/>
      <c r="PHT5" s="3404"/>
      <c r="PHU5" s="3404"/>
      <c r="PHV5" s="3404"/>
      <c r="PHW5" s="3404"/>
      <c r="PHX5" s="3404"/>
      <c r="PHY5" s="3404"/>
      <c r="PHZ5" s="3404"/>
      <c r="PIA5" s="3404"/>
      <c r="PIB5" s="3404"/>
      <c r="PIC5" s="3404"/>
      <c r="PID5" s="3404"/>
      <c r="PIE5" s="3404"/>
      <c r="PIF5" s="3404"/>
      <c r="PIG5" s="3404"/>
      <c r="PIH5" s="3404"/>
      <c r="PII5" s="3404"/>
      <c r="PIJ5" s="3404"/>
      <c r="PIK5" s="3404"/>
      <c r="PIL5" s="3404"/>
      <c r="PIM5" s="3404"/>
      <c r="PIN5" s="3404"/>
      <c r="PIO5" s="3404"/>
      <c r="PIP5" s="3404"/>
      <c r="PIQ5" s="3404"/>
      <c r="PIR5" s="3404"/>
      <c r="PIS5" s="3404"/>
      <c r="PIT5" s="3404"/>
      <c r="PIU5" s="3404"/>
      <c r="PIV5" s="3404"/>
      <c r="PIW5" s="3404"/>
      <c r="PIX5" s="3404"/>
      <c r="PIY5" s="3404"/>
      <c r="PIZ5" s="3404"/>
      <c r="PJA5" s="3404"/>
      <c r="PJB5" s="3404"/>
      <c r="PJC5" s="3404"/>
      <c r="PJD5" s="3404"/>
      <c r="PJE5" s="3404"/>
      <c r="PJF5" s="3404"/>
      <c r="PJG5" s="3404"/>
      <c r="PJH5" s="3404"/>
      <c r="PJI5" s="3404"/>
      <c r="PJJ5" s="3404"/>
      <c r="PJK5" s="3404"/>
      <c r="PJL5" s="3404"/>
      <c r="PJM5" s="3404"/>
      <c r="PJN5" s="3404"/>
      <c r="PJO5" s="3404"/>
      <c r="PJP5" s="3404"/>
      <c r="PJQ5" s="3404"/>
      <c r="PJR5" s="3404"/>
      <c r="PJS5" s="3404"/>
      <c r="PJT5" s="3404"/>
      <c r="PJU5" s="3404"/>
      <c r="PJV5" s="3404"/>
      <c r="PJW5" s="3404"/>
      <c r="PJX5" s="3404"/>
      <c r="PJY5" s="3404"/>
      <c r="PJZ5" s="3404"/>
      <c r="PKA5" s="3404"/>
      <c r="PKB5" s="3404"/>
      <c r="PKC5" s="3404"/>
      <c r="PKD5" s="3404"/>
      <c r="PKE5" s="3404"/>
      <c r="PKF5" s="3404"/>
      <c r="PKG5" s="3404"/>
      <c r="PKH5" s="3404"/>
      <c r="PKI5" s="3404"/>
      <c r="PKJ5" s="3404"/>
      <c r="PKK5" s="3404"/>
      <c r="PKL5" s="3404"/>
      <c r="PKM5" s="3404"/>
      <c r="PKN5" s="3404"/>
      <c r="PKO5" s="3404"/>
      <c r="PKP5" s="3404"/>
      <c r="PKQ5" s="3404"/>
      <c r="PKR5" s="3404"/>
      <c r="PKS5" s="3404"/>
      <c r="PKT5" s="3404"/>
      <c r="PKU5" s="3404"/>
      <c r="PKV5" s="3404"/>
      <c r="PKW5" s="3404"/>
      <c r="PKX5" s="3404"/>
      <c r="PKY5" s="3404"/>
      <c r="PKZ5" s="3404"/>
      <c r="PLA5" s="3404"/>
      <c r="PLB5" s="3404"/>
      <c r="PLC5" s="3404"/>
      <c r="PLD5" s="3404"/>
      <c r="PLE5" s="3404"/>
      <c r="PLF5" s="3404"/>
      <c r="PLG5" s="3404"/>
      <c r="PLH5" s="3404"/>
      <c r="PLI5" s="3404"/>
      <c r="PLJ5" s="3404"/>
      <c r="PLK5" s="3404"/>
      <c r="PLL5" s="3404"/>
      <c r="PLM5" s="3404"/>
      <c r="PLN5" s="3404"/>
      <c r="PLO5" s="3404"/>
      <c r="PLP5" s="3404"/>
      <c r="PLQ5" s="3404"/>
      <c r="PLR5" s="3404"/>
      <c r="PLS5" s="3404"/>
      <c r="PLT5" s="3404"/>
      <c r="PLU5" s="3404"/>
      <c r="PLV5" s="3404"/>
      <c r="PLW5" s="3404"/>
      <c r="PLX5" s="3404"/>
      <c r="PLY5" s="3404"/>
      <c r="PLZ5" s="3404"/>
      <c r="PMA5" s="3404"/>
      <c r="PMB5" s="3404"/>
      <c r="PMC5" s="3404"/>
      <c r="PMD5" s="3404"/>
      <c r="PME5" s="3404"/>
      <c r="PMF5" s="3404"/>
      <c r="PMG5" s="3404"/>
      <c r="PMH5" s="3404"/>
      <c r="PMI5" s="3404"/>
      <c r="PMJ5" s="3404"/>
      <c r="PMK5" s="3404"/>
      <c r="PML5" s="3404"/>
      <c r="PMM5" s="3404"/>
      <c r="PMN5" s="3404"/>
      <c r="PMO5" s="3404"/>
      <c r="PMP5" s="3404"/>
      <c r="PMQ5" s="3404"/>
      <c r="PMR5" s="3404"/>
      <c r="PMS5" s="3404"/>
      <c r="PMT5" s="3404"/>
      <c r="PMU5" s="3404"/>
      <c r="PMV5" s="3404"/>
      <c r="PMW5" s="3404"/>
      <c r="PMX5" s="3404"/>
      <c r="PMY5" s="3404"/>
      <c r="PMZ5" s="3404"/>
      <c r="PNA5" s="3404"/>
      <c r="PNB5" s="3404"/>
      <c r="PNC5" s="3404"/>
      <c r="PND5" s="3404"/>
      <c r="PNE5" s="3404"/>
      <c r="PNF5" s="3404"/>
      <c r="PNG5" s="3404"/>
      <c r="PNH5" s="3404"/>
      <c r="PNI5" s="3404"/>
      <c r="PNJ5" s="3404"/>
      <c r="PNK5" s="3404"/>
      <c r="PNL5" s="3404"/>
      <c r="PNM5" s="3404"/>
      <c r="PNN5" s="3404"/>
      <c r="PNO5" s="3404"/>
      <c r="PNP5" s="3404"/>
      <c r="PNQ5" s="3404"/>
      <c r="PNR5" s="3404"/>
      <c r="PNS5" s="3404"/>
      <c r="PNT5" s="3404"/>
      <c r="PNU5" s="3404"/>
      <c r="PNV5" s="3404"/>
      <c r="PNW5" s="3404"/>
      <c r="PNX5" s="3404"/>
      <c r="PNY5" s="3404"/>
      <c r="PNZ5" s="3404"/>
      <c r="POA5" s="3404"/>
      <c r="POB5" s="3404"/>
      <c r="POC5" s="3404"/>
      <c r="POD5" s="3404"/>
      <c r="POE5" s="3404"/>
      <c r="POF5" s="3404"/>
      <c r="POG5" s="3404"/>
      <c r="POH5" s="3404"/>
      <c r="POI5" s="3404"/>
      <c r="POJ5" s="3404"/>
      <c r="POK5" s="3404"/>
      <c r="POL5" s="3404"/>
      <c r="POM5" s="3404"/>
      <c r="PON5" s="3404"/>
      <c r="POO5" s="3404"/>
      <c r="POP5" s="3404"/>
      <c r="POQ5" s="3404"/>
      <c r="POR5" s="3404"/>
      <c r="POS5" s="3404"/>
      <c r="POT5" s="3404"/>
      <c r="POU5" s="3404"/>
      <c r="POV5" s="3404"/>
      <c r="POW5" s="3404"/>
      <c r="POX5" s="3404"/>
      <c r="POY5" s="3404"/>
      <c r="POZ5" s="3404"/>
      <c r="PPA5" s="3404"/>
      <c r="PPB5" s="3404"/>
      <c r="PPC5" s="3404"/>
      <c r="PPD5" s="3404"/>
      <c r="PPE5" s="3404"/>
      <c r="PPF5" s="3404"/>
      <c r="PPG5" s="3404"/>
      <c r="PPH5" s="3404"/>
      <c r="PPI5" s="3404"/>
      <c r="PPJ5" s="3404"/>
      <c r="PPK5" s="3404"/>
      <c r="PPL5" s="3404"/>
      <c r="PPM5" s="3404"/>
      <c r="PPN5" s="3404"/>
      <c r="PPO5" s="3404"/>
      <c r="PPP5" s="3404"/>
      <c r="PPQ5" s="3404"/>
      <c r="PPR5" s="3404"/>
      <c r="PPS5" s="3404"/>
      <c r="PPT5" s="3404"/>
      <c r="PPU5" s="3404"/>
      <c r="PPV5" s="3404"/>
      <c r="PPW5" s="3404"/>
      <c r="PPX5" s="3404"/>
      <c r="PPY5" s="3404"/>
      <c r="PPZ5" s="3404"/>
      <c r="PQA5" s="3404"/>
      <c r="PQB5" s="3404"/>
      <c r="PQC5" s="3404"/>
      <c r="PQD5" s="3404"/>
      <c r="PQE5" s="3404"/>
      <c r="PQF5" s="3404"/>
      <c r="PQG5" s="3404"/>
      <c r="PQH5" s="3404"/>
      <c r="PQI5" s="3404"/>
      <c r="PQJ5" s="3404"/>
      <c r="PQK5" s="3404"/>
      <c r="PQL5" s="3404"/>
      <c r="PQM5" s="3404"/>
      <c r="PQN5" s="3404"/>
      <c r="PQO5" s="3404"/>
      <c r="PQP5" s="3404"/>
      <c r="PQQ5" s="3404"/>
      <c r="PQR5" s="3404"/>
      <c r="PQS5" s="3404"/>
      <c r="PQT5" s="3404"/>
      <c r="PQU5" s="3404"/>
      <c r="PQV5" s="3404"/>
      <c r="PQW5" s="3404"/>
      <c r="PQX5" s="3404"/>
      <c r="PQY5" s="3404"/>
      <c r="PQZ5" s="3404"/>
      <c r="PRA5" s="3404"/>
      <c r="PRB5" s="3404"/>
      <c r="PRC5" s="3404"/>
      <c r="PRD5" s="3404"/>
      <c r="PRE5" s="3404"/>
      <c r="PRF5" s="3404"/>
      <c r="PRG5" s="3404"/>
      <c r="PRH5" s="3404"/>
      <c r="PRI5" s="3404"/>
      <c r="PRJ5" s="3404"/>
      <c r="PRK5" s="3404"/>
      <c r="PRL5" s="3404"/>
      <c r="PRM5" s="3404"/>
      <c r="PRN5" s="3404"/>
      <c r="PRO5" s="3404"/>
      <c r="PRP5" s="3404"/>
      <c r="PRQ5" s="3404"/>
      <c r="PRR5" s="3404"/>
      <c r="PRS5" s="3404"/>
      <c r="PRT5" s="3404"/>
      <c r="PRU5" s="3404"/>
      <c r="PRV5" s="3404"/>
      <c r="PRW5" s="3404"/>
      <c r="PRX5" s="3404"/>
      <c r="PRY5" s="3404"/>
      <c r="PRZ5" s="3404"/>
      <c r="PSA5" s="3404"/>
      <c r="PSB5" s="3404"/>
      <c r="PSC5" s="3404"/>
      <c r="PSD5" s="3404"/>
      <c r="PSE5" s="3404"/>
      <c r="PSF5" s="3404"/>
      <c r="PSG5" s="3404"/>
      <c r="PSH5" s="3404"/>
      <c r="PSI5" s="3404"/>
      <c r="PSJ5" s="3404"/>
      <c r="PSK5" s="3404"/>
      <c r="PSL5" s="3404"/>
      <c r="PSM5" s="3404"/>
      <c r="PSN5" s="3404"/>
      <c r="PSO5" s="3404"/>
      <c r="PSP5" s="3404"/>
      <c r="PSQ5" s="3404"/>
      <c r="PSR5" s="3404"/>
      <c r="PSS5" s="3404"/>
      <c r="PST5" s="3404"/>
      <c r="PSU5" s="3404"/>
      <c r="PSV5" s="3404"/>
      <c r="PSW5" s="3404"/>
      <c r="PSX5" s="3404"/>
      <c r="PSY5" s="3404"/>
      <c r="PSZ5" s="3404"/>
      <c r="PTA5" s="3404"/>
      <c r="PTB5" s="3404"/>
      <c r="PTC5" s="3404"/>
      <c r="PTD5" s="3404"/>
      <c r="PTE5" s="3404"/>
      <c r="PTF5" s="3404"/>
      <c r="PTG5" s="3404"/>
      <c r="PTH5" s="3404"/>
      <c r="PTI5" s="3404"/>
      <c r="PTJ5" s="3404"/>
      <c r="PTK5" s="3404"/>
      <c r="PTL5" s="3404"/>
      <c r="PTM5" s="3404"/>
      <c r="PTN5" s="3404"/>
      <c r="PTO5" s="3404"/>
      <c r="PTP5" s="3404"/>
      <c r="PTQ5" s="3404"/>
      <c r="PTR5" s="3404"/>
      <c r="PTS5" s="3404"/>
      <c r="PTT5" s="3404"/>
      <c r="PTU5" s="3404"/>
      <c r="PTV5" s="3404"/>
      <c r="PTW5" s="3404"/>
      <c r="PTX5" s="3404"/>
      <c r="PTY5" s="3404"/>
      <c r="PTZ5" s="3404"/>
      <c r="PUA5" s="3404"/>
      <c r="PUB5" s="3404"/>
      <c r="PUC5" s="3404"/>
      <c r="PUD5" s="3404"/>
      <c r="PUE5" s="3404"/>
      <c r="PUF5" s="3404"/>
      <c r="PUG5" s="3404"/>
      <c r="PUH5" s="3404"/>
      <c r="PUI5" s="3404"/>
      <c r="PUJ5" s="3404"/>
      <c r="PUK5" s="3404"/>
      <c r="PUL5" s="3404"/>
      <c r="PUM5" s="3404"/>
      <c r="PUN5" s="3404"/>
      <c r="PUO5" s="3404"/>
      <c r="PUP5" s="3404"/>
      <c r="PUQ5" s="3404"/>
      <c r="PUR5" s="3404"/>
      <c r="PUS5" s="3404"/>
      <c r="PUT5" s="3404"/>
      <c r="PUU5" s="3404"/>
      <c r="PUV5" s="3404"/>
      <c r="PUW5" s="3404"/>
      <c r="PUX5" s="3404"/>
      <c r="PUY5" s="3404"/>
      <c r="PUZ5" s="3404"/>
      <c r="PVA5" s="3404"/>
      <c r="PVB5" s="3404"/>
      <c r="PVC5" s="3404"/>
      <c r="PVD5" s="3404"/>
      <c r="PVE5" s="3404"/>
      <c r="PVF5" s="3404"/>
      <c r="PVG5" s="3404"/>
      <c r="PVH5" s="3404"/>
      <c r="PVI5" s="3404"/>
      <c r="PVJ5" s="3404"/>
      <c r="PVK5" s="3404"/>
      <c r="PVL5" s="3404"/>
      <c r="PVM5" s="3404"/>
      <c r="PVN5" s="3404"/>
      <c r="PVO5" s="3404"/>
      <c r="PVP5" s="3404"/>
      <c r="PVQ5" s="3404"/>
      <c r="PVR5" s="3404"/>
      <c r="PVS5" s="3404"/>
      <c r="PVT5" s="3404"/>
      <c r="PVU5" s="3404"/>
      <c r="PVV5" s="3404"/>
      <c r="PVW5" s="3404"/>
      <c r="PVX5" s="3404"/>
      <c r="PVY5" s="3404"/>
      <c r="PVZ5" s="3404"/>
      <c r="PWA5" s="3404"/>
      <c r="PWB5" s="3404"/>
      <c r="PWC5" s="3404"/>
      <c r="PWD5" s="3404"/>
      <c r="PWE5" s="3404"/>
      <c r="PWF5" s="3404"/>
      <c r="PWG5" s="3404"/>
      <c r="PWH5" s="3404"/>
      <c r="PWI5" s="3404"/>
      <c r="PWJ5" s="3404"/>
      <c r="PWK5" s="3404"/>
      <c r="PWL5" s="3404"/>
      <c r="PWM5" s="3404"/>
      <c r="PWN5" s="3404"/>
      <c r="PWO5" s="3404"/>
      <c r="PWP5" s="3404"/>
      <c r="PWQ5" s="3404"/>
      <c r="PWR5" s="3404"/>
      <c r="PWS5" s="3404"/>
      <c r="PWT5" s="3404"/>
      <c r="PWU5" s="3404"/>
      <c r="PWV5" s="3404"/>
      <c r="PWW5" s="3404"/>
      <c r="PWX5" s="3404"/>
      <c r="PWY5" s="3404"/>
      <c r="PWZ5" s="3404"/>
      <c r="PXA5" s="3404"/>
      <c r="PXB5" s="3404"/>
      <c r="PXC5" s="3404"/>
      <c r="PXD5" s="3404"/>
      <c r="PXE5" s="3404"/>
      <c r="PXF5" s="3404"/>
      <c r="PXG5" s="3404"/>
      <c r="PXH5" s="3404"/>
      <c r="PXI5" s="3404"/>
      <c r="PXJ5" s="3404"/>
      <c r="PXK5" s="3404"/>
      <c r="PXL5" s="3404"/>
      <c r="PXM5" s="3404"/>
      <c r="PXN5" s="3404"/>
      <c r="PXO5" s="3404"/>
      <c r="PXP5" s="3404"/>
      <c r="PXQ5" s="3404"/>
      <c r="PXR5" s="3404"/>
      <c r="PXS5" s="3404"/>
      <c r="PXT5" s="3404"/>
      <c r="PXU5" s="3404"/>
      <c r="PXV5" s="3404"/>
      <c r="PXW5" s="3404"/>
      <c r="PXX5" s="3404"/>
      <c r="PXY5" s="3404"/>
      <c r="PXZ5" s="3404"/>
      <c r="PYA5" s="3404"/>
      <c r="PYB5" s="3404"/>
      <c r="PYC5" s="3404"/>
      <c r="PYD5" s="3404"/>
      <c r="PYE5" s="3404"/>
      <c r="PYF5" s="3404"/>
      <c r="PYG5" s="3404"/>
      <c r="PYH5" s="3404"/>
      <c r="PYI5" s="3404"/>
      <c r="PYJ5" s="3404"/>
      <c r="PYK5" s="3404"/>
      <c r="PYL5" s="3404"/>
      <c r="PYM5" s="3404"/>
      <c r="PYN5" s="3404"/>
      <c r="PYO5" s="3404"/>
      <c r="PYP5" s="3404"/>
      <c r="PYQ5" s="3404"/>
      <c r="PYR5" s="3404"/>
      <c r="PYS5" s="3404"/>
      <c r="PYT5" s="3404"/>
      <c r="PYU5" s="3404"/>
      <c r="PYV5" s="3404"/>
      <c r="PYW5" s="3404"/>
      <c r="PYX5" s="3404"/>
      <c r="PYY5" s="3404"/>
      <c r="PYZ5" s="3404"/>
      <c r="PZA5" s="3404"/>
      <c r="PZB5" s="3404"/>
      <c r="PZC5" s="3404"/>
      <c r="PZD5" s="3404"/>
      <c r="PZE5" s="3404"/>
      <c r="PZF5" s="3404"/>
      <c r="PZG5" s="3404"/>
      <c r="PZH5" s="3404"/>
      <c r="PZI5" s="3404"/>
      <c r="PZJ5" s="3404"/>
      <c r="PZK5" s="3404"/>
      <c r="PZL5" s="3404"/>
      <c r="PZM5" s="3404"/>
      <c r="PZN5" s="3404"/>
      <c r="PZO5" s="3404"/>
      <c r="PZP5" s="3404"/>
      <c r="PZQ5" s="3404"/>
      <c r="PZR5" s="3404"/>
      <c r="PZS5" s="3404"/>
      <c r="PZT5" s="3404"/>
      <c r="PZU5" s="3404"/>
      <c r="PZV5" s="3404"/>
      <c r="PZW5" s="3404"/>
      <c r="PZX5" s="3404"/>
      <c r="PZY5" s="3404"/>
      <c r="PZZ5" s="3404"/>
      <c r="QAA5" s="3404"/>
      <c r="QAB5" s="3404"/>
      <c r="QAC5" s="3404"/>
      <c r="QAD5" s="3404"/>
      <c r="QAE5" s="3404"/>
      <c r="QAF5" s="3404"/>
      <c r="QAG5" s="3404"/>
      <c r="QAH5" s="3404"/>
      <c r="QAI5" s="3404"/>
      <c r="QAJ5" s="3404"/>
      <c r="QAK5" s="3404"/>
      <c r="QAL5" s="3404"/>
      <c r="QAM5" s="3404"/>
      <c r="QAN5" s="3404"/>
      <c r="QAO5" s="3404"/>
      <c r="QAP5" s="3404"/>
      <c r="QAQ5" s="3404"/>
      <c r="QAR5" s="3404"/>
      <c r="QAS5" s="3404"/>
      <c r="QAT5" s="3404"/>
      <c r="QAU5" s="3404"/>
      <c r="QAV5" s="3404"/>
      <c r="QAW5" s="3404"/>
      <c r="QAX5" s="3404"/>
      <c r="QAY5" s="3404"/>
      <c r="QAZ5" s="3404"/>
      <c r="QBA5" s="3404"/>
      <c r="QBB5" s="3404"/>
      <c r="QBC5" s="3404"/>
      <c r="QBD5" s="3404"/>
      <c r="QBE5" s="3404"/>
      <c r="QBF5" s="3404"/>
      <c r="QBG5" s="3404"/>
      <c r="QBH5" s="3404"/>
      <c r="QBI5" s="3404"/>
      <c r="QBJ5" s="3404"/>
      <c r="QBK5" s="3404"/>
      <c r="QBL5" s="3404"/>
      <c r="QBM5" s="3404"/>
      <c r="QBN5" s="3404"/>
      <c r="QBO5" s="3404"/>
      <c r="QBP5" s="3404"/>
      <c r="QBQ5" s="3404"/>
      <c r="QBR5" s="3404"/>
      <c r="QBS5" s="3404"/>
      <c r="QBT5" s="3404"/>
      <c r="QBU5" s="3404"/>
      <c r="QBV5" s="3404"/>
      <c r="QBW5" s="3404"/>
      <c r="QBX5" s="3404"/>
      <c r="QBY5" s="3404"/>
      <c r="QBZ5" s="3404"/>
      <c r="QCA5" s="3404"/>
      <c r="QCB5" s="3404"/>
      <c r="QCC5" s="3404"/>
      <c r="QCD5" s="3404"/>
      <c r="QCE5" s="3404"/>
      <c r="QCF5" s="3404"/>
      <c r="QCG5" s="3404"/>
      <c r="QCH5" s="3404"/>
      <c r="QCI5" s="3404"/>
      <c r="QCJ5" s="3404"/>
      <c r="QCK5" s="3404"/>
      <c r="QCL5" s="3404"/>
      <c r="QCM5" s="3404"/>
      <c r="QCN5" s="3404"/>
      <c r="QCO5" s="3404"/>
      <c r="QCP5" s="3404"/>
      <c r="QCQ5" s="3404"/>
      <c r="QCR5" s="3404"/>
      <c r="QCS5" s="3404"/>
      <c r="QCT5" s="3404"/>
      <c r="QCU5" s="3404"/>
      <c r="QCV5" s="3404"/>
      <c r="QCW5" s="3404"/>
      <c r="QCX5" s="3404"/>
      <c r="QCY5" s="3404"/>
      <c r="QCZ5" s="3404"/>
      <c r="QDA5" s="3404"/>
      <c r="QDB5" s="3404"/>
      <c r="QDC5" s="3404"/>
      <c r="QDD5" s="3404"/>
      <c r="QDE5" s="3404"/>
      <c r="QDF5" s="3404"/>
      <c r="QDG5" s="3404"/>
      <c r="QDH5" s="3404"/>
      <c r="QDI5" s="3404"/>
      <c r="QDJ5" s="3404"/>
      <c r="QDK5" s="3404"/>
      <c r="QDL5" s="3404"/>
      <c r="QDM5" s="3404"/>
      <c r="QDN5" s="3404"/>
      <c r="QDO5" s="3404"/>
      <c r="QDP5" s="3404"/>
      <c r="QDQ5" s="3404"/>
      <c r="QDR5" s="3404"/>
      <c r="QDS5" s="3404"/>
      <c r="QDT5" s="3404"/>
      <c r="QDU5" s="3404"/>
      <c r="QDV5" s="3404"/>
      <c r="QDW5" s="3404"/>
      <c r="QDX5" s="3404"/>
      <c r="QDY5" s="3404"/>
      <c r="QDZ5" s="3404"/>
      <c r="QEA5" s="3404"/>
      <c r="QEB5" s="3404"/>
      <c r="QEC5" s="3404"/>
      <c r="QED5" s="3404"/>
      <c r="QEE5" s="3404"/>
      <c r="QEF5" s="3404"/>
      <c r="QEG5" s="3404"/>
      <c r="QEH5" s="3404"/>
      <c r="QEI5" s="3404"/>
      <c r="QEJ5" s="3404"/>
      <c r="QEK5" s="3404"/>
      <c r="QEL5" s="3404"/>
      <c r="QEM5" s="3404"/>
      <c r="QEN5" s="3404"/>
      <c r="QEO5" s="3404"/>
      <c r="QEP5" s="3404"/>
      <c r="QEQ5" s="3404"/>
      <c r="QER5" s="3404"/>
      <c r="QES5" s="3404"/>
      <c r="QET5" s="3404"/>
      <c r="QEU5" s="3404"/>
      <c r="QEV5" s="3404"/>
      <c r="QEW5" s="3404"/>
      <c r="QEX5" s="3404"/>
      <c r="QEY5" s="3404"/>
      <c r="QEZ5" s="3404"/>
      <c r="QFA5" s="3404"/>
      <c r="QFB5" s="3404"/>
      <c r="QFC5" s="3404"/>
      <c r="QFD5" s="3404"/>
      <c r="QFE5" s="3404"/>
      <c r="QFF5" s="3404"/>
      <c r="QFG5" s="3404"/>
      <c r="QFH5" s="3404"/>
      <c r="QFI5" s="3404"/>
      <c r="QFJ5" s="3404"/>
      <c r="QFK5" s="3404"/>
      <c r="QFL5" s="3404"/>
      <c r="QFM5" s="3404"/>
      <c r="QFN5" s="3404"/>
      <c r="QFO5" s="3404"/>
      <c r="QFP5" s="3404"/>
      <c r="QFQ5" s="3404"/>
      <c r="QFR5" s="3404"/>
      <c r="QFS5" s="3404"/>
      <c r="QFT5" s="3404"/>
      <c r="QFU5" s="3404"/>
      <c r="QFV5" s="3404"/>
      <c r="QFW5" s="3404"/>
      <c r="QFX5" s="3404"/>
      <c r="QFY5" s="3404"/>
      <c r="QFZ5" s="3404"/>
      <c r="QGA5" s="3404"/>
      <c r="QGB5" s="3404"/>
      <c r="QGC5" s="3404"/>
      <c r="QGD5" s="3404"/>
      <c r="QGE5" s="3404"/>
      <c r="QGF5" s="3404"/>
      <c r="QGG5" s="3404"/>
      <c r="QGH5" s="3404"/>
      <c r="QGI5" s="3404"/>
      <c r="QGJ5" s="3404"/>
      <c r="QGK5" s="3404"/>
      <c r="QGL5" s="3404"/>
      <c r="QGM5" s="3404"/>
      <c r="QGN5" s="3404"/>
      <c r="QGO5" s="3404"/>
      <c r="QGP5" s="3404"/>
      <c r="QGQ5" s="3404"/>
      <c r="QGR5" s="3404"/>
      <c r="QGS5" s="3404"/>
      <c r="QGT5" s="3404"/>
      <c r="QGU5" s="3404"/>
      <c r="QGV5" s="3404"/>
      <c r="QGW5" s="3404"/>
      <c r="QGX5" s="3404"/>
      <c r="QGY5" s="3404"/>
      <c r="QGZ5" s="3404"/>
      <c r="QHA5" s="3404"/>
      <c r="QHB5" s="3404"/>
      <c r="QHC5" s="3404"/>
      <c r="QHD5" s="3404"/>
      <c r="QHE5" s="3404"/>
      <c r="QHF5" s="3404"/>
      <c r="QHG5" s="3404"/>
      <c r="QHH5" s="3404"/>
      <c r="QHI5" s="3404"/>
      <c r="QHJ5" s="3404"/>
      <c r="QHK5" s="3404"/>
      <c r="QHL5" s="3404"/>
      <c r="QHM5" s="3404"/>
      <c r="QHN5" s="3404"/>
      <c r="QHO5" s="3404"/>
      <c r="QHP5" s="3404"/>
      <c r="QHQ5" s="3404"/>
      <c r="QHR5" s="3404"/>
      <c r="QHS5" s="3404"/>
      <c r="QHT5" s="3404"/>
      <c r="QHU5" s="3404"/>
      <c r="QHV5" s="3404"/>
      <c r="QHW5" s="3404"/>
      <c r="QHX5" s="3404"/>
      <c r="QHY5" s="3404"/>
      <c r="QHZ5" s="3404"/>
      <c r="QIA5" s="3404"/>
      <c r="QIB5" s="3404"/>
      <c r="QIC5" s="3404"/>
      <c r="QID5" s="3404"/>
      <c r="QIE5" s="3404"/>
      <c r="QIF5" s="3404"/>
      <c r="QIG5" s="3404"/>
      <c r="QIH5" s="3404"/>
      <c r="QII5" s="3404"/>
      <c r="QIJ5" s="3404"/>
      <c r="QIK5" s="3404"/>
      <c r="QIL5" s="3404"/>
      <c r="QIM5" s="3404"/>
      <c r="QIN5" s="3404"/>
      <c r="QIO5" s="3404"/>
      <c r="QIP5" s="3404"/>
      <c r="QIQ5" s="3404"/>
      <c r="QIR5" s="3404"/>
      <c r="QIS5" s="3404"/>
      <c r="QIT5" s="3404"/>
      <c r="QIU5" s="3404"/>
      <c r="QIV5" s="3404"/>
      <c r="QIW5" s="3404"/>
      <c r="QIX5" s="3404"/>
      <c r="QIY5" s="3404"/>
      <c r="QIZ5" s="3404"/>
      <c r="QJA5" s="3404"/>
      <c r="QJB5" s="3404"/>
      <c r="QJC5" s="3404"/>
      <c r="QJD5" s="3404"/>
      <c r="QJE5" s="3404"/>
      <c r="QJF5" s="3404"/>
      <c r="QJG5" s="3404"/>
      <c r="QJH5" s="3404"/>
      <c r="QJI5" s="3404"/>
      <c r="QJJ5" s="3404"/>
      <c r="QJK5" s="3404"/>
      <c r="QJL5" s="3404"/>
      <c r="QJM5" s="3404"/>
      <c r="QJN5" s="3404"/>
      <c r="QJO5" s="3404"/>
      <c r="QJP5" s="3404"/>
      <c r="QJQ5" s="3404"/>
      <c r="QJR5" s="3404"/>
      <c r="QJS5" s="3404"/>
      <c r="QJT5" s="3404"/>
      <c r="QJU5" s="3404"/>
      <c r="QJV5" s="3404"/>
      <c r="QJW5" s="3404"/>
      <c r="QJX5" s="3404"/>
      <c r="QJY5" s="3404"/>
      <c r="QJZ5" s="3404"/>
      <c r="QKA5" s="3404"/>
      <c r="QKB5" s="3404"/>
      <c r="QKC5" s="3404"/>
      <c r="QKD5" s="3404"/>
      <c r="QKE5" s="3404"/>
      <c r="QKF5" s="3404"/>
      <c r="QKG5" s="3404"/>
      <c r="QKH5" s="3404"/>
      <c r="QKI5" s="3404"/>
      <c r="QKJ5" s="3404"/>
      <c r="QKK5" s="3404"/>
      <c r="QKL5" s="3404"/>
      <c r="QKM5" s="3404"/>
      <c r="QKN5" s="3404"/>
      <c r="QKO5" s="3404"/>
      <c r="QKP5" s="3404"/>
      <c r="QKQ5" s="3404"/>
      <c r="QKR5" s="3404"/>
      <c r="QKS5" s="3404"/>
      <c r="QKT5" s="3404"/>
      <c r="QKU5" s="3404"/>
      <c r="QKV5" s="3404"/>
      <c r="QKW5" s="3404"/>
      <c r="QKX5" s="3404"/>
      <c r="QKY5" s="3404"/>
      <c r="QKZ5" s="3404"/>
      <c r="QLA5" s="3404"/>
      <c r="QLB5" s="3404"/>
      <c r="QLC5" s="3404"/>
      <c r="QLD5" s="3404"/>
      <c r="QLE5" s="3404"/>
      <c r="QLF5" s="3404"/>
      <c r="QLG5" s="3404"/>
      <c r="QLH5" s="3404"/>
      <c r="QLI5" s="3404"/>
      <c r="QLJ5" s="3404"/>
      <c r="QLK5" s="3404"/>
      <c r="QLL5" s="3404"/>
      <c r="QLM5" s="3404"/>
      <c r="QLN5" s="3404"/>
      <c r="QLO5" s="3404"/>
      <c r="QLP5" s="3404"/>
      <c r="QLQ5" s="3404"/>
      <c r="QLR5" s="3404"/>
      <c r="QLS5" s="3404"/>
      <c r="QLT5" s="3404"/>
      <c r="QLU5" s="3404"/>
      <c r="QLV5" s="3404"/>
      <c r="QLW5" s="3404"/>
      <c r="QLX5" s="3404"/>
      <c r="QLY5" s="3404"/>
      <c r="QLZ5" s="3404"/>
      <c r="QMA5" s="3404"/>
      <c r="QMB5" s="3404"/>
      <c r="QMC5" s="3404"/>
      <c r="QMD5" s="3404"/>
      <c r="QME5" s="3404"/>
      <c r="QMF5" s="3404"/>
      <c r="QMG5" s="3404"/>
      <c r="QMH5" s="3404"/>
      <c r="QMI5" s="3404"/>
      <c r="QMJ5" s="3404"/>
      <c r="QMK5" s="3404"/>
      <c r="QML5" s="3404"/>
      <c r="QMM5" s="3404"/>
      <c r="QMN5" s="3404"/>
      <c r="QMO5" s="3404"/>
      <c r="QMP5" s="3404"/>
      <c r="QMQ5" s="3404"/>
      <c r="QMR5" s="3404"/>
      <c r="QMS5" s="3404"/>
      <c r="QMT5" s="3404"/>
      <c r="QMU5" s="3404"/>
      <c r="QMV5" s="3404"/>
      <c r="QMW5" s="3404"/>
      <c r="QMX5" s="3404"/>
      <c r="QMY5" s="3404"/>
      <c r="QMZ5" s="3404"/>
      <c r="QNA5" s="3404"/>
      <c r="QNB5" s="3404"/>
      <c r="QNC5" s="3404"/>
      <c r="QND5" s="3404"/>
      <c r="QNE5" s="3404"/>
      <c r="QNF5" s="3404"/>
      <c r="QNG5" s="3404"/>
      <c r="QNH5" s="3404"/>
      <c r="QNI5" s="3404"/>
      <c r="QNJ5" s="3404"/>
      <c r="QNK5" s="3404"/>
      <c r="QNL5" s="3404"/>
      <c r="QNM5" s="3404"/>
      <c r="QNN5" s="3404"/>
      <c r="QNO5" s="3404"/>
      <c r="QNP5" s="3404"/>
      <c r="QNQ5" s="3404"/>
      <c r="QNR5" s="3404"/>
      <c r="QNS5" s="3404"/>
      <c r="QNT5" s="3404"/>
      <c r="QNU5" s="3404"/>
      <c r="QNV5" s="3404"/>
      <c r="QNW5" s="3404"/>
      <c r="QNX5" s="3404"/>
      <c r="QNY5" s="3404"/>
      <c r="QNZ5" s="3404"/>
      <c r="QOA5" s="3404"/>
      <c r="QOB5" s="3404"/>
      <c r="QOC5" s="3404"/>
      <c r="QOD5" s="3404"/>
      <c r="QOE5" s="3404"/>
      <c r="QOF5" s="3404"/>
      <c r="QOG5" s="3404"/>
      <c r="QOH5" s="3404"/>
      <c r="QOI5" s="3404"/>
      <c r="QOJ5" s="3404"/>
      <c r="QOK5" s="3404"/>
      <c r="QOL5" s="3404"/>
      <c r="QOM5" s="3404"/>
      <c r="QON5" s="3404"/>
      <c r="QOO5" s="3404"/>
      <c r="QOP5" s="3404"/>
      <c r="QOQ5" s="3404"/>
      <c r="QOR5" s="3404"/>
      <c r="QOS5" s="3404"/>
      <c r="QOT5" s="3404"/>
      <c r="QOU5" s="3404"/>
      <c r="QOV5" s="3404"/>
      <c r="QOW5" s="3404"/>
      <c r="QOX5" s="3404"/>
      <c r="QOY5" s="3404"/>
      <c r="QOZ5" s="3404"/>
      <c r="QPA5" s="3404"/>
      <c r="QPB5" s="3404"/>
      <c r="QPC5" s="3404"/>
      <c r="QPD5" s="3404"/>
      <c r="QPE5" s="3404"/>
      <c r="QPF5" s="3404"/>
      <c r="QPG5" s="3404"/>
      <c r="QPH5" s="3404"/>
      <c r="QPI5" s="3404"/>
      <c r="QPJ5" s="3404"/>
      <c r="QPK5" s="3404"/>
      <c r="QPL5" s="3404"/>
      <c r="QPM5" s="3404"/>
      <c r="QPN5" s="3404"/>
      <c r="QPO5" s="3404"/>
      <c r="QPP5" s="3404"/>
      <c r="QPQ5" s="3404"/>
      <c r="QPR5" s="3404"/>
      <c r="QPS5" s="3404"/>
      <c r="QPT5" s="3404"/>
      <c r="QPU5" s="3404"/>
      <c r="QPV5" s="3404"/>
      <c r="QPW5" s="3404"/>
      <c r="QPX5" s="3404"/>
      <c r="QPY5" s="3404"/>
      <c r="QPZ5" s="3404"/>
      <c r="QQA5" s="3404"/>
      <c r="QQB5" s="3404"/>
      <c r="QQC5" s="3404"/>
      <c r="QQD5" s="3404"/>
      <c r="QQE5" s="3404"/>
      <c r="QQF5" s="3404"/>
      <c r="QQG5" s="3404"/>
      <c r="QQH5" s="3404"/>
      <c r="QQI5" s="3404"/>
      <c r="QQJ5" s="3404"/>
      <c r="QQK5" s="3404"/>
      <c r="QQL5" s="3404"/>
      <c r="QQM5" s="3404"/>
      <c r="QQN5" s="3404"/>
      <c r="QQO5" s="3404"/>
      <c r="QQP5" s="3404"/>
      <c r="QQQ5" s="3404"/>
      <c r="QQR5" s="3404"/>
      <c r="QQS5" s="3404"/>
      <c r="QQT5" s="3404"/>
      <c r="QQU5" s="3404"/>
      <c r="QQV5" s="3404"/>
      <c r="QQW5" s="3404"/>
      <c r="QQX5" s="3404"/>
      <c r="QQY5" s="3404"/>
      <c r="QQZ5" s="3404"/>
      <c r="QRA5" s="3404"/>
      <c r="QRB5" s="3404"/>
      <c r="QRC5" s="3404"/>
      <c r="QRD5" s="3404"/>
      <c r="QRE5" s="3404"/>
      <c r="QRF5" s="3404"/>
      <c r="QRG5" s="3404"/>
      <c r="QRH5" s="3404"/>
      <c r="QRI5" s="3404"/>
      <c r="QRJ5" s="3404"/>
      <c r="QRK5" s="3404"/>
      <c r="QRL5" s="3404"/>
      <c r="QRM5" s="3404"/>
      <c r="QRN5" s="3404"/>
      <c r="QRO5" s="3404"/>
      <c r="QRP5" s="3404"/>
      <c r="QRQ5" s="3404"/>
      <c r="QRR5" s="3404"/>
      <c r="QRS5" s="3404"/>
      <c r="QRT5" s="3404"/>
      <c r="QRU5" s="3404"/>
      <c r="QRV5" s="3404"/>
      <c r="QRW5" s="3404"/>
      <c r="QRX5" s="3404"/>
      <c r="QRY5" s="3404"/>
      <c r="QRZ5" s="3404"/>
      <c r="QSA5" s="3404"/>
      <c r="QSB5" s="3404"/>
      <c r="QSC5" s="3404"/>
      <c r="QSD5" s="3404"/>
      <c r="QSE5" s="3404"/>
      <c r="QSF5" s="3404"/>
      <c r="QSG5" s="3404"/>
      <c r="QSH5" s="3404"/>
      <c r="QSI5" s="3404"/>
      <c r="QSJ5" s="3404"/>
      <c r="QSK5" s="3404"/>
      <c r="QSL5" s="3404"/>
      <c r="QSM5" s="3404"/>
      <c r="QSN5" s="3404"/>
      <c r="QSO5" s="3404"/>
      <c r="QSP5" s="3404"/>
      <c r="QSQ5" s="3404"/>
      <c r="QSR5" s="3404"/>
      <c r="QSS5" s="3404"/>
      <c r="QST5" s="3404"/>
      <c r="QSU5" s="3404"/>
      <c r="QSV5" s="3404"/>
      <c r="QSW5" s="3404"/>
      <c r="QSX5" s="3404"/>
      <c r="QSY5" s="3404"/>
      <c r="QSZ5" s="3404"/>
      <c r="QTA5" s="3404"/>
      <c r="QTB5" s="3404"/>
      <c r="QTC5" s="3404"/>
      <c r="QTD5" s="3404"/>
      <c r="QTE5" s="3404"/>
      <c r="QTF5" s="3404"/>
      <c r="QTG5" s="3404"/>
      <c r="QTH5" s="3404"/>
      <c r="QTI5" s="3404"/>
      <c r="QTJ5" s="3404"/>
      <c r="QTK5" s="3404"/>
      <c r="QTL5" s="3404"/>
      <c r="QTM5" s="3404"/>
      <c r="QTN5" s="3404"/>
      <c r="QTO5" s="3404"/>
      <c r="QTP5" s="3404"/>
      <c r="QTQ5" s="3404"/>
      <c r="QTR5" s="3404"/>
      <c r="QTS5" s="3404"/>
      <c r="QTT5" s="3404"/>
      <c r="QTU5" s="3404"/>
      <c r="QTV5" s="3404"/>
      <c r="QTW5" s="3404"/>
      <c r="QTX5" s="3404"/>
      <c r="QTY5" s="3404"/>
      <c r="QTZ5" s="3404"/>
      <c r="QUA5" s="3404"/>
      <c r="QUB5" s="3404"/>
      <c r="QUC5" s="3404"/>
      <c r="QUD5" s="3404"/>
      <c r="QUE5" s="3404"/>
      <c r="QUF5" s="3404"/>
      <c r="QUG5" s="3404"/>
      <c r="QUH5" s="3404"/>
      <c r="QUI5" s="3404"/>
      <c r="QUJ5" s="3404"/>
      <c r="QUK5" s="3404"/>
      <c r="QUL5" s="3404"/>
      <c r="QUM5" s="3404"/>
      <c r="QUN5" s="3404"/>
      <c r="QUO5" s="3404"/>
      <c r="QUP5" s="3404"/>
      <c r="QUQ5" s="3404"/>
      <c r="QUR5" s="3404"/>
      <c r="QUS5" s="3404"/>
      <c r="QUT5" s="3404"/>
      <c r="QUU5" s="3404"/>
      <c r="QUV5" s="3404"/>
      <c r="QUW5" s="3404"/>
      <c r="QUX5" s="3404"/>
      <c r="QUY5" s="3404"/>
      <c r="QUZ5" s="3404"/>
      <c r="QVA5" s="3404"/>
      <c r="QVB5" s="3404"/>
      <c r="QVC5" s="3404"/>
      <c r="QVD5" s="3404"/>
      <c r="QVE5" s="3404"/>
      <c r="QVF5" s="3404"/>
      <c r="QVG5" s="3404"/>
      <c r="QVH5" s="3404"/>
      <c r="QVI5" s="3404"/>
      <c r="QVJ5" s="3404"/>
      <c r="QVK5" s="3404"/>
      <c r="QVL5" s="3404"/>
      <c r="QVM5" s="3404"/>
      <c r="QVN5" s="3404"/>
      <c r="QVO5" s="3404"/>
      <c r="QVP5" s="3404"/>
      <c r="QVQ5" s="3404"/>
      <c r="QVR5" s="3404"/>
      <c r="QVS5" s="3404"/>
      <c r="QVT5" s="3404"/>
      <c r="QVU5" s="3404"/>
      <c r="QVV5" s="3404"/>
      <c r="QVW5" s="3404"/>
      <c r="QVX5" s="3404"/>
      <c r="QVY5" s="3404"/>
      <c r="QVZ5" s="3404"/>
      <c r="QWA5" s="3404"/>
      <c r="QWB5" s="3404"/>
      <c r="QWC5" s="3404"/>
      <c r="QWD5" s="3404"/>
      <c r="QWE5" s="3404"/>
      <c r="QWF5" s="3404"/>
      <c r="QWG5" s="3404"/>
      <c r="QWH5" s="3404"/>
      <c r="QWI5" s="3404"/>
      <c r="QWJ5" s="3404"/>
      <c r="QWK5" s="3404"/>
      <c r="QWL5" s="3404"/>
      <c r="QWM5" s="3404"/>
      <c r="QWN5" s="3404"/>
      <c r="QWO5" s="3404"/>
      <c r="QWP5" s="3404"/>
      <c r="QWQ5" s="3404"/>
      <c r="QWR5" s="3404"/>
      <c r="QWS5" s="3404"/>
      <c r="QWT5" s="3404"/>
      <c r="QWU5" s="3404"/>
      <c r="QWV5" s="3404"/>
      <c r="QWW5" s="3404"/>
      <c r="QWX5" s="3404"/>
      <c r="QWY5" s="3404"/>
      <c r="QWZ5" s="3404"/>
      <c r="QXA5" s="3404"/>
      <c r="QXB5" s="3404"/>
      <c r="QXC5" s="3404"/>
      <c r="QXD5" s="3404"/>
      <c r="QXE5" s="3404"/>
      <c r="QXF5" s="3404"/>
      <c r="QXG5" s="3404"/>
      <c r="QXH5" s="3404"/>
      <c r="QXI5" s="3404"/>
      <c r="QXJ5" s="3404"/>
      <c r="QXK5" s="3404"/>
      <c r="QXL5" s="3404"/>
      <c r="QXM5" s="3404"/>
      <c r="QXN5" s="3404"/>
      <c r="QXO5" s="3404"/>
      <c r="QXP5" s="3404"/>
      <c r="QXQ5" s="3404"/>
      <c r="QXR5" s="3404"/>
      <c r="QXS5" s="3404"/>
      <c r="QXT5" s="3404"/>
      <c r="QXU5" s="3404"/>
      <c r="QXV5" s="3404"/>
      <c r="QXW5" s="3404"/>
      <c r="QXX5" s="3404"/>
      <c r="QXY5" s="3404"/>
      <c r="QXZ5" s="3404"/>
      <c r="QYA5" s="3404"/>
      <c r="QYB5" s="3404"/>
      <c r="QYC5" s="3404"/>
      <c r="QYD5" s="3404"/>
      <c r="QYE5" s="3404"/>
      <c r="QYF5" s="3404"/>
      <c r="QYG5" s="3404"/>
      <c r="QYH5" s="3404"/>
      <c r="QYI5" s="3404"/>
      <c r="QYJ5" s="3404"/>
      <c r="QYK5" s="3404"/>
      <c r="QYL5" s="3404"/>
      <c r="QYM5" s="3404"/>
      <c r="QYN5" s="3404"/>
      <c r="QYO5" s="3404"/>
      <c r="QYP5" s="3404"/>
      <c r="QYQ5" s="3404"/>
      <c r="QYR5" s="3404"/>
      <c r="QYS5" s="3404"/>
      <c r="QYT5" s="3404"/>
      <c r="QYU5" s="3404"/>
      <c r="QYV5" s="3404"/>
      <c r="QYW5" s="3404"/>
      <c r="QYX5" s="3404"/>
      <c r="QYY5" s="3404"/>
      <c r="QYZ5" s="3404"/>
      <c r="QZA5" s="3404"/>
      <c r="QZB5" s="3404"/>
      <c r="QZC5" s="3404"/>
      <c r="QZD5" s="3404"/>
      <c r="QZE5" s="3404"/>
      <c r="QZF5" s="3404"/>
      <c r="QZG5" s="3404"/>
      <c r="QZH5" s="3404"/>
      <c r="QZI5" s="3404"/>
      <c r="QZJ5" s="3404"/>
      <c r="QZK5" s="3404"/>
      <c r="QZL5" s="3404"/>
      <c r="QZM5" s="3404"/>
      <c r="QZN5" s="3404"/>
      <c r="QZO5" s="3404"/>
      <c r="QZP5" s="3404"/>
      <c r="QZQ5" s="3404"/>
      <c r="QZR5" s="3404"/>
      <c r="QZS5" s="3404"/>
      <c r="QZT5" s="3404"/>
      <c r="QZU5" s="3404"/>
      <c r="QZV5" s="3404"/>
      <c r="QZW5" s="3404"/>
      <c r="QZX5" s="3404"/>
      <c r="QZY5" s="3404"/>
      <c r="QZZ5" s="3404"/>
      <c r="RAA5" s="3404"/>
      <c r="RAB5" s="3404"/>
      <c r="RAC5" s="3404"/>
      <c r="RAD5" s="3404"/>
      <c r="RAE5" s="3404"/>
      <c r="RAF5" s="3404"/>
      <c r="RAG5" s="3404"/>
      <c r="RAH5" s="3404"/>
      <c r="RAI5" s="3404"/>
      <c r="RAJ5" s="3404"/>
      <c r="RAK5" s="3404"/>
      <c r="RAL5" s="3404"/>
      <c r="RAM5" s="3404"/>
      <c r="RAN5" s="3404"/>
      <c r="RAO5" s="3404"/>
      <c r="RAP5" s="3404"/>
      <c r="RAQ5" s="3404"/>
      <c r="RAR5" s="3404"/>
      <c r="RAS5" s="3404"/>
      <c r="RAT5" s="3404"/>
      <c r="RAU5" s="3404"/>
      <c r="RAV5" s="3404"/>
      <c r="RAW5" s="3404"/>
      <c r="RAX5" s="3404"/>
      <c r="RAY5" s="3404"/>
      <c r="RAZ5" s="3404"/>
      <c r="RBA5" s="3404"/>
      <c r="RBB5" s="3404"/>
      <c r="RBC5" s="3404"/>
      <c r="RBD5" s="3404"/>
      <c r="RBE5" s="3404"/>
      <c r="RBF5" s="3404"/>
      <c r="RBG5" s="3404"/>
      <c r="RBH5" s="3404"/>
      <c r="RBI5" s="3404"/>
      <c r="RBJ5" s="3404"/>
      <c r="RBK5" s="3404"/>
      <c r="RBL5" s="3404"/>
      <c r="RBM5" s="3404"/>
      <c r="RBN5" s="3404"/>
      <c r="RBO5" s="3404"/>
      <c r="RBP5" s="3404"/>
      <c r="RBQ5" s="3404"/>
      <c r="RBR5" s="3404"/>
      <c r="RBS5" s="3404"/>
      <c r="RBT5" s="3404"/>
      <c r="RBU5" s="3404"/>
      <c r="RBV5" s="3404"/>
      <c r="RBW5" s="3404"/>
      <c r="RBX5" s="3404"/>
      <c r="RBY5" s="3404"/>
      <c r="RBZ5" s="3404"/>
      <c r="RCA5" s="3404"/>
      <c r="RCB5" s="3404"/>
      <c r="RCC5" s="3404"/>
      <c r="RCD5" s="3404"/>
      <c r="RCE5" s="3404"/>
      <c r="RCF5" s="3404"/>
      <c r="RCG5" s="3404"/>
      <c r="RCH5" s="3404"/>
      <c r="RCI5" s="3404"/>
      <c r="RCJ5" s="3404"/>
      <c r="RCK5" s="3404"/>
      <c r="RCL5" s="3404"/>
      <c r="RCM5" s="3404"/>
      <c r="RCN5" s="3404"/>
      <c r="RCO5" s="3404"/>
      <c r="RCP5" s="3404"/>
      <c r="RCQ5" s="3404"/>
      <c r="RCR5" s="3404"/>
      <c r="RCS5" s="3404"/>
      <c r="RCT5" s="3404"/>
      <c r="RCU5" s="3404"/>
      <c r="RCV5" s="3404"/>
      <c r="RCW5" s="3404"/>
      <c r="RCX5" s="3404"/>
      <c r="RCY5" s="3404"/>
      <c r="RCZ5" s="3404"/>
      <c r="RDA5" s="3404"/>
      <c r="RDB5" s="3404"/>
      <c r="RDC5" s="3404"/>
      <c r="RDD5" s="3404"/>
      <c r="RDE5" s="3404"/>
      <c r="RDF5" s="3404"/>
      <c r="RDG5" s="3404"/>
      <c r="RDH5" s="3404"/>
      <c r="RDI5" s="3404"/>
      <c r="RDJ5" s="3404"/>
      <c r="RDK5" s="3404"/>
      <c r="RDL5" s="3404"/>
      <c r="RDM5" s="3404"/>
      <c r="RDN5" s="3404"/>
      <c r="RDO5" s="3404"/>
      <c r="RDP5" s="3404"/>
      <c r="RDQ5" s="3404"/>
      <c r="RDR5" s="3404"/>
      <c r="RDS5" s="3404"/>
      <c r="RDT5" s="3404"/>
      <c r="RDU5" s="3404"/>
      <c r="RDV5" s="3404"/>
      <c r="RDW5" s="3404"/>
      <c r="RDX5" s="3404"/>
      <c r="RDY5" s="3404"/>
      <c r="RDZ5" s="3404"/>
      <c r="REA5" s="3404"/>
      <c r="REB5" s="3404"/>
      <c r="REC5" s="3404"/>
      <c r="RED5" s="3404"/>
      <c r="REE5" s="3404"/>
      <c r="REF5" s="3404"/>
      <c r="REG5" s="3404"/>
      <c r="REH5" s="3404"/>
      <c r="REI5" s="3404"/>
      <c r="REJ5" s="3404"/>
      <c r="REK5" s="3404"/>
      <c r="REL5" s="3404"/>
      <c r="REM5" s="3404"/>
      <c r="REN5" s="3404"/>
      <c r="REO5" s="3404"/>
      <c r="REP5" s="3404"/>
      <c r="REQ5" s="3404"/>
      <c r="RER5" s="3404"/>
      <c r="RES5" s="3404"/>
      <c r="RET5" s="3404"/>
      <c r="REU5" s="3404"/>
      <c r="REV5" s="3404"/>
      <c r="REW5" s="3404"/>
      <c r="REX5" s="3404"/>
      <c r="REY5" s="3404"/>
      <c r="REZ5" s="3404"/>
      <c r="RFA5" s="3404"/>
      <c r="RFB5" s="3404"/>
      <c r="RFC5" s="3404"/>
      <c r="RFD5" s="3404"/>
      <c r="RFE5" s="3404"/>
      <c r="RFF5" s="3404"/>
      <c r="RFG5" s="3404"/>
      <c r="RFH5" s="3404"/>
      <c r="RFI5" s="3404"/>
      <c r="RFJ5" s="3404"/>
      <c r="RFK5" s="3404"/>
      <c r="RFL5" s="3404"/>
      <c r="RFM5" s="3404"/>
      <c r="RFN5" s="3404"/>
      <c r="RFO5" s="3404"/>
      <c r="RFP5" s="3404"/>
      <c r="RFQ5" s="3404"/>
      <c r="RFR5" s="3404"/>
      <c r="RFS5" s="3404"/>
      <c r="RFT5" s="3404"/>
      <c r="RFU5" s="3404"/>
      <c r="RFV5" s="3404"/>
      <c r="RFW5" s="3404"/>
      <c r="RFX5" s="3404"/>
      <c r="RFY5" s="3404"/>
      <c r="RFZ5" s="3404"/>
      <c r="RGA5" s="3404"/>
      <c r="RGB5" s="3404"/>
      <c r="RGC5" s="3404"/>
      <c r="RGD5" s="3404"/>
      <c r="RGE5" s="3404"/>
      <c r="RGF5" s="3404"/>
      <c r="RGG5" s="3404"/>
      <c r="RGH5" s="3404"/>
      <c r="RGI5" s="3404"/>
      <c r="RGJ5" s="3404"/>
      <c r="RGK5" s="3404"/>
      <c r="RGL5" s="3404"/>
      <c r="RGM5" s="3404"/>
      <c r="RGN5" s="3404"/>
      <c r="RGO5" s="3404"/>
      <c r="RGP5" s="3404"/>
      <c r="RGQ5" s="3404"/>
      <c r="RGR5" s="3404"/>
      <c r="RGS5" s="3404"/>
      <c r="RGT5" s="3404"/>
      <c r="RGU5" s="3404"/>
      <c r="RGV5" s="3404"/>
      <c r="RGW5" s="3404"/>
      <c r="RGX5" s="3404"/>
      <c r="RGY5" s="3404"/>
      <c r="RGZ5" s="3404"/>
      <c r="RHA5" s="3404"/>
      <c r="RHB5" s="3404"/>
      <c r="RHC5" s="3404"/>
      <c r="RHD5" s="3404"/>
      <c r="RHE5" s="3404"/>
      <c r="RHF5" s="3404"/>
      <c r="RHG5" s="3404"/>
      <c r="RHH5" s="3404"/>
      <c r="RHI5" s="3404"/>
      <c r="RHJ5" s="3404"/>
      <c r="RHK5" s="3404"/>
      <c r="RHL5" s="3404"/>
      <c r="RHM5" s="3404"/>
      <c r="RHN5" s="3404"/>
      <c r="RHO5" s="3404"/>
      <c r="RHP5" s="3404"/>
      <c r="RHQ5" s="3404"/>
      <c r="RHR5" s="3404"/>
      <c r="RHS5" s="3404"/>
      <c r="RHT5" s="3404"/>
      <c r="RHU5" s="3404"/>
      <c r="RHV5" s="3404"/>
      <c r="RHW5" s="3404"/>
      <c r="RHX5" s="3404"/>
      <c r="RHY5" s="3404"/>
      <c r="RHZ5" s="3404"/>
      <c r="RIA5" s="3404"/>
      <c r="RIB5" s="3404"/>
      <c r="RIC5" s="3404"/>
      <c r="RID5" s="3404"/>
      <c r="RIE5" s="3404"/>
      <c r="RIF5" s="3404"/>
      <c r="RIG5" s="3404"/>
      <c r="RIH5" s="3404"/>
      <c r="RII5" s="3404"/>
      <c r="RIJ5" s="3404"/>
      <c r="RIK5" s="3404"/>
      <c r="RIL5" s="3404"/>
      <c r="RIM5" s="3404"/>
      <c r="RIN5" s="3404"/>
      <c r="RIO5" s="3404"/>
      <c r="RIP5" s="3404"/>
      <c r="RIQ5" s="3404"/>
      <c r="RIR5" s="3404"/>
      <c r="RIS5" s="3404"/>
      <c r="RIT5" s="3404"/>
      <c r="RIU5" s="3404"/>
      <c r="RIV5" s="3404"/>
      <c r="RIW5" s="3404"/>
      <c r="RIX5" s="3404"/>
      <c r="RIY5" s="3404"/>
      <c r="RIZ5" s="3404"/>
      <c r="RJA5" s="3404"/>
      <c r="RJB5" s="3404"/>
      <c r="RJC5" s="3404"/>
      <c r="RJD5" s="3404"/>
      <c r="RJE5" s="3404"/>
      <c r="RJF5" s="3404"/>
      <c r="RJG5" s="3404"/>
      <c r="RJH5" s="3404"/>
      <c r="RJI5" s="3404"/>
      <c r="RJJ5" s="3404"/>
      <c r="RJK5" s="3404"/>
      <c r="RJL5" s="3404"/>
      <c r="RJM5" s="3404"/>
      <c r="RJN5" s="3404"/>
      <c r="RJO5" s="3404"/>
      <c r="RJP5" s="3404"/>
      <c r="RJQ5" s="3404"/>
      <c r="RJR5" s="3404"/>
      <c r="RJS5" s="3404"/>
      <c r="RJT5" s="3404"/>
      <c r="RJU5" s="3404"/>
      <c r="RJV5" s="3404"/>
      <c r="RJW5" s="3404"/>
      <c r="RJX5" s="3404"/>
      <c r="RJY5" s="3404"/>
      <c r="RJZ5" s="3404"/>
      <c r="RKA5" s="3404"/>
      <c r="RKB5" s="3404"/>
      <c r="RKC5" s="3404"/>
      <c r="RKD5" s="3404"/>
      <c r="RKE5" s="3404"/>
      <c r="RKF5" s="3404"/>
      <c r="RKG5" s="3404"/>
      <c r="RKH5" s="3404"/>
      <c r="RKI5" s="3404"/>
      <c r="RKJ5" s="3404"/>
      <c r="RKK5" s="3404"/>
      <c r="RKL5" s="3404"/>
      <c r="RKM5" s="3404"/>
      <c r="RKN5" s="3404"/>
      <c r="RKO5" s="3404"/>
      <c r="RKP5" s="3404"/>
      <c r="RKQ5" s="3404"/>
      <c r="RKR5" s="3404"/>
      <c r="RKS5" s="3404"/>
      <c r="RKT5" s="3404"/>
      <c r="RKU5" s="3404"/>
      <c r="RKV5" s="3404"/>
      <c r="RKW5" s="3404"/>
      <c r="RKX5" s="3404"/>
      <c r="RKY5" s="3404"/>
      <c r="RKZ5" s="3404"/>
      <c r="RLA5" s="3404"/>
      <c r="RLB5" s="3404"/>
      <c r="RLC5" s="3404"/>
      <c r="RLD5" s="3404"/>
      <c r="RLE5" s="3404"/>
      <c r="RLF5" s="3404"/>
      <c r="RLG5" s="3404"/>
      <c r="RLH5" s="3404"/>
      <c r="RLI5" s="3404"/>
      <c r="RLJ5" s="3404"/>
      <c r="RLK5" s="3404"/>
      <c r="RLL5" s="3404"/>
      <c r="RLM5" s="3404"/>
      <c r="RLN5" s="3404"/>
      <c r="RLO5" s="3404"/>
      <c r="RLP5" s="3404"/>
      <c r="RLQ5" s="3404"/>
      <c r="RLR5" s="3404"/>
      <c r="RLS5" s="3404"/>
      <c r="RLT5" s="3404"/>
      <c r="RLU5" s="3404"/>
      <c r="RLV5" s="3404"/>
      <c r="RLW5" s="3404"/>
      <c r="RLX5" s="3404"/>
      <c r="RLY5" s="3404"/>
      <c r="RLZ5" s="3404"/>
      <c r="RMA5" s="3404"/>
      <c r="RMB5" s="3404"/>
      <c r="RMC5" s="3404"/>
      <c r="RMD5" s="3404"/>
      <c r="RME5" s="3404"/>
      <c r="RMF5" s="3404"/>
      <c r="RMG5" s="3404"/>
      <c r="RMH5" s="3404"/>
      <c r="RMI5" s="3404"/>
      <c r="RMJ5" s="3404"/>
      <c r="RMK5" s="3404"/>
      <c r="RML5" s="3404"/>
      <c r="RMM5" s="3404"/>
      <c r="RMN5" s="3404"/>
      <c r="RMO5" s="3404"/>
      <c r="RMP5" s="3404"/>
      <c r="RMQ5" s="3404"/>
      <c r="RMR5" s="3404"/>
      <c r="RMS5" s="3404"/>
      <c r="RMT5" s="3404"/>
      <c r="RMU5" s="3404"/>
      <c r="RMV5" s="3404"/>
      <c r="RMW5" s="3404"/>
      <c r="RMX5" s="3404"/>
      <c r="RMY5" s="3404"/>
      <c r="RMZ5" s="3404"/>
      <c r="RNA5" s="3404"/>
      <c r="RNB5" s="3404"/>
      <c r="RNC5" s="3404"/>
      <c r="RND5" s="3404"/>
      <c r="RNE5" s="3404"/>
      <c r="RNF5" s="3404"/>
      <c r="RNG5" s="3404"/>
      <c r="RNH5" s="3404"/>
      <c r="RNI5" s="3404"/>
      <c r="RNJ5" s="3404"/>
      <c r="RNK5" s="3404"/>
      <c r="RNL5" s="3404"/>
      <c r="RNM5" s="3404"/>
      <c r="RNN5" s="3404"/>
      <c r="RNO5" s="3404"/>
      <c r="RNP5" s="3404"/>
      <c r="RNQ5" s="3404"/>
      <c r="RNR5" s="3404"/>
      <c r="RNS5" s="3404"/>
      <c r="RNT5" s="3404"/>
      <c r="RNU5" s="3404"/>
      <c r="RNV5" s="3404"/>
      <c r="RNW5" s="3404"/>
      <c r="RNX5" s="3404"/>
      <c r="RNY5" s="3404"/>
      <c r="RNZ5" s="3404"/>
      <c r="ROA5" s="3404"/>
      <c r="ROB5" s="3404"/>
      <c r="ROC5" s="3404"/>
      <c r="ROD5" s="3404"/>
      <c r="ROE5" s="3404"/>
      <c r="ROF5" s="3404"/>
      <c r="ROG5" s="3404"/>
      <c r="ROH5" s="3404"/>
      <c r="ROI5" s="3404"/>
      <c r="ROJ5" s="3404"/>
      <c r="ROK5" s="3404"/>
      <c r="ROL5" s="3404"/>
      <c r="ROM5" s="3404"/>
      <c r="RON5" s="3404"/>
      <c r="ROO5" s="3404"/>
      <c r="ROP5" s="3404"/>
      <c r="ROQ5" s="3404"/>
      <c r="ROR5" s="3404"/>
      <c r="ROS5" s="3404"/>
      <c r="ROT5" s="3404"/>
      <c r="ROU5" s="3404"/>
      <c r="ROV5" s="3404"/>
      <c r="ROW5" s="3404"/>
      <c r="ROX5" s="3404"/>
      <c r="ROY5" s="3404"/>
      <c r="ROZ5" s="3404"/>
      <c r="RPA5" s="3404"/>
      <c r="RPB5" s="3404"/>
      <c r="RPC5" s="3404"/>
      <c r="RPD5" s="3404"/>
      <c r="RPE5" s="3404"/>
      <c r="RPF5" s="3404"/>
      <c r="RPG5" s="3404"/>
      <c r="RPH5" s="3404"/>
      <c r="RPI5" s="3404"/>
      <c r="RPJ5" s="3404"/>
      <c r="RPK5" s="3404"/>
      <c r="RPL5" s="3404"/>
      <c r="RPM5" s="3404"/>
      <c r="RPN5" s="3404"/>
      <c r="RPO5" s="3404"/>
      <c r="RPP5" s="3404"/>
      <c r="RPQ5" s="3404"/>
      <c r="RPR5" s="3404"/>
      <c r="RPS5" s="3404"/>
      <c r="RPT5" s="3404"/>
      <c r="RPU5" s="3404"/>
      <c r="RPV5" s="3404"/>
      <c r="RPW5" s="3404"/>
      <c r="RPX5" s="3404"/>
      <c r="RPY5" s="3404"/>
      <c r="RPZ5" s="3404"/>
      <c r="RQA5" s="3404"/>
      <c r="RQB5" s="3404"/>
      <c r="RQC5" s="3404"/>
      <c r="RQD5" s="3404"/>
      <c r="RQE5" s="3404"/>
      <c r="RQF5" s="3404"/>
      <c r="RQG5" s="3404"/>
      <c r="RQH5" s="3404"/>
      <c r="RQI5" s="3404"/>
      <c r="RQJ5" s="3404"/>
      <c r="RQK5" s="3404"/>
      <c r="RQL5" s="3404"/>
      <c r="RQM5" s="3404"/>
      <c r="RQN5" s="3404"/>
      <c r="RQO5" s="3404"/>
      <c r="RQP5" s="3404"/>
      <c r="RQQ5" s="3404"/>
      <c r="RQR5" s="3404"/>
      <c r="RQS5" s="3404"/>
      <c r="RQT5" s="3404"/>
      <c r="RQU5" s="3404"/>
      <c r="RQV5" s="3404"/>
      <c r="RQW5" s="3404"/>
      <c r="RQX5" s="3404"/>
      <c r="RQY5" s="3404"/>
      <c r="RQZ5" s="3404"/>
      <c r="RRA5" s="3404"/>
      <c r="RRB5" s="3404"/>
      <c r="RRC5" s="3404"/>
      <c r="RRD5" s="3404"/>
      <c r="RRE5" s="3404"/>
      <c r="RRF5" s="3404"/>
      <c r="RRG5" s="3404"/>
      <c r="RRH5" s="3404"/>
      <c r="RRI5" s="3404"/>
      <c r="RRJ5" s="3404"/>
      <c r="RRK5" s="3404"/>
      <c r="RRL5" s="3404"/>
      <c r="RRM5" s="3404"/>
      <c r="RRN5" s="3404"/>
      <c r="RRO5" s="3404"/>
      <c r="RRP5" s="3404"/>
      <c r="RRQ5" s="3404"/>
      <c r="RRR5" s="3404"/>
      <c r="RRS5" s="3404"/>
      <c r="RRT5" s="3404"/>
      <c r="RRU5" s="3404"/>
      <c r="RRV5" s="3404"/>
      <c r="RRW5" s="3404"/>
      <c r="RRX5" s="3404"/>
      <c r="RRY5" s="3404"/>
      <c r="RRZ5" s="3404"/>
      <c r="RSA5" s="3404"/>
      <c r="RSB5" s="3404"/>
      <c r="RSC5" s="3404"/>
      <c r="RSD5" s="3404"/>
      <c r="RSE5" s="3404"/>
      <c r="RSF5" s="3404"/>
      <c r="RSG5" s="3404"/>
      <c r="RSH5" s="3404"/>
      <c r="RSI5" s="3404"/>
      <c r="RSJ5" s="3404"/>
      <c r="RSK5" s="3404"/>
      <c r="RSL5" s="3404"/>
      <c r="RSM5" s="3404"/>
      <c r="RSN5" s="3404"/>
      <c r="RSO5" s="3404"/>
      <c r="RSP5" s="3404"/>
      <c r="RSQ5" s="3404"/>
      <c r="RSR5" s="3404"/>
      <c r="RSS5" s="3404"/>
      <c r="RST5" s="3404"/>
      <c r="RSU5" s="3404"/>
      <c r="RSV5" s="3404"/>
      <c r="RSW5" s="3404"/>
      <c r="RSX5" s="3404"/>
      <c r="RSY5" s="3404"/>
      <c r="RSZ5" s="3404"/>
      <c r="RTA5" s="3404"/>
      <c r="RTB5" s="3404"/>
      <c r="RTC5" s="3404"/>
      <c r="RTD5" s="3404"/>
      <c r="RTE5" s="3404"/>
      <c r="RTF5" s="3404"/>
      <c r="RTG5" s="3404"/>
      <c r="RTH5" s="3404"/>
      <c r="RTI5" s="3404"/>
      <c r="RTJ5" s="3404"/>
      <c r="RTK5" s="3404"/>
      <c r="RTL5" s="3404"/>
      <c r="RTM5" s="3404"/>
      <c r="RTN5" s="3404"/>
      <c r="RTO5" s="3404"/>
      <c r="RTP5" s="3404"/>
      <c r="RTQ5" s="3404"/>
      <c r="RTR5" s="3404"/>
      <c r="RTS5" s="3404"/>
      <c r="RTT5" s="3404"/>
      <c r="RTU5" s="3404"/>
      <c r="RTV5" s="3404"/>
      <c r="RTW5" s="3404"/>
      <c r="RTX5" s="3404"/>
      <c r="RTY5" s="3404"/>
      <c r="RTZ5" s="3404"/>
      <c r="RUA5" s="3404"/>
      <c r="RUB5" s="3404"/>
      <c r="RUC5" s="3404"/>
      <c r="RUD5" s="3404"/>
      <c r="RUE5" s="3404"/>
      <c r="RUF5" s="3404"/>
      <c r="RUG5" s="3404"/>
      <c r="RUH5" s="3404"/>
      <c r="RUI5" s="3404"/>
      <c r="RUJ5" s="3404"/>
      <c r="RUK5" s="3404"/>
      <c r="RUL5" s="3404"/>
      <c r="RUM5" s="3404"/>
      <c r="RUN5" s="3404"/>
      <c r="RUO5" s="3404"/>
      <c r="RUP5" s="3404"/>
      <c r="RUQ5" s="3404"/>
      <c r="RUR5" s="3404"/>
      <c r="RUS5" s="3404"/>
      <c r="RUT5" s="3404"/>
      <c r="RUU5" s="3404"/>
      <c r="RUV5" s="3404"/>
      <c r="RUW5" s="3404"/>
      <c r="RUX5" s="3404"/>
      <c r="RUY5" s="3404"/>
      <c r="RUZ5" s="3404"/>
      <c r="RVA5" s="3404"/>
      <c r="RVB5" s="3404"/>
      <c r="RVC5" s="3404"/>
      <c r="RVD5" s="3404"/>
      <c r="RVE5" s="3404"/>
      <c r="RVF5" s="3404"/>
      <c r="RVG5" s="3404"/>
      <c r="RVH5" s="3404"/>
      <c r="RVI5" s="3404"/>
      <c r="RVJ5" s="3404"/>
      <c r="RVK5" s="3404"/>
      <c r="RVL5" s="3404"/>
      <c r="RVM5" s="3404"/>
      <c r="RVN5" s="3404"/>
      <c r="RVO5" s="3404"/>
      <c r="RVP5" s="3404"/>
      <c r="RVQ5" s="3404"/>
      <c r="RVR5" s="3404"/>
      <c r="RVS5" s="3404"/>
      <c r="RVT5" s="3404"/>
      <c r="RVU5" s="3404"/>
      <c r="RVV5" s="3404"/>
      <c r="RVW5" s="3404"/>
      <c r="RVX5" s="3404"/>
      <c r="RVY5" s="3404"/>
      <c r="RVZ5" s="3404"/>
      <c r="RWA5" s="3404"/>
      <c r="RWB5" s="3404"/>
      <c r="RWC5" s="3404"/>
      <c r="RWD5" s="3404"/>
      <c r="RWE5" s="3404"/>
      <c r="RWF5" s="3404"/>
      <c r="RWG5" s="3404"/>
      <c r="RWH5" s="3404"/>
      <c r="RWI5" s="3404"/>
      <c r="RWJ5" s="3404"/>
      <c r="RWK5" s="3404"/>
      <c r="RWL5" s="3404"/>
      <c r="RWM5" s="3404"/>
      <c r="RWN5" s="3404"/>
      <c r="RWO5" s="3404"/>
      <c r="RWP5" s="3404"/>
      <c r="RWQ5" s="3404"/>
      <c r="RWR5" s="3404"/>
      <c r="RWS5" s="3404"/>
      <c r="RWT5" s="3404"/>
      <c r="RWU5" s="3404"/>
      <c r="RWV5" s="3404"/>
      <c r="RWW5" s="3404"/>
      <c r="RWX5" s="3404"/>
      <c r="RWY5" s="3404"/>
      <c r="RWZ5" s="3404"/>
      <c r="RXA5" s="3404"/>
      <c r="RXB5" s="3404"/>
      <c r="RXC5" s="3404"/>
      <c r="RXD5" s="3404"/>
      <c r="RXE5" s="3404"/>
      <c r="RXF5" s="3404"/>
      <c r="RXG5" s="3404"/>
      <c r="RXH5" s="3404"/>
      <c r="RXI5" s="3404"/>
      <c r="RXJ5" s="3404"/>
      <c r="RXK5" s="3404"/>
      <c r="RXL5" s="3404"/>
      <c r="RXM5" s="3404"/>
      <c r="RXN5" s="3404"/>
      <c r="RXO5" s="3404"/>
      <c r="RXP5" s="3404"/>
      <c r="RXQ5" s="3404"/>
      <c r="RXR5" s="3404"/>
      <c r="RXS5" s="3404"/>
      <c r="RXT5" s="3404"/>
      <c r="RXU5" s="3404"/>
      <c r="RXV5" s="3404"/>
      <c r="RXW5" s="3404"/>
      <c r="RXX5" s="3404"/>
      <c r="RXY5" s="3404"/>
      <c r="RXZ5" s="3404"/>
      <c r="RYA5" s="3404"/>
      <c r="RYB5" s="3404"/>
      <c r="RYC5" s="3404"/>
      <c r="RYD5" s="3404"/>
      <c r="RYE5" s="3404"/>
      <c r="RYF5" s="3404"/>
      <c r="RYG5" s="3404"/>
      <c r="RYH5" s="3404"/>
      <c r="RYI5" s="3404"/>
      <c r="RYJ5" s="3404"/>
      <c r="RYK5" s="3404"/>
      <c r="RYL5" s="3404"/>
      <c r="RYM5" s="3404"/>
      <c r="RYN5" s="3404"/>
      <c r="RYO5" s="3404"/>
      <c r="RYP5" s="3404"/>
      <c r="RYQ5" s="3404"/>
      <c r="RYR5" s="3404"/>
      <c r="RYS5" s="3404"/>
      <c r="RYT5" s="3404"/>
      <c r="RYU5" s="3404"/>
      <c r="RYV5" s="3404"/>
      <c r="RYW5" s="3404"/>
      <c r="RYX5" s="3404"/>
      <c r="RYY5" s="3404"/>
      <c r="RYZ5" s="3404"/>
      <c r="RZA5" s="3404"/>
      <c r="RZB5" s="3404"/>
      <c r="RZC5" s="3404"/>
      <c r="RZD5" s="3404"/>
      <c r="RZE5" s="3404"/>
      <c r="RZF5" s="3404"/>
      <c r="RZG5" s="3404"/>
      <c r="RZH5" s="3404"/>
      <c r="RZI5" s="3404"/>
      <c r="RZJ5" s="3404"/>
      <c r="RZK5" s="3404"/>
      <c r="RZL5" s="3404"/>
      <c r="RZM5" s="3404"/>
      <c r="RZN5" s="3404"/>
      <c r="RZO5" s="3404"/>
      <c r="RZP5" s="3404"/>
      <c r="RZQ5" s="3404"/>
      <c r="RZR5" s="3404"/>
      <c r="RZS5" s="3404"/>
      <c r="RZT5" s="3404"/>
      <c r="RZU5" s="3404"/>
      <c r="RZV5" s="3404"/>
      <c r="RZW5" s="3404"/>
      <c r="RZX5" s="3404"/>
      <c r="RZY5" s="3404"/>
      <c r="RZZ5" s="3404"/>
      <c r="SAA5" s="3404"/>
      <c r="SAB5" s="3404"/>
      <c r="SAC5" s="3404"/>
      <c r="SAD5" s="3404"/>
      <c r="SAE5" s="3404"/>
      <c r="SAF5" s="3404"/>
      <c r="SAG5" s="3404"/>
      <c r="SAH5" s="3404"/>
      <c r="SAI5" s="3404"/>
      <c r="SAJ5" s="3404"/>
      <c r="SAK5" s="3404"/>
      <c r="SAL5" s="3404"/>
      <c r="SAM5" s="3404"/>
      <c r="SAN5" s="3404"/>
      <c r="SAO5" s="3404"/>
      <c r="SAP5" s="3404"/>
      <c r="SAQ5" s="3404"/>
      <c r="SAR5" s="3404"/>
      <c r="SAS5" s="3404"/>
      <c r="SAT5" s="3404"/>
      <c r="SAU5" s="3404"/>
      <c r="SAV5" s="3404"/>
      <c r="SAW5" s="3404"/>
      <c r="SAX5" s="3404"/>
      <c r="SAY5" s="3404"/>
      <c r="SAZ5" s="3404"/>
      <c r="SBA5" s="3404"/>
      <c r="SBB5" s="3404"/>
      <c r="SBC5" s="3404"/>
      <c r="SBD5" s="3404"/>
      <c r="SBE5" s="3404"/>
      <c r="SBF5" s="3404"/>
      <c r="SBG5" s="3404"/>
      <c r="SBH5" s="3404"/>
      <c r="SBI5" s="3404"/>
      <c r="SBJ5" s="3404"/>
      <c r="SBK5" s="3404"/>
      <c r="SBL5" s="3404"/>
      <c r="SBM5" s="3404"/>
      <c r="SBN5" s="3404"/>
      <c r="SBO5" s="3404"/>
      <c r="SBP5" s="3404"/>
      <c r="SBQ5" s="3404"/>
      <c r="SBR5" s="3404"/>
      <c r="SBS5" s="3404"/>
      <c r="SBT5" s="3404"/>
      <c r="SBU5" s="3404"/>
      <c r="SBV5" s="3404"/>
      <c r="SBW5" s="3404"/>
      <c r="SBX5" s="3404"/>
      <c r="SBY5" s="3404"/>
      <c r="SBZ5" s="3404"/>
      <c r="SCA5" s="3404"/>
      <c r="SCB5" s="3404"/>
      <c r="SCC5" s="3404"/>
      <c r="SCD5" s="3404"/>
      <c r="SCE5" s="3404"/>
      <c r="SCF5" s="3404"/>
      <c r="SCG5" s="3404"/>
      <c r="SCH5" s="3404"/>
      <c r="SCI5" s="3404"/>
      <c r="SCJ5" s="3404"/>
      <c r="SCK5" s="3404"/>
      <c r="SCL5" s="3404"/>
      <c r="SCM5" s="3404"/>
      <c r="SCN5" s="3404"/>
      <c r="SCO5" s="3404"/>
      <c r="SCP5" s="3404"/>
      <c r="SCQ5" s="3404"/>
      <c r="SCR5" s="3404"/>
      <c r="SCS5" s="3404"/>
      <c r="SCT5" s="3404"/>
      <c r="SCU5" s="3404"/>
      <c r="SCV5" s="3404"/>
      <c r="SCW5" s="3404"/>
      <c r="SCX5" s="3404"/>
      <c r="SCY5" s="3404"/>
      <c r="SCZ5" s="3404"/>
      <c r="SDA5" s="3404"/>
      <c r="SDB5" s="3404"/>
      <c r="SDC5" s="3404"/>
      <c r="SDD5" s="3404"/>
      <c r="SDE5" s="3404"/>
      <c r="SDF5" s="3404"/>
      <c r="SDG5" s="3404"/>
      <c r="SDH5" s="3404"/>
      <c r="SDI5" s="3404"/>
      <c r="SDJ5" s="3404"/>
      <c r="SDK5" s="3404"/>
      <c r="SDL5" s="3404"/>
      <c r="SDM5" s="3404"/>
      <c r="SDN5" s="3404"/>
      <c r="SDO5" s="3404"/>
      <c r="SDP5" s="3404"/>
      <c r="SDQ5" s="3404"/>
      <c r="SDR5" s="3404"/>
      <c r="SDS5" s="3404"/>
      <c r="SDT5" s="3404"/>
      <c r="SDU5" s="3404"/>
      <c r="SDV5" s="3404"/>
      <c r="SDW5" s="3404"/>
      <c r="SDX5" s="3404"/>
      <c r="SDY5" s="3404"/>
      <c r="SDZ5" s="3404"/>
      <c r="SEA5" s="3404"/>
      <c r="SEB5" s="3404"/>
      <c r="SEC5" s="3404"/>
      <c r="SED5" s="3404"/>
      <c r="SEE5" s="3404"/>
      <c r="SEF5" s="3404"/>
      <c r="SEG5" s="3404"/>
      <c r="SEH5" s="3404"/>
      <c r="SEI5" s="3404"/>
      <c r="SEJ5" s="3404"/>
      <c r="SEK5" s="3404"/>
      <c r="SEL5" s="3404"/>
      <c r="SEM5" s="3404"/>
      <c r="SEN5" s="3404"/>
      <c r="SEO5" s="3404"/>
      <c r="SEP5" s="3404"/>
      <c r="SEQ5" s="3404"/>
      <c r="SER5" s="3404"/>
      <c r="SES5" s="3404"/>
      <c r="SET5" s="3404"/>
      <c r="SEU5" s="3404"/>
      <c r="SEV5" s="3404"/>
      <c r="SEW5" s="3404"/>
      <c r="SEX5" s="3404"/>
      <c r="SEY5" s="3404"/>
      <c r="SEZ5" s="3404"/>
      <c r="SFA5" s="3404"/>
      <c r="SFB5" s="3404"/>
      <c r="SFC5" s="3404"/>
      <c r="SFD5" s="3404"/>
      <c r="SFE5" s="3404"/>
      <c r="SFF5" s="3404"/>
      <c r="SFG5" s="3404"/>
      <c r="SFH5" s="3404"/>
      <c r="SFI5" s="3404"/>
      <c r="SFJ5" s="3404"/>
      <c r="SFK5" s="3404"/>
      <c r="SFL5" s="3404"/>
      <c r="SFM5" s="3404"/>
      <c r="SFN5" s="3404"/>
      <c r="SFO5" s="3404"/>
      <c r="SFP5" s="3404"/>
      <c r="SFQ5" s="3404"/>
      <c r="SFR5" s="3404"/>
      <c r="SFS5" s="3404"/>
      <c r="SFT5" s="3404"/>
      <c r="SFU5" s="3404"/>
      <c r="SFV5" s="3404"/>
      <c r="SFW5" s="3404"/>
      <c r="SFX5" s="3404"/>
      <c r="SFY5" s="3404"/>
      <c r="SFZ5" s="3404"/>
      <c r="SGA5" s="3404"/>
      <c r="SGB5" s="3404"/>
      <c r="SGC5" s="3404"/>
      <c r="SGD5" s="3404"/>
      <c r="SGE5" s="3404"/>
      <c r="SGF5" s="3404"/>
      <c r="SGG5" s="3404"/>
      <c r="SGH5" s="3404"/>
      <c r="SGI5" s="3404"/>
      <c r="SGJ5" s="3404"/>
      <c r="SGK5" s="3404"/>
      <c r="SGL5" s="3404"/>
      <c r="SGM5" s="3404"/>
      <c r="SGN5" s="3404"/>
      <c r="SGO5" s="3404"/>
      <c r="SGP5" s="3404"/>
      <c r="SGQ5" s="3404"/>
      <c r="SGR5" s="3404"/>
      <c r="SGS5" s="3404"/>
      <c r="SGT5" s="3404"/>
      <c r="SGU5" s="3404"/>
      <c r="SGV5" s="3404"/>
      <c r="SGW5" s="3404"/>
      <c r="SGX5" s="3404"/>
      <c r="SGY5" s="3404"/>
      <c r="SGZ5" s="3404"/>
      <c r="SHA5" s="3404"/>
      <c r="SHB5" s="3404"/>
      <c r="SHC5" s="3404"/>
      <c r="SHD5" s="3404"/>
      <c r="SHE5" s="3404"/>
      <c r="SHF5" s="3404"/>
      <c r="SHG5" s="3404"/>
      <c r="SHH5" s="3404"/>
      <c r="SHI5" s="3404"/>
      <c r="SHJ5" s="3404"/>
      <c r="SHK5" s="3404"/>
      <c r="SHL5" s="3404"/>
      <c r="SHM5" s="3404"/>
      <c r="SHN5" s="3404"/>
      <c r="SHO5" s="3404"/>
      <c r="SHP5" s="3404"/>
      <c r="SHQ5" s="3404"/>
      <c r="SHR5" s="3404"/>
      <c r="SHS5" s="3404"/>
      <c r="SHT5" s="3404"/>
      <c r="SHU5" s="3404"/>
      <c r="SHV5" s="3404"/>
      <c r="SHW5" s="3404"/>
      <c r="SHX5" s="3404"/>
      <c r="SHY5" s="3404"/>
      <c r="SHZ5" s="3404"/>
      <c r="SIA5" s="3404"/>
      <c r="SIB5" s="3404"/>
      <c r="SIC5" s="3404"/>
      <c r="SID5" s="3404"/>
      <c r="SIE5" s="3404"/>
      <c r="SIF5" s="3404"/>
      <c r="SIG5" s="3404"/>
      <c r="SIH5" s="3404"/>
      <c r="SII5" s="3404"/>
      <c r="SIJ5" s="3404"/>
      <c r="SIK5" s="3404"/>
      <c r="SIL5" s="3404"/>
      <c r="SIM5" s="3404"/>
      <c r="SIN5" s="3404"/>
      <c r="SIO5" s="3404"/>
      <c r="SIP5" s="3404"/>
      <c r="SIQ5" s="3404"/>
      <c r="SIR5" s="3404"/>
      <c r="SIS5" s="3404"/>
      <c r="SIT5" s="3404"/>
      <c r="SIU5" s="3404"/>
      <c r="SIV5" s="3404"/>
      <c r="SIW5" s="3404"/>
      <c r="SIX5" s="3404"/>
      <c r="SIY5" s="3404"/>
      <c r="SIZ5" s="3404"/>
      <c r="SJA5" s="3404"/>
      <c r="SJB5" s="3404"/>
      <c r="SJC5" s="3404"/>
      <c r="SJD5" s="3404"/>
      <c r="SJE5" s="3404"/>
      <c r="SJF5" s="3404"/>
      <c r="SJG5" s="3404"/>
      <c r="SJH5" s="3404"/>
      <c r="SJI5" s="3404"/>
      <c r="SJJ5" s="3404"/>
      <c r="SJK5" s="3404"/>
      <c r="SJL5" s="3404"/>
      <c r="SJM5" s="3404"/>
      <c r="SJN5" s="3404"/>
      <c r="SJO5" s="3404"/>
      <c r="SJP5" s="3404"/>
      <c r="SJQ5" s="3404"/>
      <c r="SJR5" s="3404"/>
      <c r="SJS5" s="3404"/>
      <c r="SJT5" s="3404"/>
      <c r="SJU5" s="3404"/>
      <c r="SJV5" s="3404"/>
      <c r="SJW5" s="3404"/>
      <c r="SJX5" s="3404"/>
      <c r="SJY5" s="3404"/>
      <c r="SJZ5" s="3404"/>
      <c r="SKA5" s="3404"/>
      <c r="SKB5" s="3404"/>
      <c r="SKC5" s="3404"/>
      <c r="SKD5" s="3404"/>
      <c r="SKE5" s="3404"/>
      <c r="SKF5" s="3404"/>
      <c r="SKG5" s="3404"/>
      <c r="SKH5" s="3404"/>
      <c r="SKI5" s="3404"/>
      <c r="SKJ5" s="3404"/>
      <c r="SKK5" s="3404"/>
      <c r="SKL5" s="3404"/>
      <c r="SKM5" s="3404"/>
      <c r="SKN5" s="3404"/>
      <c r="SKO5" s="3404"/>
      <c r="SKP5" s="3404"/>
      <c r="SKQ5" s="3404"/>
      <c r="SKR5" s="3404"/>
      <c r="SKS5" s="3404"/>
      <c r="SKT5" s="3404"/>
      <c r="SKU5" s="3404"/>
      <c r="SKV5" s="3404"/>
      <c r="SKW5" s="3404"/>
      <c r="SKX5" s="3404"/>
      <c r="SKY5" s="3404"/>
      <c r="SKZ5" s="3404"/>
      <c r="SLA5" s="3404"/>
      <c r="SLB5" s="3404"/>
      <c r="SLC5" s="3404"/>
      <c r="SLD5" s="3404"/>
      <c r="SLE5" s="3404"/>
      <c r="SLF5" s="3404"/>
      <c r="SLG5" s="3404"/>
      <c r="SLH5" s="3404"/>
      <c r="SLI5" s="3404"/>
      <c r="SLJ5" s="3404"/>
      <c r="SLK5" s="3404"/>
      <c r="SLL5" s="3404"/>
      <c r="SLM5" s="3404"/>
      <c r="SLN5" s="3404"/>
      <c r="SLO5" s="3404"/>
      <c r="SLP5" s="3404"/>
      <c r="SLQ5" s="3404"/>
      <c r="SLR5" s="3404"/>
      <c r="SLS5" s="3404"/>
      <c r="SLT5" s="3404"/>
      <c r="SLU5" s="3404"/>
      <c r="SLV5" s="3404"/>
      <c r="SLW5" s="3404"/>
      <c r="SLX5" s="3404"/>
      <c r="SLY5" s="3404"/>
      <c r="SLZ5" s="3404"/>
      <c r="SMA5" s="3404"/>
      <c r="SMB5" s="3404"/>
      <c r="SMC5" s="3404"/>
      <c r="SMD5" s="3404"/>
      <c r="SME5" s="3404"/>
      <c r="SMF5" s="3404"/>
      <c r="SMG5" s="3404"/>
      <c r="SMH5" s="3404"/>
      <c r="SMI5" s="3404"/>
      <c r="SMJ5" s="3404"/>
      <c r="SMK5" s="3404"/>
      <c r="SML5" s="3404"/>
      <c r="SMM5" s="3404"/>
      <c r="SMN5" s="3404"/>
      <c r="SMO5" s="3404"/>
      <c r="SMP5" s="3404"/>
      <c r="SMQ5" s="3404"/>
      <c r="SMR5" s="3404"/>
      <c r="SMS5" s="3404"/>
      <c r="SMT5" s="3404"/>
      <c r="SMU5" s="3404"/>
      <c r="SMV5" s="3404"/>
      <c r="SMW5" s="3404"/>
      <c r="SMX5" s="3404"/>
      <c r="SMY5" s="3404"/>
      <c r="SMZ5" s="3404"/>
      <c r="SNA5" s="3404"/>
      <c r="SNB5" s="3404"/>
      <c r="SNC5" s="3404"/>
      <c r="SND5" s="3404"/>
      <c r="SNE5" s="3404"/>
      <c r="SNF5" s="3404"/>
      <c r="SNG5" s="3404"/>
      <c r="SNH5" s="3404"/>
      <c r="SNI5" s="3404"/>
      <c r="SNJ5" s="3404"/>
      <c r="SNK5" s="3404"/>
      <c r="SNL5" s="3404"/>
      <c r="SNM5" s="3404"/>
      <c r="SNN5" s="3404"/>
      <c r="SNO5" s="3404"/>
      <c r="SNP5" s="3404"/>
      <c r="SNQ5" s="3404"/>
      <c r="SNR5" s="3404"/>
      <c r="SNS5" s="3404"/>
      <c r="SNT5" s="3404"/>
      <c r="SNU5" s="3404"/>
      <c r="SNV5" s="3404"/>
      <c r="SNW5" s="3404"/>
      <c r="SNX5" s="3404"/>
      <c r="SNY5" s="3404"/>
      <c r="SNZ5" s="3404"/>
      <c r="SOA5" s="3404"/>
      <c r="SOB5" s="3404"/>
      <c r="SOC5" s="3404"/>
      <c r="SOD5" s="3404"/>
      <c r="SOE5" s="3404"/>
      <c r="SOF5" s="3404"/>
      <c r="SOG5" s="3404"/>
      <c r="SOH5" s="3404"/>
      <c r="SOI5" s="3404"/>
      <c r="SOJ5" s="3404"/>
      <c r="SOK5" s="3404"/>
      <c r="SOL5" s="3404"/>
      <c r="SOM5" s="3404"/>
      <c r="SON5" s="3404"/>
      <c r="SOO5" s="3404"/>
      <c r="SOP5" s="3404"/>
      <c r="SOQ5" s="3404"/>
      <c r="SOR5" s="3404"/>
      <c r="SOS5" s="3404"/>
      <c r="SOT5" s="3404"/>
      <c r="SOU5" s="3404"/>
      <c r="SOV5" s="3404"/>
      <c r="SOW5" s="3404"/>
      <c r="SOX5" s="3404"/>
      <c r="SOY5" s="3404"/>
      <c r="SOZ5" s="3404"/>
      <c r="SPA5" s="3404"/>
      <c r="SPB5" s="3404"/>
      <c r="SPC5" s="3404"/>
      <c r="SPD5" s="3404"/>
      <c r="SPE5" s="3404"/>
      <c r="SPF5" s="3404"/>
      <c r="SPG5" s="3404"/>
      <c r="SPH5" s="3404"/>
      <c r="SPI5" s="3404"/>
      <c r="SPJ5" s="3404"/>
      <c r="SPK5" s="3404"/>
      <c r="SPL5" s="3404"/>
      <c r="SPM5" s="3404"/>
      <c r="SPN5" s="3404"/>
      <c r="SPO5" s="3404"/>
      <c r="SPP5" s="3404"/>
      <c r="SPQ5" s="3404"/>
      <c r="SPR5" s="3404"/>
      <c r="SPS5" s="3404"/>
      <c r="SPT5" s="3404"/>
      <c r="SPU5" s="3404"/>
      <c r="SPV5" s="3404"/>
      <c r="SPW5" s="3404"/>
      <c r="SPX5" s="3404"/>
      <c r="SPY5" s="3404"/>
      <c r="SPZ5" s="3404"/>
      <c r="SQA5" s="3404"/>
      <c r="SQB5" s="3404"/>
      <c r="SQC5" s="3404"/>
      <c r="SQD5" s="3404"/>
      <c r="SQE5" s="3404"/>
      <c r="SQF5" s="3404"/>
      <c r="SQG5" s="3404"/>
      <c r="SQH5" s="3404"/>
      <c r="SQI5" s="3404"/>
      <c r="SQJ5" s="3404"/>
      <c r="SQK5" s="3404"/>
      <c r="SQL5" s="3404"/>
      <c r="SQM5" s="3404"/>
      <c r="SQN5" s="3404"/>
      <c r="SQO5" s="3404"/>
      <c r="SQP5" s="3404"/>
      <c r="SQQ5" s="3404"/>
      <c r="SQR5" s="3404"/>
      <c r="SQS5" s="3404"/>
      <c r="SQT5" s="3404"/>
      <c r="SQU5" s="3404"/>
      <c r="SQV5" s="3404"/>
      <c r="SQW5" s="3404"/>
      <c r="SQX5" s="3404"/>
      <c r="SQY5" s="3404"/>
      <c r="SQZ5" s="3404"/>
      <c r="SRA5" s="3404"/>
      <c r="SRB5" s="3404"/>
      <c r="SRC5" s="3404"/>
      <c r="SRD5" s="3404"/>
      <c r="SRE5" s="3404"/>
      <c r="SRF5" s="3404"/>
      <c r="SRG5" s="3404"/>
      <c r="SRH5" s="3404"/>
      <c r="SRI5" s="3404"/>
      <c r="SRJ5" s="3404"/>
      <c r="SRK5" s="3404"/>
      <c r="SRL5" s="3404"/>
      <c r="SRM5" s="3404"/>
      <c r="SRN5" s="3404"/>
      <c r="SRO5" s="3404"/>
      <c r="SRP5" s="3404"/>
      <c r="SRQ5" s="3404"/>
      <c r="SRR5" s="3404"/>
      <c r="SRS5" s="3404"/>
      <c r="SRT5" s="3404"/>
      <c r="SRU5" s="3404"/>
      <c r="SRV5" s="3404"/>
      <c r="SRW5" s="3404"/>
      <c r="SRX5" s="3404"/>
      <c r="SRY5" s="3404"/>
      <c r="SRZ5" s="3404"/>
      <c r="SSA5" s="3404"/>
      <c r="SSB5" s="3404"/>
      <c r="SSC5" s="3404"/>
      <c r="SSD5" s="3404"/>
      <c r="SSE5" s="3404"/>
      <c r="SSF5" s="3404"/>
      <c r="SSG5" s="3404"/>
      <c r="SSH5" s="3404"/>
      <c r="SSI5" s="3404"/>
      <c r="SSJ5" s="3404"/>
      <c r="SSK5" s="3404"/>
      <c r="SSL5" s="3404"/>
      <c r="SSM5" s="3404"/>
      <c r="SSN5" s="3404"/>
      <c r="SSO5" s="3404"/>
      <c r="SSP5" s="3404"/>
      <c r="SSQ5" s="3404"/>
      <c r="SSR5" s="3404"/>
      <c r="SSS5" s="3404"/>
      <c r="SST5" s="3404"/>
      <c r="SSU5" s="3404"/>
      <c r="SSV5" s="3404"/>
      <c r="SSW5" s="3404"/>
      <c r="SSX5" s="3404"/>
      <c r="SSY5" s="3404"/>
      <c r="SSZ5" s="3404"/>
      <c r="STA5" s="3404"/>
      <c r="STB5" s="3404"/>
      <c r="STC5" s="3404"/>
      <c r="STD5" s="3404"/>
      <c r="STE5" s="3404"/>
      <c r="STF5" s="3404"/>
      <c r="STG5" s="3404"/>
      <c r="STH5" s="3404"/>
      <c r="STI5" s="3404"/>
      <c r="STJ5" s="3404"/>
      <c r="STK5" s="3404"/>
      <c r="STL5" s="3404"/>
      <c r="STM5" s="3404"/>
      <c r="STN5" s="3404"/>
      <c r="STO5" s="3404"/>
      <c r="STP5" s="3404"/>
      <c r="STQ5" s="3404"/>
      <c r="STR5" s="3404"/>
      <c r="STS5" s="3404"/>
      <c r="STT5" s="3404"/>
      <c r="STU5" s="3404"/>
      <c r="STV5" s="3404"/>
      <c r="STW5" s="3404"/>
      <c r="STX5" s="3404"/>
      <c r="STY5" s="3404"/>
      <c r="STZ5" s="3404"/>
      <c r="SUA5" s="3404"/>
      <c r="SUB5" s="3404"/>
      <c r="SUC5" s="3404"/>
      <c r="SUD5" s="3404"/>
      <c r="SUE5" s="3404"/>
      <c r="SUF5" s="3404"/>
      <c r="SUG5" s="3404"/>
      <c r="SUH5" s="3404"/>
      <c r="SUI5" s="3404"/>
      <c r="SUJ5" s="3404"/>
      <c r="SUK5" s="3404"/>
      <c r="SUL5" s="3404"/>
      <c r="SUM5" s="3404"/>
      <c r="SUN5" s="3404"/>
      <c r="SUO5" s="3404"/>
      <c r="SUP5" s="3404"/>
      <c r="SUQ5" s="3404"/>
      <c r="SUR5" s="3404"/>
      <c r="SUS5" s="3404"/>
      <c r="SUT5" s="3404"/>
      <c r="SUU5" s="3404"/>
      <c r="SUV5" s="3404"/>
      <c r="SUW5" s="3404"/>
      <c r="SUX5" s="3404"/>
      <c r="SUY5" s="3404"/>
      <c r="SUZ5" s="3404"/>
      <c r="SVA5" s="3404"/>
      <c r="SVB5" s="3404"/>
      <c r="SVC5" s="3404"/>
      <c r="SVD5" s="3404"/>
      <c r="SVE5" s="3404"/>
      <c r="SVF5" s="3404"/>
      <c r="SVG5" s="3404"/>
      <c r="SVH5" s="3404"/>
      <c r="SVI5" s="3404"/>
      <c r="SVJ5" s="3404"/>
      <c r="SVK5" s="3404"/>
      <c r="SVL5" s="3404"/>
      <c r="SVM5" s="3404"/>
      <c r="SVN5" s="3404"/>
      <c r="SVO5" s="3404"/>
      <c r="SVP5" s="3404"/>
      <c r="SVQ5" s="3404"/>
      <c r="SVR5" s="3404"/>
      <c r="SVS5" s="3404"/>
      <c r="SVT5" s="3404"/>
      <c r="SVU5" s="3404"/>
      <c r="SVV5" s="3404"/>
      <c r="SVW5" s="3404"/>
      <c r="SVX5" s="3404"/>
      <c r="SVY5" s="3404"/>
      <c r="SVZ5" s="3404"/>
      <c r="SWA5" s="3404"/>
      <c r="SWB5" s="3404"/>
      <c r="SWC5" s="3404"/>
      <c r="SWD5" s="3404"/>
      <c r="SWE5" s="3404"/>
      <c r="SWF5" s="3404"/>
      <c r="SWG5" s="3404"/>
      <c r="SWH5" s="3404"/>
      <c r="SWI5" s="3404"/>
      <c r="SWJ5" s="3404"/>
      <c r="SWK5" s="3404"/>
      <c r="SWL5" s="3404"/>
      <c r="SWM5" s="3404"/>
      <c r="SWN5" s="3404"/>
      <c r="SWO5" s="3404"/>
      <c r="SWP5" s="3404"/>
      <c r="SWQ5" s="3404"/>
      <c r="SWR5" s="3404"/>
      <c r="SWS5" s="3404"/>
      <c r="SWT5" s="3404"/>
      <c r="SWU5" s="3404"/>
      <c r="SWV5" s="3404"/>
      <c r="SWW5" s="3404"/>
      <c r="SWX5" s="3404"/>
      <c r="SWY5" s="3404"/>
      <c r="SWZ5" s="3404"/>
      <c r="SXA5" s="3404"/>
      <c r="SXB5" s="3404"/>
      <c r="SXC5" s="3404"/>
      <c r="SXD5" s="3404"/>
      <c r="SXE5" s="3404"/>
      <c r="SXF5" s="3404"/>
      <c r="SXG5" s="3404"/>
      <c r="SXH5" s="3404"/>
      <c r="SXI5" s="3404"/>
      <c r="SXJ5" s="3404"/>
      <c r="SXK5" s="3404"/>
      <c r="SXL5" s="3404"/>
      <c r="SXM5" s="3404"/>
      <c r="SXN5" s="3404"/>
      <c r="SXO5" s="3404"/>
      <c r="SXP5" s="3404"/>
      <c r="SXQ5" s="3404"/>
      <c r="SXR5" s="3404"/>
      <c r="SXS5" s="3404"/>
      <c r="SXT5" s="3404"/>
      <c r="SXU5" s="3404"/>
      <c r="SXV5" s="3404"/>
      <c r="SXW5" s="3404"/>
      <c r="SXX5" s="3404"/>
      <c r="SXY5" s="3404"/>
      <c r="SXZ5" s="3404"/>
      <c r="SYA5" s="3404"/>
      <c r="SYB5" s="3404"/>
      <c r="SYC5" s="3404"/>
      <c r="SYD5" s="3404"/>
      <c r="SYE5" s="3404"/>
      <c r="SYF5" s="3404"/>
      <c r="SYG5" s="3404"/>
      <c r="SYH5" s="3404"/>
      <c r="SYI5" s="3404"/>
      <c r="SYJ5" s="3404"/>
      <c r="SYK5" s="3404"/>
      <c r="SYL5" s="3404"/>
      <c r="SYM5" s="3404"/>
      <c r="SYN5" s="3404"/>
      <c r="SYO5" s="3404"/>
      <c r="SYP5" s="3404"/>
      <c r="SYQ5" s="3404"/>
      <c r="SYR5" s="3404"/>
      <c r="SYS5" s="3404"/>
      <c r="SYT5" s="3404"/>
      <c r="SYU5" s="3404"/>
      <c r="SYV5" s="3404"/>
      <c r="SYW5" s="3404"/>
      <c r="SYX5" s="3404"/>
      <c r="SYY5" s="3404"/>
      <c r="SYZ5" s="3404"/>
      <c r="SZA5" s="3404"/>
      <c r="SZB5" s="3404"/>
      <c r="SZC5" s="3404"/>
      <c r="SZD5" s="3404"/>
      <c r="SZE5" s="3404"/>
      <c r="SZF5" s="3404"/>
      <c r="SZG5" s="3404"/>
      <c r="SZH5" s="3404"/>
      <c r="SZI5" s="3404"/>
      <c r="SZJ5" s="3404"/>
      <c r="SZK5" s="3404"/>
      <c r="SZL5" s="3404"/>
      <c r="SZM5" s="3404"/>
      <c r="SZN5" s="3404"/>
      <c r="SZO5" s="3404"/>
      <c r="SZP5" s="3404"/>
      <c r="SZQ5" s="3404"/>
      <c r="SZR5" s="3404"/>
      <c r="SZS5" s="3404"/>
      <c r="SZT5" s="3404"/>
      <c r="SZU5" s="3404"/>
      <c r="SZV5" s="3404"/>
      <c r="SZW5" s="3404"/>
      <c r="SZX5" s="3404"/>
      <c r="SZY5" s="3404"/>
      <c r="SZZ5" s="3404"/>
      <c r="TAA5" s="3404"/>
      <c r="TAB5" s="3404"/>
      <c r="TAC5" s="3404"/>
      <c r="TAD5" s="3404"/>
      <c r="TAE5" s="3404"/>
      <c r="TAF5" s="3404"/>
      <c r="TAG5" s="3404"/>
      <c r="TAH5" s="3404"/>
      <c r="TAI5" s="3404"/>
      <c r="TAJ5" s="3404"/>
      <c r="TAK5" s="3404"/>
      <c r="TAL5" s="3404"/>
      <c r="TAM5" s="3404"/>
      <c r="TAN5" s="3404"/>
      <c r="TAO5" s="3404"/>
      <c r="TAP5" s="3404"/>
      <c r="TAQ5" s="3404"/>
      <c r="TAR5" s="3404"/>
      <c r="TAS5" s="3404"/>
      <c r="TAT5" s="3404"/>
      <c r="TAU5" s="3404"/>
      <c r="TAV5" s="3404"/>
      <c r="TAW5" s="3404"/>
      <c r="TAX5" s="3404"/>
      <c r="TAY5" s="3404"/>
      <c r="TAZ5" s="3404"/>
      <c r="TBA5" s="3404"/>
      <c r="TBB5" s="3404"/>
      <c r="TBC5" s="3404"/>
      <c r="TBD5" s="3404"/>
      <c r="TBE5" s="3404"/>
      <c r="TBF5" s="3404"/>
      <c r="TBG5" s="3404"/>
      <c r="TBH5" s="3404"/>
      <c r="TBI5" s="3404"/>
      <c r="TBJ5" s="3404"/>
      <c r="TBK5" s="3404"/>
      <c r="TBL5" s="3404"/>
      <c r="TBM5" s="3404"/>
      <c r="TBN5" s="3404"/>
      <c r="TBO5" s="3404"/>
      <c r="TBP5" s="3404"/>
      <c r="TBQ5" s="3404"/>
      <c r="TBR5" s="3404"/>
      <c r="TBS5" s="3404"/>
      <c r="TBT5" s="3404"/>
      <c r="TBU5" s="3404"/>
      <c r="TBV5" s="3404"/>
      <c r="TBW5" s="3404"/>
      <c r="TBX5" s="3404"/>
      <c r="TBY5" s="3404"/>
      <c r="TBZ5" s="3404"/>
      <c r="TCA5" s="3404"/>
      <c r="TCB5" s="3404"/>
      <c r="TCC5" s="3404"/>
      <c r="TCD5" s="3404"/>
      <c r="TCE5" s="3404"/>
      <c r="TCF5" s="3404"/>
      <c r="TCG5" s="3404"/>
      <c r="TCH5" s="3404"/>
      <c r="TCI5" s="3404"/>
      <c r="TCJ5" s="3404"/>
      <c r="TCK5" s="3404"/>
      <c r="TCL5" s="3404"/>
      <c r="TCM5" s="3404"/>
      <c r="TCN5" s="3404"/>
      <c r="TCO5" s="3404"/>
      <c r="TCP5" s="3404"/>
      <c r="TCQ5" s="3404"/>
      <c r="TCR5" s="3404"/>
      <c r="TCS5" s="3404"/>
      <c r="TCT5" s="3404"/>
      <c r="TCU5" s="3404"/>
      <c r="TCV5" s="3404"/>
      <c r="TCW5" s="3404"/>
      <c r="TCX5" s="3404"/>
      <c r="TCY5" s="3404"/>
      <c r="TCZ5" s="3404"/>
      <c r="TDA5" s="3404"/>
      <c r="TDB5" s="3404"/>
      <c r="TDC5" s="3404"/>
      <c r="TDD5" s="3404"/>
      <c r="TDE5" s="3404"/>
      <c r="TDF5" s="3404"/>
      <c r="TDG5" s="3404"/>
      <c r="TDH5" s="3404"/>
      <c r="TDI5" s="3404"/>
      <c r="TDJ5" s="3404"/>
      <c r="TDK5" s="3404"/>
      <c r="TDL5" s="3404"/>
      <c r="TDM5" s="3404"/>
      <c r="TDN5" s="3404"/>
      <c r="TDO5" s="3404"/>
      <c r="TDP5" s="3404"/>
      <c r="TDQ5" s="3404"/>
      <c r="TDR5" s="3404"/>
      <c r="TDS5" s="3404"/>
      <c r="TDT5" s="3404"/>
      <c r="TDU5" s="3404"/>
      <c r="TDV5" s="3404"/>
      <c r="TDW5" s="3404"/>
      <c r="TDX5" s="3404"/>
      <c r="TDY5" s="3404"/>
      <c r="TDZ5" s="3404"/>
      <c r="TEA5" s="3404"/>
      <c r="TEB5" s="3404"/>
      <c r="TEC5" s="3404"/>
      <c r="TED5" s="3404"/>
      <c r="TEE5" s="3404"/>
      <c r="TEF5" s="3404"/>
      <c r="TEG5" s="3404"/>
      <c r="TEH5" s="3404"/>
      <c r="TEI5" s="3404"/>
      <c r="TEJ5" s="3404"/>
      <c r="TEK5" s="3404"/>
      <c r="TEL5" s="3404"/>
      <c r="TEM5" s="3404"/>
      <c r="TEN5" s="3404"/>
      <c r="TEO5" s="3404"/>
      <c r="TEP5" s="3404"/>
      <c r="TEQ5" s="3404"/>
      <c r="TER5" s="3404"/>
      <c r="TES5" s="3404"/>
      <c r="TET5" s="3404"/>
      <c r="TEU5" s="3404"/>
      <c r="TEV5" s="3404"/>
      <c r="TEW5" s="3404"/>
      <c r="TEX5" s="3404"/>
      <c r="TEY5" s="3404"/>
      <c r="TEZ5" s="3404"/>
      <c r="TFA5" s="3404"/>
      <c r="TFB5" s="3404"/>
      <c r="TFC5" s="3404"/>
      <c r="TFD5" s="3404"/>
      <c r="TFE5" s="3404"/>
      <c r="TFF5" s="3404"/>
      <c r="TFG5" s="3404"/>
      <c r="TFH5" s="3404"/>
      <c r="TFI5" s="3404"/>
      <c r="TFJ5" s="3404"/>
      <c r="TFK5" s="3404"/>
      <c r="TFL5" s="3404"/>
      <c r="TFM5" s="3404"/>
      <c r="TFN5" s="3404"/>
      <c r="TFO5" s="3404"/>
      <c r="TFP5" s="3404"/>
      <c r="TFQ5" s="3404"/>
      <c r="TFR5" s="3404"/>
      <c r="TFS5" s="3404"/>
      <c r="TFT5" s="3404"/>
      <c r="TFU5" s="3404"/>
      <c r="TFV5" s="3404"/>
      <c r="TFW5" s="3404"/>
      <c r="TFX5" s="3404"/>
      <c r="TFY5" s="3404"/>
      <c r="TFZ5" s="3404"/>
      <c r="TGA5" s="3404"/>
      <c r="TGB5" s="3404"/>
      <c r="TGC5" s="3404"/>
      <c r="TGD5" s="3404"/>
      <c r="TGE5" s="3404"/>
      <c r="TGF5" s="3404"/>
      <c r="TGG5" s="3404"/>
      <c r="TGH5" s="3404"/>
      <c r="TGI5" s="3404"/>
      <c r="TGJ5" s="3404"/>
      <c r="TGK5" s="3404"/>
      <c r="TGL5" s="3404"/>
      <c r="TGM5" s="3404"/>
      <c r="TGN5" s="3404"/>
      <c r="TGO5" s="3404"/>
      <c r="TGP5" s="3404"/>
      <c r="TGQ5" s="3404"/>
      <c r="TGR5" s="3404"/>
      <c r="TGS5" s="3404"/>
      <c r="TGT5" s="3404"/>
      <c r="TGU5" s="3404"/>
      <c r="TGV5" s="3404"/>
      <c r="TGW5" s="3404"/>
      <c r="TGX5" s="3404"/>
      <c r="TGY5" s="3404"/>
      <c r="TGZ5" s="3404"/>
      <c r="THA5" s="3404"/>
      <c r="THB5" s="3404"/>
      <c r="THC5" s="3404"/>
      <c r="THD5" s="3404"/>
      <c r="THE5" s="3404"/>
      <c r="THF5" s="3404"/>
      <c r="THG5" s="3404"/>
      <c r="THH5" s="3404"/>
      <c r="THI5" s="3404"/>
      <c r="THJ5" s="3404"/>
      <c r="THK5" s="3404"/>
      <c r="THL5" s="3404"/>
      <c r="THM5" s="3404"/>
      <c r="THN5" s="3404"/>
      <c r="THO5" s="3404"/>
      <c r="THP5" s="3404"/>
      <c r="THQ5" s="3404"/>
      <c r="THR5" s="3404"/>
      <c r="THS5" s="3404"/>
      <c r="THT5" s="3404"/>
      <c r="THU5" s="3404"/>
      <c r="THV5" s="3404"/>
      <c r="THW5" s="3404"/>
      <c r="THX5" s="3404"/>
      <c r="THY5" s="3404"/>
      <c r="THZ5" s="3404"/>
      <c r="TIA5" s="3404"/>
      <c r="TIB5" s="3404"/>
      <c r="TIC5" s="3404"/>
      <c r="TID5" s="3404"/>
      <c r="TIE5" s="3404"/>
      <c r="TIF5" s="3404"/>
      <c r="TIG5" s="3404"/>
      <c r="TIH5" s="3404"/>
      <c r="TII5" s="3404"/>
      <c r="TIJ5" s="3404"/>
      <c r="TIK5" s="3404"/>
      <c r="TIL5" s="3404"/>
      <c r="TIM5" s="3404"/>
      <c r="TIN5" s="3404"/>
      <c r="TIO5" s="3404"/>
      <c r="TIP5" s="3404"/>
      <c r="TIQ5" s="3404"/>
      <c r="TIR5" s="3404"/>
      <c r="TIS5" s="3404"/>
      <c r="TIT5" s="3404"/>
      <c r="TIU5" s="3404"/>
      <c r="TIV5" s="3404"/>
      <c r="TIW5" s="3404"/>
      <c r="TIX5" s="3404"/>
      <c r="TIY5" s="3404"/>
      <c r="TIZ5" s="3404"/>
      <c r="TJA5" s="3404"/>
      <c r="TJB5" s="3404"/>
      <c r="TJC5" s="3404"/>
      <c r="TJD5" s="3404"/>
      <c r="TJE5" s="3404"/>
      <c r="TJF5" s="3404"/>
      <c r="TJG5" s="3404"/>
      <c r="TJH5" s="3404"/>
      <c r="TJI5" s="3404"/>
      <c r="TJJ5" s="3404"/>
      <c r="TJK5" s="3404"/>
      <c r="TJL5" s="3404"/>
      <c r="TJM5" s="3404"/>
      <c r="TJN5" s="3404"/>
      <c r="TJO5" s="3404"/>
      <c r="TJP5" s="3404"/>
      <c r="TJQ5" s="3404"/>
      <c r="TJR5" s="3404"/>
      <c r="TJS5" s="3404"/>
      <c r="TJT5" s="3404"/>
      <c r="TJU5" s="3404"/>
      <c r="TJV5" s="3404"/>
      <c r="TJW5" s="3404"/>
      <c r="TJX5" s="3404"/>
      <c r="TJY5" s="3404"/>
      <c r="TJZ5" s="3404"/>
      <c r="TKA5" s="3404"/>
      <c r="TKB5" s="3404"/>
      <c r="TKC5" s="3404"/>
      <c r="TKD5" s="3404"/>
      <c r="TKE5" s="3404"/>
      <c r="TKF5" s="3404"/>
      <c r="TKG5" s="3404"/>
      <c r="TKH5" s="3404"/>
      <c r="TKI5" s="3404"/>
      <c r="TKJ5" s="3404"/>
      <c r="TKK5" s="3404"/>
      <c r="TKL5" s="3404"/>
      <c r="TKM5" s="3404"/>
      <c r="TKN5" s="3404"/>
      <c r="TKO5" s="3404"/>
      <c r="TKP5" s="3404"/>
      <c r="TKQ5" s="3404"/>
      <c r="TKR5" s="3404"/>
      <c r="TKS5" s="3404"/>
      <c r="TKT5" s="3404"/>
      <c r="TKU5" s="3404"/>
      <c r="TKV5" s="3404"/>
      <c r="TKW5" s="3404"/>
      <c r="TKX5" s="3404"/>
      <c r="TKY5" s="3404"/>
      <c r="TKZ5" s="3404"/>
      <c r="TLA5" s="3404"/>
      <c r="TLB5" s="3404"/>
      <c r="TLC5" s="3404"/>
      <c r="TLD5" s="3404"/>
      <c r="TLE5" s="3404"/>
      <c r="TLF5" s="3404"/>
      <c r="TLG5" s="3404"/>
      <c r="TLH5" s="3404"/>
      <c r="TLI5" s="3404"/>
      <c r="TLJ5" s="3404"/>
      <c r="TLK5" s="3404"/>
      <c r="TLL5" s="3404"/>
      <c r="TLM5" s="3404"/>
      <c r="TLN5" s="3404"/>
      <c r="TLO5" s="3404"/>
      <c r="TLP5" s="3404"/>
      <c r="TLQ5" s="3404"/>
      <c r="TLR5" s="3404"/>
      <c r="TLS5" s="3404"/>
      <c r="TLT5" s="3404"/>
      <c r="TLU5" s="3404"/>
      <c r="TLV5" s="3404"/>
      <c r="TLW5" s="3404"/>
      <c r="TLX5" s="3404"/>
      <c r="TLY5" s="3404"/>
      <c r="TLZ5" s="3404"/>
      <c r="TMA5" s="3404"/>
      <c r="TMB5" s="3404"/>
      <c r="TMC5" s="3404"/>
      <c r="TMD5" s="3404"/>
      <c r="TME5" s="3404"/>
      <c r="TMF5" s="3404"/>
      <c r="TMG5" s="3404"/>
      <c r="TMH5" s="3404"/>
      <c r="TMI5" s="3404"/>
      <c r="TMJ5" s="3404"/>
      <c r="TMK5" s="3404"/>
      <c r="TML5" s="3404"/>
      <c r="TMM5" s="3404"/>
      <c r="TMN5" s="3404"/>
      <c r="TMO5" s="3404"/>
      <c r="TMP5" s="3404"/>
      <c r="TMQ5" s="3404"/>
      <c r="TMR5" s="3404"/>
      <c r="TMS5" s="3404"/>
      <c r="TMT5" s="3404"/>
      <c r="TMU5" s="3404"/>
      <c r="TMV5" s="3404"/>
      <c r="TMW5" s="3404"/>
      <c r="TMX5" s="3404"/>
      <c r="TMY5" s="3404"/>
      <c r="TMZ5" s="3404"/>
      <c r="TNA5" s="3404"/>
      <c r="TNB5" s="3404"/>
      <c r="TNC5" s="3404"/>
      <c r="TND5" s="3404"/>
      <c r="TNE5" s="3404"/>
      <c r="TNF5" s="3404"/>
      <c r="TNG5" s="3404"/>
      <c r="TNH5" s="3404"/>
      <c r="TNI5" s="3404"/>
      <c r="TNJ5" s="3404"/>
      <c r="TNK5" s="3404"/>
      <c r="TNL5" s="3404"/>
      <c r="TNM5" s="3404"/>
      <c r="TNN5" s="3404"/>
      <c r="TNO5" s="3404"/>
      <c r="TNP5" s="3404"/>
      <c r="TNQ5" s="3404"/>
      <c r="TNR5" s="3404"/>
      <c r="TNS5" s="3404"/>
      <c r="TNT5" s="3404"/>
      <c r="TNU5" s="3404"/>
      <c r="TNV5" s="3404"/>
      <c r="TNW5" s="3404"/>
      <c r="TNX5" s="3404"/>
      <c r="TNY5" s="3404"/>
      <c r="TNZ5" s="3404"/>
      <c r="TOA5" s="3404"/>
      <c r="TOB5" s="3404"/>
      <c r="TOC5" s="3404"/>
      <c r="TOD5" s="3404"/>
      <c r="TOE5" s="3404"/>
      <c r="TOF5" s="3404"/>
      <c r="TOG5" s="3404"/>
      <c r="TOH5" s="3404"/>
      <c r="TOI5" s="3404"/>
      <c r="TOJ5" s="3404"/>
      <c r="TOK5" s="3404"/>
      <c r="TOL5" s="3404"/>
      <c r="TOM5" s="3404"/>
      <c r="TON5" s="3404"/>
      <c r="TOO5" s="3404"/>
      <c r="TOP5" s="3404"/>
      <c r="TOQ5" s="3404"/>
      <c r="TOR5" s="3404"/>
      <c r="TOS5" s="3404"/>
      <c r="TOT5" s="3404"/>
      <c r="TOU5" s="3404"/>
      <c r="TOV5" s="3404"/>
      <c r="TOW5" s="3404"/>
      <c r="TOX5" s="3404"/>
      <c r="TOY5" s="3404"/>
      <c r="TOZ5" s="3404"/>
      <c r="TPA5" s="3404"/>
      <c r="TPB5" s="3404"/>
      <c r="TPC5" s="3404"/>
      <c r="TPD5" s="3404"/>
      <c r="TPE5" s="3404"/>
      <c r="TPF5" s="3404"/>
      <c r="TPG5" s="3404"/>
      <c r="TPH5" s="3404"/>
      <c r="TPI5" s="3404"/>
      <c r="TPJ5" s="3404"/>
      <c r="TPK5" s="3404"/>
      <c r="TPL5" s="3404"/>
      <c r="TPM5" s="3404"/>
      <c r="TPN5" s="3404"/>
      <c r="TPO5" s="3404"/>
      <c r="TPP5" s="3404"/>
      <c r="TPQ5" s="3404"/>
      <c r="TPR5" s="3404"/>
      <c r="TPS5" s="3404"/>
      <c r="TPT5" s="3404"/>
      <c r="TPU5" s="3404"/>
      <c r="TPV5" s="3404"/>
      <c r="TPW5" s="3404"/>
      <c r="TPX5" s="3404"/>
      <c r="TPY5" s="3404"/>
      <c r="TPZ5" s="3404"/>
      <c r="TQA5" s="3404"/>
      <c r="TQB5" s="3404"/>
      <c r="TQC5" s="3404"/>
      <c r="TQD5" s="3404"/>
      <c r="TQE5" s="3404"/>
      <c r="TQF5" s="3404"/>
      <c r="TQG5" s="3404"/>
      <c r="TQH5" s="3404"/>
      <c r="TQI5" s="3404"/>
      <c r="TQJ5" s="3404"/>
      <c r="TQK5" s="3404"/>
      <c r="TQL5" s="3404"/>
      <c r="TQM5" s="3404"/>
      <c r="TQN5" s="3404"/>
      <c r="TQO5" s="3404"/>
      <c r="TQP5" s="3404"/>
      <c r="TQQ5" s="3404"/>
      <c r="TQR5" s="3404"/>
      <c r="TQS5" s="3404"/>
      <c r="TQT5" s="3404"/>
      <c r="TQU5" s="3404"/>
      <c r="TQV5" s="3404"/>
      <c r="TQW5" s="3404"/>
      <c r="TQX5" s="3404"/>
      <c r="TQY5" s="3404"/>
      <c r="TQZ5" s="3404"/>
      <c r="TRA5" s="3404"/>
      <c r="TRB5" s="3404"/>
      <c r="TRC5" s="3404"/>
      <c r="TRD5" s="3404"/>
      <c r="TRE5" s="3404"/>
      <c r="TRF5" s="3404"/>
      <c r="TRG5" s="3404"/>
      <c r="TRH5" s="3404"/>
      <c r="TRI5" s="3404"/>
      <c r="TRJ5" s="3404"/>
      <c r="TRK5" s="3404"/>
      <c r="TRL5" s="3404"/>
      <c r="TRM5" s="3404"/>
      <c r="TRN5" s="3404"/>
      <c r="TRO5" s="3404"/>
      <c r="TRP5" s="3404"/>
      <c r="TRQ5" s="3404"/>
      <c r="TRR5" s="3404"/>
      <c r="TRS5" s="3404"/>
      <c r="TRT5" s="3404"/>
      <c r="TRU5" s="3404"/>
      <c r="TRV5" s="3404"/>
      <c r="TRW5" s="3404"/>
      <c r="TRX5" s="3404"/>
      <c r="TRY5" s="3404"/>
      <c r="TRZ5" s="3404"/>
      <c r="TSA5" s="3404"/>
      <c r="TSB5" s="3404"/>
      <c r="TSC5" s="3404"/>
      <c r="TSD5" s="3404"/>
      <c r="TSE5" s="3404"/>
      <c r="TSF5" s="3404"/>
      <c r="TSG5" s="3404"/>
      <c r="TSH5" s="3404"/>
      <c r="TSI5" s="3404"/>
      <c r="TSJ5" s="3404"/>
      <c r="TSK5" s="3404"/>
      <c r="TSL5" s="3404"/>
      <c r="TSM5" s="3404"/>
      <c r="TSN5" s="3404"/>
      <c r="TSO5" s="3404"/>
      <c r="TSP5" s="3404"/>
      <c r="TSQ5" s="3404"/>
      <c r="TSR5" s="3404"/>
      <c r="TSS5" s="3404"/>
      <c r="TST5" s="3404"/>
      <c r="TSU5" s="3404"/>
      <c r="TSV5" s="3404"/>
      <c r="TSW5" s="3404"/>
      <c r="TSX5" s="3404"/>
      <c r="TSY5" s="3404"/>
      <c r="TSZ5" s="3404"/>
      <c r="TTA5" s="3404"/>
      <c r="TTB5" s="3404"/>
      <c r="TTC5" s="3404"/>
      <c r="TTD5" s="3404"/>
      <c r="TTE5" s="3404"/>
      <c r="TTF5" s="3404"/>
      <c r="TTG5" s="3404"/>
      <c r="TTH5" s="3404"/>
      <c r="TTI5" s="3404"/>
      <c r="TTJ5" s="3404"/>
      <c r="TTK5" s="3404"/>
      <c r="TTL5" s="3404"/>
      <c r="TTM5" s="3404"/>
      <c r="TTN5" s="3404"/>
      <c r="TTO5" s="3404"/>
      <c r="TTP5" s="3404"/>
      <c r="TTQ5" s="3404"/>
      <c r="TTR5" s="3404"/>
      <c r="TTS5" s="3404"/>
      <c r="TTT5" s="3404"/>
      <c r="TTU5" s="3404"/>
      <c r="TTV5" s="3404"/>
      <c r="TTW5" s="3404"/>
      <c r="TTX5" s="3404"/>
      <c r="TTY5" s="3404"/>
      <c r="TTZ5" s="3404"/>
      <c r="TUA5" s="3404"/>
      <c r="TUB5" s="3404"/>
      <c r="TUC5" s="3404"/>
      <c r="TUD5" s="3404"/>
      <c r="TUE5" s="3404"/>
      <c r="TUF5" s="3404"/>
      <c r="TUG5" s="3404"/>
      <c r="TUH5" s="3404"/>
      <c r="TUI5" s="3404"/>
      <c r="TUJ5" s="3404"/>
      <c r="TUK5" s="3404"/>
      <c r="TUL5" s="3404"/>
      <c r="TUM5" s="3404"/>
      <c r="TUN5" s="3404"/>
      <c r="TUO5" s="3404"/>
      <c r="TUP5" s="3404"/>
      <c r="TUQ5" s="3404"/>
      <c r="TUR5" s="3404"/>
      <c r="TUS5" s="3404"/>
      <c r="TUT5" s="3404"/>
      <c r="TUU5" s="3404"/>
      <c r="TUV5" s="3404"/>
      <c r="TUW5" s="3404"/>
      <c r="TUX5" s="3404"/>
      <c r="TUY5" s="3404"/>
      <c r="TUZ5" s="3404"/>
      <c r="TVA5" s="3404"/>
      <c r="TVB5" s="3404"/>
      <c r="TVC5" s="3404"/>
      <c r="TVD5" s="3404"/>
      <c r="TVE5" s="3404"/>
      <c r="TVF5" s="3404"/>
      <c r="TVG5" s="3404"/>
      <c r="TVH5" s="3404"/>
      <c r="TVI5" s="3404"/>
      <c r="TVJ5" s="3404"/>
      <c r="TVK5" s="3404"/>
      <c r="TVL5" s="3404"/>
      <c r="TVM5" s="3404"/>
      <c r="TVN5" s="3404"/>
      <c r="TVO5" s="3404"/>
      <c r="TVP5" s="3404"/>
      <c r="TVQ5" s="3404"/>
      <c r="TVR5" s="3404"/>
      <c r="TVS5" s="3404"/>
      <c r="TVT5" s="3404"/>
      <c r="TVU5" s="3404"/>
      <c r="TVV5" s="3404"/>
      <c r="TVW5" s="3404"/>
      <c r="TVX5" s="3404"/>
      <c r="TVY5" s="3404"/>
      <c r="TVZ5" s="3404"/>
      <c r="TWA5" s="3404"/>
      <c r="TWB5" s="3404"/>
      <c r="TWC5" s="3404"/>
      <c r="TWD5" s="3404"/>
      <c r="TWE5" s="3404"/>
      <c r="TWF5" s="3404"/>
      <c r="TWG5" s="3404"/>
      <c r="TWH5" s="3404"/>
      <c r="TWI5" s="3404"/>
      <c r="TWJ5" s="3404"/>
      <c r="TWK5" s="3404"/>
      <c r="TWL5" s="3404"/>
      <c r="TWM5" s="3404"/>
      <c r="TWN5" s="3404"/>
      <c r="TWO5" s="3404"/>
      <c r="TWP5" s="3404"/>
      <c r="TWQ5" s="3404"/>
      <c r="TWR5" s="3404"/>
      <c r="TWS5" s="3404"/>
      <c r="TWT5" s="3404"/>
      <c r="TWU5" s="3404"/>
      <c r="TWV5" s="3404"/>
      <c r="TWW5" s="3404"/>
      <c r="TWX5" s="3404"/>
      <c r="TWY5" s="3404"/>
      <c r="TWZ5" s="3404"/>
      <c r="TXA5" s="3404"/>
      <c r="TXB5" s="3404"/>
      <c r="TXC5" s="3404"/>
      <c r="TXD5" s="3404"/>
      <c r="TXE5" s="3404"/>
      <c r="TXF5" s="3404"/>
      <c r="TXG5" s="3404"/>
      <c r="TXH5" s="3404"/>
      <c r="TXI5" s="3404"/>
      <c r="TXJ5" s="3404"/>
      <c r="TXK5" s="3404"/>
      <c r="TXL5" s="3404"/>
      <c r="TXM5" s="3404"/>
      <c r="TXN5" s="3404"/>
      <c r="TXO5" s="3404"/>
      <c r="TXP5" s="3404"/>
      <c r="TXQ5" s="3404"/>
      <c r="TXR5" s="3404"/>
      <c r="TXS5" s="3404"/>
      <c r="TXT5" s="3404"/>
      <c r="TXU5" s="3404"/>
      <c r="TXV5" s="3404"/>
      <c r="TXW5" s="3404"/>
      <c r="TXX5" s="3404"/>
      <c r="TXY5" s="3404"/>
      <c r="TXZ5" s="3404"/>
      <c r="TYA5" s="3404"/>
      <c r="TYB5" s="3404"/>
      <c r="TYC5" s="3404"/>
      <c r="TYD5" s="3404"/>
      <c r="TYE5" s="3404"/>
      <c r="TYF5" s="3404"/>
      <c r="TYG5" s="3404"/>
      <c r="TYH5" s="3404"/>
      <c r="TYI5" s="3404"/>
      <c r="TYJ5" s="3404"/>
      <c r="TYK5" s="3404"/>
      <c r="TYL5" s="3404"/>
      <c r="TYM5" s="3404"/>
      <c r="TYN5" s="3404"/>
      <c r="TYO5" s="3404"/>
      <c r="TYP5" s="3404"/>
      <c r="TYQ5" s="3404"/>
      <c r="TYR5" s="3404"/>
      <c r="TYS5" s="3404"/>
      <c r="TYT5" s="3404"/>
      <c r="TYU5" s="3404"/>
      <c r="TYV5" s="3404"/>
      <c r="TYW5" s="3404"/>
      <c r="TYX5" s="3404"/>
      <c r="TYY5" s="3404"/>
      <c r="TYZ5" s="3404"/>
      <c r="TZA5" s="3404"/>
      <c r="TZB5" s="3404"/>
      <c r="TZC5" s="3404"/>
      <c r="TZD5" s="3404"/>
      <c r="TZE5" s="3404"/>
      <c r="TZF5" s="3404"/>
      <c r="TZG5" s="3404"/>
      <c r="TZH5" s="3404"/>
      <c r="TZI5" s="3404"/>
      <c r="TZJ5" s="3404"/>
      <c r="TZK5" s="3404"/>
      <c r="TZL5" s="3404"/>
      <c r="TZM5" s="3404"/>
      <c r="TZN5" s="3404"/>
      <c r="TZO5" s="3404"/>
      <c r="TZP5" s="3404"/>
      <c r="TZQ5" s="3404"/>
      <c r="TZR5" s="3404"/>
      <c r="TZS5" s="3404"/>
      <c r="TZT5" s="3404"/>
      <c r="TZU5" s="3404"/>
      <c r="TZV5" s="3404"/>
      <c r="TZW5" s="3404"/>
      <c r="TZX5" s="3404"/>
      <c r="TZY5" s="3404"/>
      <c r="TZZ5" s="3404"/>
      <c r="UAA5" s="3404"/>
      <c r="UAB5" s="3404"/>
      <c r="UAC5" s="3404"/>
      <c r="UAD5" s="3404"/>
      <c r="UAE5" s="3404"/>
      <c r="UAF5" s="3404"/>
      <c r="UAG5" s="3404"/>
      <c r="UAH5" s="3404"/>
      <c r="UAI5" s="3404"/>
      <c r="UAJ5" s="3404"/>
      <c r="UAK5" s="3404"/>
      <c r="UAL5" s="3404"/>
      <c r="UAM5" s="3404"/>
      <c r="UAN5" s="3404"/>
      <c r="UAO5" s="3404"/>
      <c r="UAP5" s="3404"/>
      <c r="UAQ5" s="3404"/>
      <c r="UAR5" s="3404"/>
      <c r="UAS5" s="3404"/>
      <c r="UAT5" s="3404"/>
      <c r="UAU5" s="3404"/>
      <c r="UAV5" s="3404"/>
      <c r="UAW5" s="3404"/>
      <c r="UAX5" s="3404"/>
      <c r="UAY5" s="3404"/>
      <c r="UAZ5" s="3404"/>
      <c r="UBA5" s="3404"/>
      <c r="UBB5" s="3404"/>
      <c r="UBC5" s="3404"/>
      <c r="UBD5" s="3404"/>
      <c r="UBE5" s="3404"/>
      <c r="UBF5" s="3404"/>
      <c r="UBG5" s="3404"/>
      <c r="UBH5" s="3404"/>
      <c r="UBI5" s="3404"/>
      <c r="UBJ5" s="3404"/>
      <c r="UBK5" s="3404"/>
      <c r="UBL5" s="3404"/>
      <c r="UBM5" s="3404"/>
      <c r="UBN5" s="3404"/>
      <c r="UBO5" s="3404"/>
      <c r="UBP5" s="3404"/>
      <c r="UBQ5" s="3404"/>
      <c r="UBR5" s="3404"/>
      <c r="UBS5" s="3404"/>
      <c r="UBT5" s="3404"/>
      <c r="UBU5" s="3404"/>
      <c r="UBV5" s="3404"/>
      <c r="UBW5" s="3404"/>
      <c r="UBX5" s="3404"/>
      <c r="UBY5" s="3404"/>
      <c r="UBZ5" s="3404"/>
      <c r="UCA5" s="3404"/>
      <c r="UCB5" s="3404"/>
      <c r="UCC5" s="3404"/>
      <c r="UCD5" s="3404"/>
      <c r="UCE5" s="3404"/>
      <c r="UCF5" s="3404"/>
      <c r="UCG5" s="3404"/>
      <c r="UCH5" s="3404"/>
      <c r="UCI5" s="3404"/>
      <c r="UCJ5" s="3404"/>
      <c r="UCK5" s="3404"/>
      <c r="UCL5" s="3404"/>
      <c r="UCM5" s="3404"/>
      <c r="UCN5" s="3404"/>
      <c r="UCO5" s="3404"/>
      <c r="UCP5" s="3404"/>
      <c r="UCQ5" s="3404"/>
      <c r="UCR5" s="3404"/>
      <c r="UCS5" s="3404"/>
      <c r="UCT5" s="3404"/>
      <c r="UCU5" s="3404"/>
      <c r="UCV5" s="3404"/>
      <c r="UCW5" s="3404"/>
      <c r="UCX5" s="3404"/>
      <c r="UCY5" s="3404"/>
      <c r="UCZ5" s="3404"/>
      <c r="UDA5" s="3404"/>
      <c r="UDB5" s="3404"/>
      <c r="UDC5" s="3404"/>
      <c r="UDD5" s="3404"/>
      <c r="UDE5" s="3404"/>
      <c r="UDF5" s="3404"/>
      <c r="UDG5" s="3404"/>
      <c r="UDH5" s="3404"/>
      <c r="UDI5" s="3404"/>
      <c r="UDJ5" s="3404"/>
      <c r="UDK5" s="3404"/>
      <c r="UDL5" s="3404"/>
      <c r="UDM5" s="3404"/>
      <c r="UDN5" s="3404"/>
      <c r="UDO5" s="3404"/>
      <c r="UDP5" s="3404"/>
      <c r="UDQ5" s="3404"/>
      <c r="UDR5" s="3404"/>
      <c r="UDS5" s="3404"/>
      <c r="UDT5" s="3404"/>
      <c r="UDU5" s="3404"/>
      <c r="UDV5" s="3404"/>
      <c r="UDW5" s="3404"/>
      <c r="UDX5" s="3404"/>
      <c r="UDY5" s="3404"/>
      <c r="UDZ5" s="3404"/>
      <c r="UEA5" s="3404"/>
      <c r="UEB5" s="3404"/>
      <c r="UEC5" s="3404"/>
      <c r="UED5" s="3404"/>
      <c r="UEE5" s="3404"/>
      <c r="UEF5" s="3404"/>
      <c r="UEG5" s="3404"/>
      <c r="UEH5" s="3404"/>
      <c r="UEI5" s="3404"/>
      <c r="UEJ5" s="3404"/>
      <c r="UEK5" s="3404"/>
      <c r="UEL5" s="3404"/>
      <c r="UEM5" s="3404"/>
      <c r="UEN5" s="3404"/>
      <c r="UEO5" s="3404"/>
      <c r="UEP5" s="3404"/>
      <c r="UEQ5" s="3404"/>
      <c r="UER5" s="3404"/>
      <c r="UES5" s="3404"/>
      <c r="UET5" s="3404"/>
      <c r="UEU5" s="3404"/>
      <c r="UEV5" s="3404"/>
      <c r="UEW5" s="3404"/>
      <c r="UEX5" s="3404"/>
      <c r="UEY5" s="3404"/>
      <c r="UEZ5" s="3404"/>
      <c r="UFA5" s="3404"/>
      <c r="UFB5" s="3404"/>
      <c r="UFC5" s="3404"/>
      <c r="UFD5" s="3404"/>
      <c r="UFE5" s="3404"/>
      <c r="UFF5" s="3404"/>
      <c r="UFG5" s="3404"/>
      <c r="UFH5" s="3404"/>
      <c r="UFI5" s="3404"/>
      <c r="UFJ5" s="3404"/>
      <c r="UFK5" s="3404"/>
      <c r="UFL5" s="3404"/>
      <c r="UFM5" s="3404"/>
      <c r="UFN5" s="3404"/>
      <c r="UFO5" s="3404"/>
      <c r="UFP5" s="3404"/>
      <c r="UFQ5" s="3404"/>
      <c r="UFR5" s="3404"/>
      <c r="UFS5" s="3404"/>
      <c r="UFT5" s="3404"/>
      <c r="UFU5" s="3404"/>
      <c r="UFV5" s="3404"/>
      <c r="UFW5" s="3404"/>
      <c r="UFX5" s="3404"/>
      <c r="UFY5" s="3404"/>
      <c r="UFZ5" s="3404"/>
      <c r="UGA5" s="3404"/>
      <c r="UGB5" s="3404"/>
      <c r="UGC5" s="3404"/>
      <c r="UGD5" s="3404"/>
      <c r="UGE5" s="3404"/>
      <c r="UGF5" s="3404"/>
      <c r="UGG5" s="3404"/>
      <c r="UGH5" s="3404"/>
      <c r="UGI5" s="3404"/>
      <c r="UGJ5" s="3404"/>
      <c r="UGK5" s="3404"/>
      <c r="UGL5" s="3404"/>
      <c r="UGM5" s="3404"/>
      <c r="UGN5" s="3404"/>
      <c r="UGO5" s="3404"/>
      <c r="UGP5" s="3404"/>
      <c r="UGQ5" s="3404"/>
      <c r="UGR5" s="3404"/>
      <c r="UGS5" s="3404"/>
      <c r="UGT5" s="3404"/>
      <c r="UGU5" s="3404"/>
      <c r="UGV5" s="3404"/>
      <c r="UGW5" s="3404"/>
      <c r="UGX5" s="3404"/>
      <c r="UGY5" s="3404"/>
      <c r="UGZ5" s="3404"/>
      <c r="UHA5" s="3404"/>
      <c r="UHB5" s="3404"/>
      <c r="UHC5" s="3404"/>
      <c r="UHD5" s="3404"/>
      <c r="UHE5" s="3404"/>
      <c r="UHF5" s="3404"/>
      <c r="UHG5" s="3404"/>
      <c r="UHH5" s="3404"/>
      <c r="UHI5" s="3404"/>
      <c r="UHJ5" s="3404"/>
      <c r="UHK5" s="3404"/>
      <c r="UHL5" s="3404"/>
      <c r="UHM5" s="3404"/>
      <c r="UHN5" s="3404"/>
      <c r="UHO5" s="3404"/>
      <c r="UHP5" s="3404"/>
      <c r="UHQ5" s="3404"/>
      <c r="UHR5" s="3404"/>
      <c r="UHS5" s="3404"/>
      <c r="UHT5" s="3404"/>
      <c r="UHU5" s="3404"/>
      <c r="UHV5" s="3404"/>
      <c r="UHW5" s="3404"/>
      <c r="UHX5" s="3404"/>
      <c r="UHY5" s="3404"/>
      <c r="UHZ5" s="3404"/>
      <c r="UIA5" s="3404"/>
      <c r="UIB5" s="3404"/>
      <c r="UIC5" s="3404"/>
      <c r="UID5" s="3404"/>
      <c r="UIE5" s="3404"/>
      <c r="UIF5" s="3404"/>
      <c r="UIG5" s="3404"/>
      <c r="UIH5" s="3404"/>
      <c r="UII5" s="3404"/>
      <c r="UIJ5" s="3404"/>
      <c r="UIK5" s="3404"/>
      <c r="UIL5" s="3404"/>
      <c r="UIM5" s="3404"/>
      <c r="UIN5" s="3404"/>
      <c r="UIO5" s="3404"/>
      <c r="UIP5" s="3404"/>
      <c r="UIQ5" s="3404"/>
      <c r="UIR5" s="3404"/>
      <c r="UIS5" s="3404"/>
      <c r="UIT5" s="3404"/>
      <c r="UIU5" s="3404"/>
      <c r="UIV5" s="3404"/>
      <c r="UIW5" s="3404"/>
      <c r="UIX5" s="3404"/>
      <c r="UIY5" s="3404"/>
      <c r="UIZ5" s="3404"/>
      <c r="UJA5" s="3404"/>
      <c r="UJB5" s="3404"/>
      <c r="UJC5" s="3404"/>
      <c r="UJD5" s="3404"/>
      <c r="UJE5" s="3404"/>
      <c r="UJF5" s="3404"/>
      <c r="UJG5" s="3404"/>
      <c r="UJH5" s="3404"/>
      <c r="UJI5" s="3404"/>
      <c r="UJJ5" s="3404"/>
      <c r="UJK5" s="3404"/>
      <c r="UJL5" s="3404"/>
      <c r="UJM5" s="3404"/>
      <c r="UJN5" s="3404"/>
      <c r="UJO5" s="3404"/>
      <c r="UJP5" s="3404"/>
      <c r="UJQ5" s="3404"/>
      <c r="UJR5" s="3404"/>
      <c r="UJS5" s="3404"/>
      <c r="UJT5" s="3404"/>
      <c r="UJU5" s="3404"/>
      <c r="UJV5" s="3404"/>
      <c r="UJW5" s="3404"/>
      <c r="UJX5" s="3404"/>
      <c r="UJY5" s="3404"/>
      <c r="UJZ5" s="3404"/>
      <c r="UKA5" s="3404"/>
      <c r="UKB5" s="3404"/>
      <c r="UKC5" s="3404"/>
      <c r="UKD5" s="3404"/>
      <c r="UKE5" s="3404"/>
      <c r="UKF5" s="3404"/>
      <c r="UKG5" s="3404"/>
      <c r="UKH5" s="3404"/>
      <c r="UKI5" s="3404"/>
      <c r="UKJ5" s="3404"/>
      <c r="UKK5" s="3404"/>
      <c r="UKL5" s="3404"/>
      <c r="UKM5" s="3404"/>
      <c r="UKN5" s="3404"/>
      <c r="UKO5" s="3404"/>
      <c r="UKP5" s="3404"/>
      <c r="UKQ5" s="3404"/>
      <c r="UKR5" s="3404"/>
      <c r="UKS5" s="3404"/>
      <c r="UKT5" s="3404"/>
      <c r="UKU5" s="3404"/>
      <c r="UKV5" s="3404"/>
      <c r="UKW5" s="3404"/>
      <c r="UKX5" s="3404"/>
      <c r="UKY5" s="3404"/>
      <c r="UKZ5" s="3404"/>
      <c r="ULA5" s="3404"/>
      <c r="ULB5" s="3404"/>
      <c r="ULC5" s="3404"/>
      <c r="ULD5" s="3404"/>
      <c r="ULE5" s="3404"/>
      <c r="ULF5" s="3404"/>
      <c r="ULG5" s="3404"/>
      <c r="ULH5" s="3404"/>
      <c r="ULI5" s="3404"/>
      <c r="ULJ5" s="3404"/>
      <c r="ULK5" s="3404"/>
      <c r="ULL5" s="3404"/>
      <c r="ULM5" s="3404"/>
      <c r="ULN5" s="3404"/>
      <c r="ULO5" s="3404"/>
      <c r="ULP5" s="3404"/>
      <c r="ULQ5" s="3404"/>
      <c r="ULR5" s="3404"/>
      <c r="ULS5" s="3404"/>
      <c r="ULT5" s="3404"/>
      <c r="ULU5" s="3404"/>
      <c r="ULV5" s="3404"/>
      <c r="ULW5" s="3404"/>
      <c r="ULX5" s="3404"/>
      <c r="ULY5" s="3404"/>
      <c r="ULZ5" s="3404"/>
      <c r="UMA5" s="3404"/>
      <c r="UMB5" s="3404"/>
      <c r="UMC5" s="3404"/>
      <c r="UMD5" s="3404"/>
      <c r="UME5" s="3404"/>
      <c r="UMF5" s="3404"/>
      <c r="UMG5" s="3404"/>
      <c r="UMH5" s="3404"/>
      <c r="UMI5" s="3404"/>
      <c r="UMJ5" s="3404"/>
      <c r="UMK5" s="3404"/>
      <c r="UML5" s="3404"/>
      <c r="UMM5" s="3404"/>
      <c r="UMN5" s="3404"/>
      <c r="UMO5" s="3404"/>
      <c r="UMP5" s="3404"/>
      <c r="UMQ5" s="3404"/>
      <c r="UMR5" s="3404"/>
      <c r="UMS5" s="3404"/>
      <c r="UMT5" s="3404"/>
      <c r="UMU5" s="3404"/>
      <c r="UMV5" s="3404"/>
      <c r="UMW5" s="3404"/>
      <c r="UMX5" s="3404"/>
      <c r="UMY5" s="3404"/>
      <c r="UMZ5" s="3404"/>
      <c r="UNA5" s="3404"/>
      <c r="UNB5" s="3404"/>
      <c r="UNC5" s="3404"/>
      <c r="UND5" s="3404"/>
      <c r="UNE5" s="3404"/>
      <c r="UNF5" s="3404"/>
      <c r="UNG5" s="3404"/>
      <c r="UNH5" s="3404"/>
      <c r="UNI5" s="3404"/>
      <c r="UNJ5" s="3404"/>
      <c r="UNK5" s="3404"/>
      <c r="UNL5" s="3404"/>
      <c r="UNM5" s="3404"/>
      <c r="UNN5" s="3404"/>
      <c r="UNO5" s="3404"/>
      <c r="UNP5" s="3404"/>
      <c r="UNQ5" s="3404"/>
      <c r="UNR5" s="3404"/>
      <c r="UNS5" s="3404"/>
      <c r="UNT5" s="3404"/>
      <c r="UNU5" s="3404"/>
      <c r="UNV5" s="3404"/>
      <c r="UNW5" s="3404"/>
      <c r="UNX5" s="3404"/>
      <c r="UNY5" s="3404"/>
      <c r="UNZ5" s="3404"/>
      <c r="UOA5" s="3404"/>
      <c r="UOB5" s="3404"/>
      <c r="UOC5" s="3404"/>
      <c r="UOD5" s="3404"/>
      <c r="UOE5" s="3404"/>
      <c r="UOF5" s="3404"/>
      <c r="UOG5" s="3404"/>
      <c r="UOH5" s="3404"/>
      <c r="UOI5" s="3404"/>
      <c r="UOJ5" s="3404"/>
      <c r="UOK5" s="3404"/>
      <c r="UOL5" s="3404"/>
      <c r="UOM5" s="3404"/>
      <c r="UON5" s="3404"/>
      <c r="UOO5" s="3404"/>
      <c r="UOP5" s="3404"/>
      <c r="UOQ5" s="3404"/>
      <c r="UOR5" s="3404"/>
      <c r="UOS5" s="3404"/>
      <c r="UOT5" s="3404"/>
      <c r="UOU5" s="3404"/>
      <c r="UOV5" s="3404"/>
      <c r="UOW5" s="3404"/>
      <c r="UOX5" s="3404"/>
      <c r="UOY5" s="3404"/>
      <c r="UOZ5" s="3404"/>
      <c r="UPA5" s="3404"/>
      <c r="UPB5" s="3404"/>
      <c r="UPC5" s="3404"/>
      <c r="UPD5" s="3404"/>
      <c r="UPE5" s="3404"/>
      <c r="UPF5" s="3404"/>
      <c r="UPG5" s="3404"/>
      <c r="UPH5" s="3404"/>
      <c r="UPI5" s="3404"/>
      <c r="UPJ5" s="3404"/>
      <c r="UPK5" s="3404"/>
      <c r="UPL5" s="3404"/>
      <c r="UPM5" s="3404"/>
      <c r="UPN5" s="3404"/>
      <c r="UPO5" s="3404"/>
      <c r="UPP5" s="3404"/>
      <c r="UPQ5" s="3404"/>
      <c r="UPR5" s="3404"/>
      <c r="UPS5" s="3404"/>
      <c r="UPT5" s="3404"/>
      <c r="UPU5" s="3404"/>
      <c r="UPV5" s="3404"/>
      <c r="UPW5" s="3404"/>
      <c r="UPX5" s="3404"/>
      <c r="UPY5" s="3404"/>
      <c r="UPZ5" s="3404"/>
      <c r="UQA5" s="3404"/>
      <c r="UQB5" s="3404"/>
      <c r="UQC5" s="3404"/>
      <c r="UQD5" s="3404"/>
      <c r="UQE5" s="3404"/>
      <c r="UQF5" s="3404"/>
      <c r="UQG5" s="3404"/>
      <c r="UQH5" s="3404"/>
      <c r="UQI5" s="3404"/>
      <c r="UQJ5" s="3404"/>
      <c r="UQK5" s="3404"/>
      <c r="UQL5" s="3404"/>
      <c r="UQM5" s="3404"/>
      <c r="UQN5" s="3404"/>
      <c r="UQO5" s="3404"/>
      <c r="UQP5" s="3404"/>
      <c r="UQQ5" s="3404"/>
      <c r="UQR5" s="3404"/>
      <c r="UQS5" s="3404"/>
      <c r="UQT5" s="3404"/>
      <c r="UQU5" s="3404"/>
      <c r="UQV5" s="3404"/>
      <c r="UQW5" s="3404"/>
      <c r="UQX5" s="3404"/>
      <c r="UQY5" s="3404"/>
      <c r="UQZ5" s="3404"/>
      <c r="URA5" s="3404"/>
      <c r="URB5" s="3404"/>
      <c r="URC5" s="3404"/>
      <c r="URD5" s="3404"/>
      <c r="URE5" s="3404"/>
      <c r="URF5" s="3404"/>
      <c r="URG5" s="3404"/>
      <c r="URH5" s="3404"/>
      <c r="URI5" s="3404"/>
      <c r="URJ5" s="3404"/>
      <c r="URK5" s="3404"/>
      <c r="URL5" s="3404"/>
      <c r="URM5" s="3404"/>
      <c r="URN5" s="3404"/>
      <c r="URO5" s="3404"/>
      <c r="URP5" s="3404"/>
      <c r="URQ5" s="3404"/>
      <c r="URR5" s="3404"/>
      <c r="URS5" s="3404"/>
      <c r="URT5" s="3404"/>
      <c r="URU5" s="3404"/>
      <c r="URV5" s="3404"/>
      <c r="URW5" s="3404"/>
      <c r="URX5" s="3404"/>
      <c r="URY5" s="3404"/>
      <c r="URZ5" s="3404"/>
      <c r="USA5" s="3404"/>
      <c r="USB5" s="3404"/>
      <c r="USC5" s="3404"/>
      <c r="USD5" s="3404"/>
      <c r="USE5" s="3404"/>
      <c r="USF5" s="3404"/>
      <c r="USG5" s="3404"/>
      <c r="USH5" s="3404"/>
      <c r="USI5" s="3404"/>
      <c r="USJ5" s="3404"/>
      <c r="USK5" s="3404"/>
      <c r="USL5" s="3404"/>
      <c r="USM5" s="3404"/>
      <c r="USN5" s="3404"/>
      <c r="USO5" s="3404"/>
      <c r="USP5" s="3404"/>
      <c r="USQ5" s="3404"/>
      <c r="USR5" s="3404"/>
      <c r="USS5" s="3404"/>
      <c r="UST5" s="3404"/>
      <c r="USU5" s="3404"/>
      <c r="USV5" s="3404"/>
      <c r="USW5" s="3404"/>
      <c r="USX5" s="3404"/>
      <c r="USY5" s="3404"/>
      <c r="USZ5" s="3404"/>
      <c r="UTA5" s="3404"/>
      <c r="UTB5" s="3404"/>
      <c r="UTC5" s="3404"/>
      <c r="UTD5" s="3404"/>
      <c r="UTE5" s="3404"/>
      <c r="UTF5" s="3404"/>
      <c r="UTG5" s="3404"/>
      <c r="UTH5" s="3404"/>
      <c r="UTI5" s="3404"/>
      <c r="UTJ5" s="3404"/>
      <c r="UTK5" s="3404"/>
      <c r="UTL5" s="3404"/>
      <c r="UTM5" s="3404"/>
      <c r="UTN5" s="3404"/>
      <c r="UTO5" s="3404"/>
      <c r="UTP5" s="3404"/>
      <c r="UTQ5" s="3404"/>
      <c r="UTR5" s="3404"/>
      <c r="UTS5" s="3404"/>
      <c r="UTT5" s="3404"/>
      <c r="UTU5" s="3404"/>
      <c r="UTV5" s="3404"/>
      <c r="UTW5" s="3404"/>
      <c r="UTX5" s="3404"/>
      <c r="UTY5" s="3404"/>
      <c r="UTZ5" s="3404"/>
      <c r="UUA5" s="3404"/>
      <c r="UUB5" s="3404"/>
      <c r="UUC5" s="3404"/>
      <c r="UUD5" s="3404"/>
      <c r="UUE5" s="3404"/>
      <c r="UUF5" s="3404"/>
      <c r="UUG5" s="3404"/>
      <c r="UUH5" s="3404"/>
      <c r="UUI5" s="3404"/>
      <c r="UUJ5" s="3404"/>
      <c r="UUK5" s="3404"/>
      <c r="UUL5" s="3404"/>
      <c r="UUM5" s="3404"/>
      <c r="UUN5" s="3404"/>
      <c r="UUO5" s="3404"/>
      <c r="UUP5" s="3404"/>
      <c r="UUQ5" s="3404"/>
      <c r="UUR5" s="3404"/>
      <c r="UUS5" s="3404"/>
      <c r="UUT5" s="3404"/>
      <c r="UUU5" s="3404"/>
      <c r="UUV5" s="3404"/>
      <c r="UUW5" s="3404"/>
      <c r="UUX5" s="3404"/>
      <c r="UUY5" s="3404"/>
      <c r="UUZ5" s="3404"/>
      <c r="UVA5" s="3404"/>
      <c r="UVB5" s="3404"/>
      <c r="UVC5" s="3404"/>
      <c r="UVD5" s="3404"/>
      <c r="UVE5" s="3404"/>
      <c r="UVF5" s="3404"/>
      <c r="UVG5" s="3404"/>
      <c r="UVH5" s="3404"/>
      <c r="UVI5" s="3404"/>
      <c r="UVJ5" s="3404"/>
      <c r="UVK5" s="3404"/>
      <c r="UVL5" s="3404"/>
      <c r="UVM5" s="3404"/>
      <c r="UVN5" s="3404"/>
      <c r="UVO5" s="3404"/>
      <c r="UVP5" s="3404"/>
      <c r="UVQ5" s="3404"/>
      <c r="UVR5" s="3404"/>
      <c r="UVS5" s="3404"/>
      <c r="UVT5" s="3404"/>
      <c r="UVU5" s="3404"/>
      <c r="UVV5" s="3404"/>
      <c r="UVW5" s="3404"/>
      <c r="UVX5" s="3404"/>
      <c r="UVY5" s="3404"/>
      <c r="UVZ5" s="3404"/>
      <c r="UWA5" s="3404"/>
      <c r="UWB5" s="3404"/>
      <c r="UWC5" s="3404"/>
      <c r="UWD5" s="3404"/>
      <c r="UWE5" s="3404"/>
      <c r="UWF5" s="3404"/>
      <c r="UWG5" s="3404"/>
      <c r="UWH5" s="3404"/>
      <c r="UWI5" s="3404"/>
      <c r="UWJ5" s="3404"/>
      <c r="UWK5" s="3404"/>
      <c r="UWL5" s="3404"/>
      <c r="UWM5" s="3404"/>
      <c r="UWN5" s="3404"/>
      <c r="UWO5" s="3404"/>
      <c r="UWP5" s="3404"/>
      <c r="UWQ5" s="3404"/>
      <c r="UWR5" s="3404"/>
      <c r="UWS5" s="3404"/>
      <c r="UWT5" s="3404"/>
      <c r="UWU5" s="3404"/>
      <c r="UWV5" s="3404"/>
      <c r="UWW5" s="3404"/>
      <c r="UWX5" s="3404"/>
      <c r="UWY5" s="3404"/>
      <c r="UWZ5" s="3404"/>
      <c r="UXA5" s="3404"/>
      <c r="UXB5" s="3404"/>
      <c r="UXC5" s="3404"/>
      <c r="UXD5" s="3404"/>
      <c r="UXE5" s="3404"/>
      <c r="UXF5" s="3404"/>
      <c r="UXG5" s="3404"/>
      <c r="UXH5" s="3404"/>
      <c r="UXI5" s="3404"/>
      <c r="UXJ5" s="3404"/>
      <c r="UXK5" s="3404"/>
      <c r="UXL5" s="3404"/>
      <c r="UXM5" s="3404"/>
      <c r="UXN5" s="3404"/>
      <c r="UXO5" s="3404"/>
      <c r="UXP5" s="3404"/>
      <c r="UXQ5" s="3404"/>
      <c r="UXR5" s="3404"/>
      <c r="UXS5" s="3404"/>
      <c r="UXT5" s="3404"/>
      <c r="UXU5" s="3404"/>
      <c r="UXV5" s="3404"/>
      <c r="UXW5" s="3404"/>
      <c r="UXX5" s="3404"/>
      <c r="UXY5" s="3404"/>
      <c r="UXZ5" s="3404"/>
      <c r="UYA5" s="3404"/>
      <c r="UYB5" s="3404"/>
      <c r="UYC5" s="3404"/>
      <c r="UYD5" s="3404"/>
      <c r="UYE5" s="3404"/>
      <c r="UYF5" s="3404"/>
      <c r="UYG5" s="3404"/>
      <c r="UYH5" s="3404"/>
      <c r="UYI5" s="3404"/>
      <c r="UYJ5" s="3404"/>
      <c r="UYK5" s="3404"/>
      <c r="UYL5" s="3404"/>
      <c r="UYM5" s="3404"/>
      <c r="UYN5" s="3404"/>
      <c r="UYO5" s="3404"/>
      <c r="UYP5" s="3404"/>
      <c r="UYQ5" s="3404"/>
      <c r="UYR5" s="3404"/>
      <c r="UYS5" s="3404"/>
      <c r="UYT5" s="3404"/>
      <c r="UYU5" s="3404"/>
      <c r="UYV5" s="3404"/>
      <c r="UYW5" s="3404"/>
      <c r="UYX5" s="3404"/>
      <c r="UYY5" s="3404"/>
      <c r="UYZ5" s="3404"/>
      <c r="UZA5" s="3404"/>
      <c r="UZB5" s="3404"/>
      <c r="UZC5" s="3404"/>
      <c r="UZD5" s="3404"/>
      <c r="UZE5" s="3404"/>
      <c r="UZF5" s="3404"/>
      <c r="UZG5" s="3404"/>
      <c r="UZH5" s="3404"/>
      <c r="UZI5" s="3404"/>
      <c r="UZJ5" s="3404"/>
      <c r="UZK5" s="3404"/>
      <c r="UZL5" s="3404"/>
      <c r="UZM5" s="3404"/>
      <c r="UZN5" s="3404"/>
      <c r="UZO5" s="3404"/>
      <c r="UZP5" s="3404"/>
      <c r="UZQ5" s="3404"/>
      <c r="UZR5" s="3404"/>
      <c r="UZS5" s="3404"/>
      <c r="UZT5" s="3404"/>
      <c r="UZU5" s="3404"/>
      <c r="UZV5" s="3404"/>
      <c r="UZW5" s="3404"/>
      <c r="UZX5" s="3404"/>
      <c r="UZY5" s="3404"/>
      <c r="UZZ5" s="3404"/>
      <c r="VAA5" s="3404"/>
      <c r="VAB5" s="3404"/>
      <c r="VAC5" s="3404"/>
      <c r="VAD5" s="3404"/>
      <c r="VAE5" s="3404"/>
      <c r="VAF5" s="3404"/>
      <c r="VAG5" s="3404"/>
      <c r="VAH5" s="3404"/>
      <c r="VAI5" s="3404"/>
      <c r="VAJ5" s="3404"/>
      <c r="VAK5" s="3404"/>
      <c r="VAL5" s="3404"/>
      <c r="VAM5" s="3404"/>
      <c r="VAN5" s="3404"/>
      <c r="VAO5" s="3404"/>
      <c r="VAP5" s="3404"/>
      <c r="VAQ5" s="3404"/>
      <c r="VAR5" s="3404"/>
      <c r="VAS5" s="3404"/>
      <c r="VAT5" s="3404"/>
      <c r="VAU5" s="3404"/>
      <c r="VAV5" s="3404"/>
      <c r="VAW5" s="3404"/>
      <c r="VAX5" s="3404"/>
      <c r="VAY5" s="3404"/>
      <c r="VAZ5" s="3404"/>
      <c r="VBA5" s="3404"/>
      <c r="VBB5" s="3404"/>
      <c r="VBC5" s="3404"/>
      <c r="VBD5" s="3404"/>
      <c r="VBE5" s="3404"/>
      <c r="VBF5" s="3404"/>
      <c r="VBG5" s="3404"/>
      <c r="VBH5" s="3404"/>
      <c r="VBI5" s="3404"/>
      <c r="VBJ5" s="3404"/>
      <c r="VBK5" s="3404"/>
      <c r="VBL5" s="3404"/>
      <c r="VBM5" s="3404"/>
      <c r="VBN5" s="3404"/>
      <c r="VBO5" s="3404"/>
      <c r="VBP5" s="3404"/>
      <c r="VBQ5" s="3404"/>
      <c r="VBR5" s="3404"/>
      <c r="VBS5" s="3404"/>
      <c r="VBT5" s="3404"/>
      <c r="VBU5" s="3404"/>
      <c r="VBV5" s="3404"/>
      <c r="VBW5" s="3404"/>
      <c r="VBX5" s="3404"/>
      <c r="VBY5" s="3404"/>
      <c r="VBZ5" s="3404"/>
      <c r="VCA5" s="3404"/>
      <c r="VCB5" s="3404"/>
      <c r="VCC5" s="3404"/>
      <c r="VCD5" s="3404"/>
      <c r="VCE5" s="3404"/>
      <c r="VCF5" s="3404"/>
      <c r="VCG5" s="3404"/>
      <c r="VCH5" s="3404"/>
      <c r="VCI5" s="3404"/>
      <c r="VCJ5" s="3404"/>
      <c r="VCK5" s="3404"/>
      <c r="VCL5" s="3404"/>
      <c r="VCM5" s="3404"/>
      <c r="VCN5" s="3404"/>
      <c r="VCO5" s="3404"/>
      <c r="VCP5" s="3404"/>
      <c r="VCQ5" s="3404"/>
      <c r="VCR5" s="3404"/>
      <c r="VCS5" s="3404"/>
      <c r="VCT5" s="3404"/>
      <c r="VCU5" s="3404"/>
      <c r="VCV5" s="3404"/>
      <c r="VCW5" s="3404"/>
      <c r="VCX5" s="3404"/>
      <c r="VCY5" s="3404"/>
      <c r="VCZ5" s="3404"/>
      <c r="VDA5" s="3404"/>
      <c r="VDB5" s="3404"/>
      <c r="VDC5" s="3404"/>
      <c r="VDD5" s="3404"/>
      <c r="VDE5" s="3404"/>
      <c r="VDF5" s="3404"/>
      <c r="VDG5" s="3404"/>
      <c r="VDH5" s="3404"/>
      <c r="VDI5" s="3404"/>
      <c r="VDJ5" s="3404"/>
      <c r="VDK5" s="3404"/>
      <c r="VDL5" s="3404"/>
      <c r="VDM5" s="3404"/>
      <c r="VDN5" s="3404"/>
      <c r="VDO5" s="3404"/>
      <c r="VDP5" s="3404"/>
      <c r="VDQ5" s="3404"/>
      <c r="VDR5" s="3404"/>
      <c r="VDS5" s="3404"/>
      <c r="VDT5" s="3404"/>
      <c r="VDU5" s="3404"/>
      <c r="VDV5" s="3404"/>
      <c r="VDW5" s="3404"/>
      <c r="VDX5" s="3404"/>
      <c r="VDY5" s="3404"/>
      <c r="VDZ5" s="3404"/>
      <c r="VEA5" s="3404"/>
      <c r="VEB5" s="3404"/>
      <c r="VEC5" s="3404"/>
      <c r="VED5" s="3404"/>
      <c r="VEE5" s="3404"/>
      <c r="VEF5" s="3404"/>
      <c r="VEG5" s="3404"/>
      <c r="VEH5" s="3404"/>
      <c r="VEI5" s="3404"/>
      <c r="VEJ5" s="3404"/>
      <c r="VEK5" s="3404"/>
      <c r="VEL5" s="3404"/>
      <c r="VEM5" s="3404"/>
      <c r="VEN5" s="3404"/>
      <c r="VEO5" s="3404"/>
      <c r="VEP5" s="3404"/>
      <c r="VEQ5" s="3404"/>
      <c r="VER5" s="3404"/>
      <c r="VES5" s="3404"/>
      <c r="VET5" s="3404"/>
      <c r="VEU5" s="3404"/>
      <c r="VEV5" s="3404"/>
      <c r="VEW5" s="3404"/>
      <c r="VEX5" s="3404"/>
      <c r="VEY5" s="3404"/>
      <c r="VEZ5" s="3404"/>
      <c r="VFA5" s="3404"/>
      <c r="VFB5" s="3404"/>
      <c r="VFC5" s="3404"/>
      <c r="VFD5" s="3404"/>
      <c r="VFE5" s="3404"/>
      <c r="VFF5" s="3404"/>
      <c r="VFG5" s="3404"/>
      <c r="VFH5" s="3404"/>
      <c r="VFI5" s="3404"/>
      <c r="VFJ5" s="3404"/>
      <c r="VFK5" s="3404"/>
      <c r="VFL5" s="3404"/>
      <c r="VFM5" s="3404"/>
      <c r="VFN5" s="3404"/>
      <c r="VFO5" s="3404"/>
      <c r="VFP5" s="3404"/>
      <c r="VFQ5" s="3404"/>
      <c r="VFR5" s="3404"/>
      <c r="VFS5" s="3404"/>
      <c r="VFT5" s="3404"/>
      <c r="VFU5" s="3404"/>
      <c r="VFV5" s="3404"/>
      <c r="VFW5" s="3404"/>
      <c r="VFX5" s="3404"/>
      <c r="VFY5" s="3404"/>
      <c r="VFZ5" s="3404"/>
      <c r="VGA5" s="3404"/>
      <c r="VGB5" s="3404"/>
      <c r="VGC5" s="3404"/>
      <c r="VGD5" s="3404"/>
      <c r="VGE5" s="3404"/>
      <c r="VGF5" s="3404"/>
      <c r="VGG5" s="3404"/>
      <c r="VGH5" s="3404"/>
      <c r="VGI5" s="3404"/>
      <c r="VGJ5" s="3404"/>
      <c r="VGK5" s="3404"/>
      <c r="VGL5" s="3404"/>
      <c r="VGM5" s="3404"/>
      <c r="VGN5" s="3404"/>
      <c r="VGO5" s="3404"/>
      <c r="VGP5" s="3404"/>
      <c r="VGQ5" s="3404"/>
      <c r="VGR5" s="3404"/>
      <c r="VGS5" s="3404"/>
      <c r="VGT5" s="3404"/>
      <c r="VGU5" s="3404"/>
      <c r="VGV5" s="3404"/>
      <c r="VGW5" s="3404"/>
      <c r="VGX5" s="3404"/>
      <c r="VGY5" s="3404"/>
      <c r="VGZ5" s="3404"/>
      <c r="VHA5" s="3404"/>
      <c r="VHB5" s="3404"/>
      <c r="VHC5" s="3404"/>
      <c r="VHD5" s="3404"/>
      <c r="VHE5" s="3404"/>
      <c r="VHF5" s="3404"/>
      <c r="VHG5" s="3404"/>
      <c r="VHH5" s="3404"/>
      <c r="VHI5" s="3404"/>
      <c r="VHJ5" s="3404"/>
      <c r="VHK5" s="3404"/>
      <c r="VHL5" s="3404"/>
      <c r="VHM5" s="3404"/>
      <c r="VHN5" s="3404"/>
      <c r="VHO5" s="3404"/>
      <c r="VHP5" s="3404"/>
      <c r="VHQ5" s="3404"/>
      <c r="VHR5" s="3404"/>
      <c r="VHS5" s="3404"/>
      <c r="VHT5" s="3404"/>
      <c r="VHU5" s="3404"/>
      <c r="VHV5" s="3404"/>
      <c r="VHW5" s="3404"/>
      <c r="VHX5" s="3404"/>
      <c r="VHY5" s="3404"/>
      <c r="VHZ5" s="3404"/>
      <c r="VIA5" s="3404"/>
      <c r="VIB5" s="3404"/>
      <c r="VIC5" s="3404"/>
      <c r="VID5" s="3404"/>
      <c r="VIE5" s="3404"/>
      <c r="VIF5" s="3404"/>
      <c r="VIG5" s="3404"/>
      <c r="VIH5" s="3404"/>
      <c r="VII5" s="3404"/>
      <c r="VIJ5" s="3404"/>
      <c r="VIK5" s="3404"/>
      <c r="VIL5" s="3404"/>
      <c r="VIM5" s="3404"/>
      <c r="VIN5" s="3404"/>
      <c r="VIO5" s="3404"/>
      <c r="VIP5" s="3404"/>
      <c r="VIQ5" s="3404"/>
      <c r="VIR5" s="3404"/>
      <c r="VIS5" s="3404"/>
      <c r="VIT5" s="3404"/>
      <c r="VIU5" s="3404"/>
      <c r="VIV5" s="3404"/>
      <c r="VIW5" s="3404"/>
      <c r="VIX5" s="3404"/>
      <c r="VIY5" s="3404"/>
      <c r="VIZ5" s="3404"/>
      <c r="VJA5" s="3404"/>
      <c r="VJB5" s="3404"/>
      <c r="VJC5" s="3404"/>
      <c r="VJD5" s="3404"/>
      <c r="VJE5" s="3404"/>
      <c r="VJF5" s="3404"/>
      <c r="VJG5" s="3404"/>
      <c r="VJH5" s="3404"/>
      <c r="VJI5" s="3404"/>
      <c r="VJJ5" s="3404"/>
      <c r="VJK5" s="3404"/>
      <c r="VJL5" s="3404"/>
      <c r="VJM5" s="3404"/>
      <c r="VJN5" s="3404"/>
      <c r="VJO5" s="3404"/>
      <c r="VJP5" s="3404"/>
      <c r="VJQ5" s="3404"/>
      <c r="VJR5" s="3404"/>
      <c r="VJS5" s="3404"/>
      <c r="VJT5" s="3404"/>
      <c r="VJU5" s="3404"/>
      <c r="VJV5" s="3404"/>
      <c r="VJW5" s="3404"/>
      <c r="VJX5" s="3404"/>
      <c r="VJY5" s="3404"/>
      <c r="VJZ5" s="3404"/>
      <c r="VKA5" s="3404"/>
      <c r="VKB5" s="3404"/>
      <c r="VKC5" s="3404"/>
      <c r="VKD5" s="3404"/>
      <c r="VKE5" s="3404"/>
      <c r="VKF5" s="3404"/>
      <c r="VKG5" s="3404"/>
      <c r="VKH5" s="3404"/>
      <c r="VKI5" s="3404"/>
      <c r="VKJ5" s="3404"/>
      <c r="VKK5" s="3404"/>
      <c r="VKL5" s="3404"/>
      <c r="VKM5" s="3404"/>
      <c r="VKN5" s="3404"/>
      <c r="VKO5" s="3404"/>
      <c r="VKP5" s="3404"/>
      <c r="VKQ5" s="3404"/>
      <c r="VKR5" s="3404"/>
      <c r="VKS5" s="3404"/>
      <c r="VKT5" s="3404"/>
      <c r="VKU5" s="3404"/>
      <c r="VKV5" s="3404"/>
      <c r="VKW5" s="3404"/>
      <c r="VKX5" s="3404"/>
      <c r="VKY5" s="3404"/>
      <c r="VKZ5" s="3404"/>
      <c r="VLA5" s="3404"/>
      <c r="VLB5" s="3404"/>
      <c r="VLC5" s="3404"/>
      <c r="VLD5" s="3404"/>
      <c r="VLE5" s="3404"/>
      <c r="VLF5" s="3404"/>
      <c r="VLG5" s="3404"/>
      <c r="VLH5" s="3404"/>
      <c r="VLI5" s="3404"/>
      <c r="VLJ5" s="3404"/>
      <c r="VLK5" s="3404"/>
      <c r="VLL5" s="3404"/>
      <c r="VLM5" s="3404"/>
      <c r="VLN5" s="3404"/>
      <c r="VLO5" s="3404"/>
      <c r="VLP5" s="3404"/>
      <c r="VLQ5" s="3404"/>
      <c r="VLR5" s="3404"/>
      <c r="VLS5" s="3404"/>
      <c r="VLT5" s="3404"/>
      <c r="VLU5" s="3404"/>
      <c r="VLV5" s="3404"/>
      <c r="VLW5" s="3404"/>
      <c r="VLX5" s="3404"/>
      <c r="VLY5" s="3404"/>
      <c r="VLZ5" s="3404"/>
      <c r="VMA5" s="3404"/>
      <c r="VMB5" s="3404"/>
      <c r="VMC5" s="3404"/>
      <c r="VMD5" s="3404"/>
      <c r="VME5" s="3404"/>
      <c r="VMF5" s="3404"/>
      <c r="VMG5" s="3404"/>
      <c r="VMH5" s="3404"/>
      <c r="VMI5" s="3404"/>
      <c r="VMJ5" s="3404"/>
      <c r="VMK5" s="3404"/>
      <c r="VML5" s="3404"/>
      <c r="VMM5" s="3404"/>
      <c r="VMN5" s="3404"/>
      <c r="VMO5" s="3404"/>
      <c r="VMP5" s="3404"/>
      <c r="VMQ5" s="3404"/>
      <c r="VMR5" s="3404"/>
      <c r="VMS5" s="3404"/>
      <c r="VMT5" s="3404"/>
      <c r="VMU5" s="3404"/>
      <c r="VMV5" s="3404"/>
      <c r="VMW5" s="3404"/>
      <c r="VMX5" s="3404"/>
      <c r="VMY5" s="3404"/>
      <c r="VMZ5" s="3404"/>
      <c r="VNA5" s="3404"/>
      <c r="VNB5" s="3404"/>
      <c r="VNC5" s="3404"/>
      <c r="VND5" s="3404"/>
      <c r="VNE5" s="3404"/>
      <c r="VNF5" s="3404"/>
      <c r="VNG5" s="3404"/>
      <c r="VNH5" s="3404"/>
      <c r="VNI5" s="3404"/>
      <c r="VNJ5" s="3404"/>
      <c r="VNK5" s="3404"/>
      <c r="VNL5" s="3404"/>
      <c r="VNM5" s="3404"/>
      <c r="VNN5" s="3404"/>
      <c r="VNO5" s="3404"/>
      <c r="VNP5" s="3404"/>
      <c r="VNQ5" s="3404"/>
      <c r="VNR5" s="3404"/>
      <c r="VNS5" s="3404"/>
      <c r="VNT5" s="3404"/>
      <c r="VNU5" s="3404"/>
      <c r="VNV5" s="3404"/>
      <c r="VNW5" s="3404"/>
      <c r="VNX5" s="3404"/>
      <c r="VNY5" s="3404"/>
      <c r="VNZ5" s="3404"/>
      <c r="VOA5" s="3404"/>
      <c r="VOB5" s="3404"/>
      <c r="VOC5" s="3404"/>
      <c r="VOD5" s="3404"/>
      <c r="VOE5" s="3404"/>
      <c r="VOF5" s="3404"/>
      <c r="VOG5" s="3404"/>
      <c r="VOH5" s="3404"/>
      <c r="VOI5" s="3404"/>
      <c r="VOJ5" s="3404"/>
      <c r="VOK5" s="3404"/>
      <c r="VOL5" s="3404"/>
      <c r="VOM5" s="3404"/>
      <c r="VON5" s="3404"/>
      <c r="VOO5" s="3404"/>
      <c r="VOP5" s="3404"/>
      <c r="VOQ5" s="3404"/>
      <c r="VOR5" s="3404"/>
      <c r="VOS5" s="3404"/>
      <c r="VOT5" s="3404"/>
      <c r="VOU5" s="3404"/>
      <c r="VOV5" s="3404"/>
      <c r="VOW5" s="3404"/>
      <c r="VOX5" s="3404"/>
      <c r="VOY5" s="3404"/>
      <c r="VOZ5" s="3404"/>
      <c r="VPA5" s="3404"/>
      <c r="VPB5" s="3404"/>
      <c r="VPC5" s="3404"/>
      <c r="VPD5" s="3404"/>
      <c r="VPE5" s="3404"/>
      <c r="VPF5" s="3404"/>
      <c r="VPG5" s="3404"/>
      <c r="VPH5" s="3404"/>
      <c r="VPI5" s="3404"/>
      <c r="VPJ5" s="3404"/>
      <c r="VPK5" s="3404"/>
      <c r="VPL5" s="3404"/>
      <c r="VPM5" s="3404"/>
      <c r="VPN5" s="3404"/>
      <c r="VPO5" s="3404"/>
      <c r="VPP5" s="3404"/>
      <c r="VPQ5" s="3404"/>
      <c r="VPR5" s="3404"/>
      <c r="VPS5" s="3404"/>
      <c r="VPT5" s="3404"/>
      <c r="VPU5" s="3404"/>
      <c r="VPV5" s="3404"/>
      <c r="VPW5" s="3404"/>
      <c r="VPX5" s="3404"/>
      <c r="VPY5" s="3404"/>
      <c r="VPZ5" s="3404"/>
      <c r="VQA5" s="3404"/>
      <c r="VQB5" s="3404"/>
      <c r="VQC5" s="3404"/>
      <c r="VQD5" s="3404"/>
      <c r="VQE5" s="3404"/>
      <c r="VQF5" s="3404"/>
      <c r="VQG5" s="3404"/>
      <c r="VQH5" s="3404"/>
      <c r="VQI5" s="3404"/>
      <c r="VQJ5" s="3404"/>
      <c r="VQK5" s="3404"/>
      <c r="VQL5" s="3404"/>
      <c r="VQM5" s="3404"/>
      <c r="VQN5" s="3404"/>
      <c r="VQO5" s="3404"/>
      <c r="VQP5" s="3404"/>
      <c r="VQQ5" s="3404"/>
      <c r="VQR5" s="3404"/>
      <c r="VQS5" s="3404"/>
      <c r="VQT5" s="3404"/>
      <c r="VQU5" s="3404"/>
      <c r="VQV5" s="3404"/>
      <c r="VQW5" s="3404"/>
      <c r="VQX5" s="3404"/>
      <c r="VQY5" s="3404"/>
      <c r="VQZ5" s="3404"/>
      <c r="VRA5" s="3404"/>
      <c r="VRB5" s="3404"/>
      <c r="VRC5" s="3404"/>
      <c r="VRD5" s="3404"/>
      <c r="VRE5" s="3404"/>
      <c r="VRF5" s="3404"/>
      <c r="VRG5" s="3404"/>
      <c r="VRH5" s="3404"/>
      <c r="VRI5" s="3404"/>
      <c r="VRJ5" s="3404"/>
      <c r="VRK5" s="3404"/>
      <c r="VRL5" s="3404"/>
      <c r="VRM5" s="3404"/>
      <c r="VRN5" s="3404"/>
      <c r="VRO5" s="3404"/>
      <c r="VRP5" s="3404"/>
      <c r="VRQ5" s="3404"/>
      <c r="VRR5" s="3404"/>
      <c r="VRS5" s="3404"/>
      <c r="VRT5" s="3404"/>
      <c r="VRU5" s="3404"/>
      <c r="VRV5" s="3404"/>
      <c r="VRW5" s="3404"/>
      <c r="VRX5" s="3404"/>
      <c r="VRY5" s="3404"/>
      <c r="VRZ5" s="3404"/>
      <c r="VSA5" s="3404"/>
      <c r="VSB5" s="3404"/>
      <c r="VSC5" s="3404"/>
      <c r="VSD5" s="3404"/>
      <c r="VSE5" s="3404"/>
      <c r="VSF5" s="3404"/>
      <c r="VSG5" s="3404"/>
      <c r="VSH5" s="3404"/>
      <c r="VSI5" s="3404"/>
      <c r="VSJ5" s="3404"/>
      <c r="VSK5" s="3404"/>
      <c r="VSL5" s="3404"/>
      <c r="VSM5" s="3404"/>
      <c r="VSN5" s="3404"/>
      <c r="VSO5" s="3404"/>
      <c r="VSP5" s="3404"/>
      <c r="VSQ5" s="3404"/>
      <c r="VSR5" s="3404"/>
      <c r="VSS5" s="3404"/>
      <c r="VST5" s="3404"/>
      <c r="VSU5" s="3404"/>
      <c r="VSV5" s="3404"/>
      <c r="VSW5" s="3404"/>
      <c r="VSX5" s="3404"/>
      <c r="VSY5" s="3404"/>
      <c r="VSZ5" s="3404"/>
      <c r="VTA5" s="3404"/>
      <c r="VTB5" s="3404"/>
      <c r="VTC5" s="3404"/>
      <c r="VTD5" s="3404"/>
      <c r="VTE5" s="3404"/>
      <c r="VTF5" s="3404"/>
      <c r="VTG5" s="3404"/>
      <c r="VTH5" s="3404"/>
      <c r="VTI5" s="3404"/>
      <c r="VTJ5" s="3404"/>
      <c r="VTK5" s="3404"/>
      <c r="VTL5" s="3404"/>
      <c r="VTM5" s="3404"/>
      <c r="VTN5" s="3404"/>
      <c r="VTO5" s="3404"/>
      <c r="VTP5" s="3404"/>
      <c r="VTQ5" s="3404"/>
      <c r="VTR5" s="3404"/>
      <c r="VTS5" s="3404"/>
      <c r="VTT5" s="3404"/>
      <c r="VTU5" s="3404"/>
      <c r="VTV5" s="3404"/>
      <c r="VTW5" s="3404"/>
      <c r="VTX5" s="3404"/>
      <c r="VTY5" s="3404"/>
      <c r="VTZ5" s="3404"/>
      <c r="VUA5" s="3404"/>
      <c r="VUB5" s="3404"/>
      <c r="VUC5" s="3404"/>
      <c r="VUD5" s="3404"/>
      <c r="VUE5" s="3404"/>
      <c r="VUF5" s="3404"/>
      <c r="VUG5" s="3404"/>
      <c r="VUH5" s="3404"/>
      <c r="VUI5" s="3404"/>
      <c r="VUJ5" s="3404"/>
      <c r="VUK5" s="3404"/>
      <c r="VUL5" s="3404"/>
      <c r="VUM5" s="3404"/>
      <c r="VUN5" s="3404"/>
      <c r="VUO5" s="3404"/>
      <c r="VUP5" s="3404"/>
      <c r="VUQ5" s="3404"/>
      <c r="VUR5" s="3404"/>
      <c r="VUS5" s="3404"/>
      <c r="VUT5" s="3404"/>
      <c r="VUU5" s="3404"/>
      <c r="VUV5" s="3404"/>
      <c r="VUW5" s="3404"/>
      <c r="VUX5" s="3404"/>
      <c r="VUY5" s="3404"/>
      <c r="VUZ5" s="3404"/>
      <c r="VVA5" s="3404"/>
      <c r="VVB5" s="3404"/>
      <c r="VVC5" s="3404"/>
      <c r="VVD5" s="3404"/>
      <c r="VVE5" s="3404"/>
      <c r="VVF5" s="3404"/>
      <c r="VVG5" s="3404"/>
      <c r="VVH5" s="3404"/>
      <c r="VVI5" s="3404"/>
      <c r="VVJ5" s="3404"/>
      <c r="VVK5" s="3404"/>
      <c r="VVL5" s="3404"/>
      <c r="VVM5" s="3404"/>
      <c r="VVN5" s="3404"/>
      <c r="VVO5" s="3404"/>
      <c r="VVP5" s="3404"/>
      <c r="VVQ5" s="3404"/>
      <c r="VVR5" s="3404"/>
      <c r="VVS5" s="3404"/>
      <c r="VVT5" s="3404"/>
      <c r="VVU5" s="3404"/>
      <c r="VVV5" s="3404"/>
      <c r="VVW5" s="3404"/>
      <c r="VVX5" s="3404"/>
      <c r="VVY5" s="3404"/>
      <c r="VVZ5" s="3404"/>
      <c r="VWA5" s="3404"/>
      <c r="VWB5" s="3404"/>
      <c r="VWC5" s="3404"/>
      <c r="VWD5" s="3404"/>
      <c r="VWE5" s="3404"/>
      <c r="VWF5" s="3404"/>
      <c r="VWG5" s="3404"/>
      <c r="VWH5" s="3404"/>
      <c r="VWI5" s="3404"/>
      <c r="VWJ5" s="3404"/>
      <c r="VWK5" s="3404"/>
      <c r="VWL5" s="3404"/>
      <c r="VWM5" s="3404"/>
      <c r="VWN5" s="3404"/>
      <c r="VWO5" s="3404"/>
      <c r="VWP5" s="3404"/>
      <c r="VWQ5" s="3404"/>
      <c r="VWR5" s="3404"/>
      <c r="VWS5" s="3404"/>
      <c r="VWT5" s="3404"/>
      <c r="VWU5" s="3404"/>
      <c r="VWV5" s="3404"/>
      <c r="VWW5" s="3404"/>
      <c r="VWX5" s="3404"/>
      <c r="VWY5" s="3404"/>
      <c r="VWZ5" s="3404"/>
      <c r="VXA5" s="3404"/>
      <c r="VXB5" s="3404"/>
      <c r="VXC5" s="3404"/>
      <c r="VXD5" s="3404"/>
      <c r="VXE5" s="3404"/>
      <c r="VXF5" s="3404"/>
      <c r="VXG5" s="3404"/>
      <c r="VXH5" s="3404"/>
      <c r="VXI5" s="3404"/>
      <c r="VXJ5" s="3404"/>
      <c r="VXK5" s="3404"/>
      <c r="VXL5" s="3404"/>
      <c r="VXM5" s="3404"/>
      <c r="VXN5" s="3404"/>
      <c r="VXO5" s="3404"/>
      <c r="VXP5" s="3404"/>
      <c r="VXQ5" s="3404"/>
      <c r="VXR5" s="3404"/>
      <c r="VXS5" s="3404"/>
      <c r="VXT5" s="3404"/>
      <c r="VXU5" s="3404"/>
      <c r="VXV5" s="3404"/>
      <c r="VXW5" s="3404"/>
      <c r="VXX5" s="3404"/>
      <c r="VXY5" s="3404"/>
      <c r="VXZ5" s="3404"/>
      <c r="VYA5" s="3404"/>
      <c r="VYB5" s="3404"/>
      <c r="VYC5" s="3404"/>
      <c r="VYD5" s="3404"/>
      <c r="VYE5" s="3404"/>
      <c r="VYF5" s="3404"/>
      <c r="VYG5" s="3404"/>
      <c r="VYH5" s="3404"/>
      <c r="VYI5" s="3404"/>
      <c r="VYJ5" s="3404"/>
      <c r="VYK5" s="3404"/>
      <c r="VYL5" s="3404"/>
      <c r="VYM5" s="3404"/>
      <c r="VYN5" s="3404"/>
      <c r="VYO5" s="3404"/>
      <c r="VYP5" s="3404"/>
      <c r="VYQ5" s="3404"/>
      <c r="VYR5" s="3404"/>
      <c r="VYS5" s="3404"/>
      <c r="VYT5" s="3404"/>
      <c r="VYU5" s="3404"/>
      <c r="VYV5" s="3404"/>
      <c r="VYW5" s="3404"/>
      <c r="VYX5" s="3404"/>
      <c r="VYY5" s="3404"/>
      <c r="VYZ5" s="3404"/>
      <c r="VZA5" s="3404"/>
      <c r="VZB5" s="3404"/>
      <c r="VZC5" s="3404"/>
      <c r="VZD5" s="3404"/>
      <c r="VZE5" s="3404"/>
      <c r="VZF5" s="3404"/>
      <c r="VZG5" s="3404"/>
      <c r="VZH5" s="3404"/>
      <c r="VZI5" s="3404"/>
      <c r="VZJ5" s="3404"/>
      <c r="VZK5" s="3404"/>
      <c r="VZL5" s="3404"/>
      <c r="VZM5" s="3404"/>
      <c r="VZN5" s="3404"/>
      <c r="VZO5" s="3404"/>
      <c r="VZP5" s="3404"/>
      <c r="VZQ5" s="3404"/>
      <c r="VZR5" s="3404"/>
      <c r="VZS5" s="3404"/>
      <c r="VZT5" s="3404"/>
      <c r="VZU5" s="3404"/>
      <c r="VZV5" s="3404"/>
      <c r="VZW5" s="3404"/>
      <c r="VZX5" s="3404"/>
      <c r="VZY5" s="3404"/>
      <c r="VZZ5" s="3404"/>
      <c r="WAA5" s="3404"/>
      <c r="WAB5" s="3404"/>
      <c r="WAC5" s="3404"/>
      <c r="WAD5" s="3404"/>
      <c r="WAE5" s="3404"/>
      <c r="WAF5" s="3404"/>
      <c r="WAG5" s="3404"/>
      <c r="WAH5" s="3404"/>
      <c r="WAI5" s="3404"/>
      <c r="WAJ5" s="3404"/>
      <c r="WAK5" s="3404"/>
      <c r="WAL5" s="3404"/>
      <c r="WAM5" s="3404"/>
      <c r="WAN5" s="3404"/>
      <c r="WAO5" s="3404"/>
      <c r="WAP5" s="3404"/>
      <c r="WAQ5" s="3404"/>
      <c r="WAR5" s="3404"/>
      <c r="WAS5" s="3404"/>
      <c r="WAT5" s="3404"/>
      <c r="WAU5" s="3404"/>
      <c r="WAV5" s="3404"/>
      <c r="WAW5" s="3404"/>
      <c r="WAX5" s="3404"/>
      <c r="WAY5" s="3404"/>
      <c r="WAZ5" s="3404"/>
      <c r="WBA5" s="3404"/>
      <c r="WBB5" s="3404"/>
      <c r="WBC5" s="3404"/>
      <c r="WBD5" s="3404"/>
      <c r="WBE5" s="3404"/>
      <c r="WBF5" s="3404"/>
      <c r="WBG5" s="3404"/>
      <c r="WBH5" s="3404"/>
      <c r="WBI5" s="3404"/>
      <c r="WBJ5" s="3404"/>
      <c r="WBK5" s="3404"/>
      <c r="WBL5" s="3404"/>
      <c r="WBM5" s="3404"/>
      <c r="WBN5" s="3404"/>
      <c r="WBO5" s="3404"/>
      <c r="WBP5" s="3404"/>
      <c r="WBQ5" s="3404"/>
      <c r="WBR5" s="3404"/>
      <c r="WBS5" s="3404"/>
      <c r="WBT5" s="3404"/>
      <c r="WBU5" s="3404"/>
      <c r="WBV5" s="3404"/>
      <c r="WBW5" s="3404"/>
      <c r="WBX5" s="3404"/>
      <c r="WBY5" s="3404"/>
      <c r="WBZ5" s="3404"/>
      <c r="WCA5" s="3404"/>
      <c r="WCB5" s="3404"/>
      <c r="WCC5" s="3404"/>
      <c r="WCD5" s="3404"/>
      <c r="WCE5" s="3404"/>
      <c r="WCF5" s="3404"/>
      <c r="WCG5" s="3404"/>
      <c r="WCH5" s="3404"/>
      <c r="WCI5" s="3404"/>
      <c r="WCJ5" s="3404"/>
      <c r="WCK5" s="3404"/>
      <c r="WCL5" s="3404"/>
      <c r="WCM5" s="3404"/>
      <c r="WCN5" s="3404"/>
      <c r="WCO5" s="3404"/>
      <c r="WCP5" s="3404"/>
      <c r="WCQ5" s="3404"/>
      <c r="WCR5" s="3404"/>
      <c r="WCS5" s="3404"/>
      <c r="WCT5" s="3404"/>
      <c r="WCU5" s="3404"/>
      <c r="WCV5" s="3404"/>
      <c r="WCW5" s="3404"/>
      <c r="WCX5" s="3404"/>
      <c r="WCY5" s="3404"/>
      <c r="WCZ5" s="3404"/>
      <c r="WDA5" s="3404"/>
      <c r="WDB5" s="3404"/>
      <c r="WDC5" s="3404"/>
      <c r="WDD5" s="3404"/>
      <c r="WDE5" s="3404"/>
      <c r="WDF5" s="3404"/>
      <c r="WDG5" s="3404"/>
      <c r="WDH5" s="3404"/>
      <c r="WDI5" s="3404"/>
      <c r="WDJ5" s="3404"/>
      <c r="WDK5" s="3404"/>
      <c r="WDL5" s="3404"/>
      <c r="WDM5" s="3404"/>
      <c r="WDN5" s="3404"/>
      <c r="WDO5" s="3404"/>
      <c r="WDP5" s="3404"/>
      <c r="WDQ5" s="3404"/>
      <c r="WDR5" s="3404"/>
      <c r="WDS5" s="3404"/>
      <c r="WDT5" s="3404"/>
      <c r="WDU5" s="3404"/>
      <c r="WDV5" s="3404"/>
      <c r="WDW5" s="3404"/>
      <c r="WDX5" s="3404"/>
      <c r="WDY5" s="3404"/>
      <c r="WDZ5" s="3404"/>
      <c r="WEA5" s="3404"/>
      <c r="WEB5" s="3404"/>
      <c r="WEC5" s="3404"/>
      <c r="WED5" s="3404"/>
      <c r="WEE5" s="3404"/>
      <c r="WEF5" s="3404"/>
      <c r="WEG5" s="3404"/>
      <c r="WEH5" s="3404"/>
      <c r="WEI5" s="3404"/>
      <c r="WEJ5" s="3404"/>
      <c r="WEK5" s="3404"/>
      <c r="WEL5" s="3404"/>
      <c r="WEM5" s="3404"/>
      <c r="WEN5" s="3404"/>
      <c r="WEO5" s="3404"/>
      <c r="WEP5" s="3404"/>
      <c r="WEQ5" s="3404"/>
      <c r="WER5" s="3404"/>
      <c r="WES5" s="3404"/>
      <c r="WET5" s="3404"/>
      <c r="WEU5" s="3404"/>
      <c r="WEV5" s="3404"/>
      <c r="WEW5" s="3404"/>
      <c r="WEX5" s="3404"/>
      <c r="WEY5" s="3404"/>
      <c r="WEZ5" s="3404"/>
      <c r="WFA5" s="3404"/>
      <c r="WFB5" s="3404"/>
      <c r="WFC5" s="3404"/>
      <c r="WFD5" s="3404"/>
      <c r="WFE5" s="3404"/>
      <c r="WFF5" s="3404"/>
      <c r="WFG5" s="3404"/>
      <c r="WFH5" s="3404"/>
      <c r="WFI5" s="3404"/>
      <c r="WFJ5" s="3404"/>
      <c r="WFK5" s="3404"/>
      <c r="WFL5" s="3404"/>
      <c r="WFM5" s="3404"/>
      <c r="WFN5" s="3404"/>
      <c r="WFO5" s="3404"/>
      <c r="WFP5" s="3404"/>
      <c r="WFQ5" s="3404"/>
      <c r="WFR5" s="3404"/>
      <c r="WFS5" s="3404"/>
      <c r="WFT5" s="3404"/>
      <c r="WFU5" s="3404"/>
      <c r="WFV5" s="3404"/>
      <c r="WFW5" s="3404"/>
      <c r="WFX5" s="3404"/>
      <c r="WFY5" s="3404"/>
      <c r="WFZ5" s="3404"/>
      <c r="WGA5" s="3404"/>
      <c r="WGB5" s="3404"/>
      <c r="WGC5" s="3404"/>
      <c r="WGD5" s="3404"/>
      <c r="WGE5" s="3404"/>
      <c r="WGF5" s="3404"/>
      <c r="WGG5" s="3404"/>
      <c r="WGH5" s="3404"/>
      <c r="WGI5" s="3404"/>
      <c r="WGJ5" s="3404"/>
      <c r="WGK5" s="3404"/>
      <c r="WGL5" s="3404"/>
      <c r="WGM5" s="3404"/>
      <c r="WGN5" s="3404"/>
      <c r="WGO5" s="3404"/>
      <c r="WGP5" s="3404"/>
      <c r="WGQ5" s="3404"/>
      <c r="WGR5" s="3404"/>
      <c r="WGS5" s="3404"/>
      <c r="WGT5" s="3404"/>
      <c r="WGU5" s="3404"/>
      <c r="WGV5" s="3404"/>
      <c r="WGW5" s="3404"/>
      <c r="WGX5" s="3404"/>
      <c r="WGY5" s="3404"/>
      <c r="WGZ5" s="3404"/>
      <c r="WHA5" s="3404"/>
      <c r="WHB5" s="3404"/>
      <c r="WHC5" s="3404"/>
      <c r="WHD5" s="3404"/>
      <c r="WHE5" s="3404"/>
      <c r="WHF5" s="3404"/>
      <c r="WHG5" s="3404"/>
      <c r="WHH5" s="3404"/>
      <c r="WHI5" s="3404"/>
      <c r="WHJ5" s="3404"/>
      <c r="WHK5" s="3404"/>
      <c r="WHL5" s="3404"/>
      <c r="WHM5" s="3404"/>
      <c r="WHN5" s="3404"/>
      <c r="WHO5" s="3404"/>
      <c r="WHP5" s="3404"/>
      <c r="WHQ5" s="3404"/>
      <c r="WHR5" s="3404"/>
      <c r="WHS5" s="3404"/>
      <c r="WHT5" s="3404"/>
      <c r="WHU5" s="3404"/>
      <c r="WHV5" s="3404"/>
      <c r="WHW5" s="3404"/>
      <c r="WHX5" s="3404"/>
      <c r="WHY5" s="3404"/>
      <c r="WHZ5" s="3404"/>
      <c r="WIA5" s="3404"/>
      <c r="WIB5" s="3404"/>
      <c r="WIC5" s="3404"/>
      <c r="WID5" s="3404"/>
      <c r="WIE5" s="3404"/>
      <c r="WIF5" s="3404"/>
      <c r="WIG5" s="3404"/>
      <c r="WIH5" s="3404"/>
      <c r="WII5" s="3404"/>
      <c r="WIJ5" s="3404"/>
      <c r="WIK5" s="3404"/>
      <c r="WIL5" s="3404"/>
      <c r="WIM5" s="3404"/>
      <c r="WIN5" s="3404"/>
      <c r="WIO5" s="3404"/>
      <c r="WIP5" s="3404"/>
      <c r="WIQ5" s="3404"/>
      <c r="WIR5" s="3404"/>
      <c r="WIS5" s="3404"/>
      <c r="WIT5" s="3404"/>
      <c r="WIU5" s="3404"/>
      <c r="WIV5" s="3404"/>
      <c r="WIW5" s="3404"/>
      <c r="WIX5" s="3404"/>
      <c r="WIY5" s="3404"/>
      <c r="WIZ5" s="3404"/>
      <c r="WJA5" s="3404"/>
      <c r="WJB5" s="3404"/>
      <c r="WJC5" s="3404"/>
      <c r="WJD5" s="3404"/>
      <c r="WJE5" s="3404"/>
      <c r="WJF5" s="3404"/>
      <c r="WJG5" s="3404"/>
      <c r="WJH5" s="3404"/>
      <c r="WJI5" s="3404"/>
      <c r="WJJ5" s="3404"/>
      <c r="WJK5" s="3404"/>
      <c r="WJL5" s="3404"/>
      <c r="WJM5" s="3404"/>
      <c r="WJN5" s="3404"/>
      <c r="WJO5" s="3404"/>
      <c r="WJP5" s="3404"/>
      <c r="WJQ5" s="3404"/>
      <c r="WJR5" s="3404"/>
      <c r="WJS5" s="3404"/>
      <c r="WJT5" s="3404"/>
      <c r="WJU5" s="3404"/>
      <c r="WJV5" s="3404"/>
      <c r="WJW5" s="3404"/>
      <c r="WJX5" s="3404"/>
      <c r="WJY5" s="3404"/>
      <c r="WJZ5" s="3404"/>
      <c r="WKA5" s="3404"/>
      <c r="WKB5" s="3404"/>
      <c r="WKC5" s="3404"/>
      <c r="WKD5" s="3404"/>
      <c r="WKE5" s="3404"/>
      <c r="WKF5" s="3404"/>
      <c r="WKG5" s="3404"/>
      <c r="WKH5" s="3404"/>
      <c r="WKI5" s="3404"/>
      <c r="WKJ5" s="3404"/>
      <c r="WKK5" s="3404"/>
      <c r="WKL5" s="3404"/>
      <c r="WKM5" s="3404"/>
      <c r="WKN5" s="3404"/>
      <c r="WKO5" s="3404"/>
      <c r="WKP5" s="3404"/>
      <c r="WKQ5" s="3404"/>
      <c r="WKR5" s="3404"/>
      <c r="WKS5" s="3404"/>
      <c r="WKT5" s="3404"/>
      <c r="WKU5" s="3404"/>
      <c r="WKV5" s="3404"/>
      <c r="WKW5" s="3404"/>
      <c r="WKX5" s="3404"/>
      <c r="WKY5" s="3404"/>
      <c r="WKZ5" s="3404"/>
      <c r="WLA5" s="3404"/>
      <c r="WLB5" s="3404"/>
      <c r="WLC5" s="3404"/>
      <c r="WLD5" s="3404"/>
      <c r="WLE5" s="3404"/>
      <c r="WLF5" s="3404"/>
      <c r="WLG5" s="3404"/>
      <c r="WLH5" s="3404"/>
      <c r="WLI5" s="3404"/>
      <c r="WLJ5" s="3404"/>
      <c r="WLK5" s="3404"/>
      <c r="WLL5" s="3404"/>
      <c r="WLM5" s="3404"/>
      <c r="WLN5" s="3404"/>
      <c r="WLO5" s="3404"/>
      <c r="WLP5" s="3404"/>
      <c r="WLQ5" s="3404"/>
      <c r="WLR5" s="3404"/>
      <c r="WLS5" s="3404"/>
      <c r="WLT5" s="3404"/>
      <c r="WLU5" s="3404"/>
      <c r="WLV5" s="3404"/>
      <c r="WLW5" s="3404"/>
      <c r="WLX5" s="3404"/>
      <c r="WLY5" s="3404"/>
      <c r="WLZ5" s="3404"/>
      <c r="WMA5" s="3404"/>
      <c r="WMB5" s="3404"/>
      <c r="WMC5" s="3404"/>
      <c r="WMD5" s="3404"/>
      <c r="WME5" s="3404"/>
      <c r="WMF5" s="3404"/>
      <c r="WMG5" s="3404"/>
      <c r="WMH5" s="3404"/>
      <c r="WMI5" s="3404"/>
      <c r="WMJ5" s="3404"/>
      <c r="WMK5" s="3404"/>
      <c r="WML5" s="3404"/>
      <c r="WMM5" s="3404"/>
      <c r="WMN5" s="3404"/>
      <c r="WMO5" s="3404"/>
      <c r="WMP5" s="3404"/>
      <c r="WMQ5" s="3404"/>
      <c r="WMR5" s="3404"/>
      <c r="WMS5" s="3404"/>
      <c r="WMT5" s="3404"/>
      <c r="WMU5" s="3404"/>
      <c r="WMV5" s="3404"/>
      <c r="WMW5" s="3404"/>
      <c r="WMX5" s="3404"/>
      <c r="WMY5" s="3404"/>
      <c r="WMZ5" s="3404"/>
      <c r="WNA5" s="3404"/>
      <c r="WNB5" s="3404"/>
      <c r="WNC5" s="3404"/>
      <c r="WND5" s="3404"/>
      <c r="WNE5" s="3404"/>
      <c r="WNF5" s="3404"/>
      <c r="WNG5" s="3404"/>
      <c r="WNH5" s="3404"/>
      <c r="WNI5" s="3404"/>
      <c r="WNJ5" s="3404"/>
      <c r="WNK5" s="3404"/>
      <c r="WNL5" s="3404"/>
      <c r="WNM5" s="3404"/>
      <c r="WNN5" s="3404"/>
      <c r="WNO5" s="3404"/>
      <c r="WNP5" s="3404"/>
      <c r="WNQ5" s="3404"/>
      <c r="WNR5" s="3404"/>
      <c r="WNS5" s="3404"/>
      <c r="WNT5" s="3404"/>
      <c r="WNU5" s="3404"/>
      <c r="WNV5" s="3404"/>
      <c r="WNW5" s="3404"/>
      <c r="WNX5" s="3404"/>
      <c r="WNY5" s="3404"/>
      <c r="WNZ5" s="3404"/>
      <c r="WOA5" s="3404"/>
      <c r="WOB5" s="3404"/>
      <c r="WOC5" s="3404"/>
      <c r="WOD5" s="3404"/>
      <c r="WOE5" s="3404"/>
      <c r="WOF5" s="3404"/>
      <c r="WOG5" s="3404"/>
      <c r="WOH5" s="3404"/>
      <c r="WOI5" s="3404"/>
      <c r="WOJ5" s="3404"/>
      <c r="WOK5" s="3404"/>
      <c r="WOL5" s="3404"/>
      <c r="WOM5" s="3404"/>
      <c r="WON5" s="3404"/>
      <c r="WOO5" s="3404"/>
      <c r="WOP5" s="3404"/>
      <c r="WOQ5" s="3404"/>
      <c r="WOR5" s="3404"/>
      <c r="WOS5" s="3404"/>
      <c r="WOT5" s="3404"/>
      <c r="WOU5" s="3404"/>
      <c r="WOV5" s="3404"/>
      <c r="WOW5" s="3404"/>
      <c r="WOX5" s="3404"/>
      <c r="WOY5" s="3404"/>
      <c r="WOZ5" s="3404"/>
      <c r="WPA5" s="3404"/>
      <c r="WPB5" s="3404"/>
      <c r="WPC5" s="3404"/>
      <c r="WPD5" s="3404"/>
      <c r="WPE5" s="3404"/>
      <c r="WPF5" s="3404"/>
      <c r="WPG5" s="3404"/>
      <c r="WPH5" s="3404"/>
      <c r="WPI5" s="3404"/>
      <c r="WPJ5" s="3404"/>
      <c r="WPK5" s="3404"/>
      <c r="WPL5" s="3404"/>
      <c r="WPM5" s="3404"/>
      <c r="WPN5" s="3404"/>
      <c r="WPO5" s="3404"/>
      <c r="WPP5" s="3404"/>
      <c r="WPQ5" s="3404"/>
      <c r="WPR5" s="3404"/>
      <c r="WPS5" s="3404"/>
      <c r="WPT5" s="3404"/>
      <c r="WPU5" s="3404"/>
      <c r="WPV5" s="3404"/>
      <c r="WPW5" s="3404"/>
      <c r="WPX5" s="3404"/>
      <c r="WPY5" s="3404"/>
      <c r="WPZ5" s="3404"/>
      <c r="WQA5" s="3404"/>
      <c r="WQB5" s="3404"/>
      <c r="WQC5" s="3404"/>
      <c r="WQD5" s="3404"/>
      <c r="WQE5" s="3404"/>
      <c r="WQF5" s="3404"/>
      <c r="WQG5" s="3404"/>
      <c r="WQH5" s="3404"/>
      <c r="WQI5" s="3404"/>
      <c r="WQJ5" s="3404"/>
      <c r="WQK5" s="3404"/>
      <c r="WQL5" s="3404"/>
      <c r="WQM5" s="3404"/>
      <c r="WQN5" s="3404"/>
      <c r="WQO5" s="3404"/>
      <c r="WQP5" s="3404"/>
      <c r="WQQ5" s="3404"/>
      <c r="WQR5" s="3404"/>
      <c r="WQS5" s="3404"/>
      <c r="WQT5" s="3404"/>
      <c r="WQU5" s="3404"/>
      <c r="WQV5" s="3404"/>
      <c r="WQW5" s="3404"/>
      <c r="WQX5" s="3404"/>
      <c r="WQY5" s="3404"/>
      <c r="WQZ5" s="3404"/>
      <c r="WRA5" s="3404"/>
      <c r="WRB5" s="3404"/>
      <c r="WRC5" s="3404"/>
      <c r="WRD5" s="3404"/>
      <c r="WRE5" s="3404"/>
      <c r="WRF5" s="3404"/>
      <c r="WRG5" s="3404"/>
      <c r="WRH5" s="3404"/>
      <c r="WRI5" s="3404"/>
      <c r="WRJ5" s="3404"/>
      <c r="WRK5" s="3404"/>
      <c r="WRL5" s="3404"/>
      <c r="WRM5" s="3404"/>
      <c r="WRN5" s="3404"/>
      <c r="WRO5" s="3404"/>
      <c r="WRP5" s="3404"/>
      <c r="WRQ5" s="3404"/>
      <c r="WRR5" s="3404"/>
      <c r="WRS5" s="3404"/>
      <c r="WRT5" s="3404"/>
      <c r="WRU5" s="3404"/>
      <c r="WRV5" s="3404"/>
      <c r="WRW5" s="3404"/>
      <c r="WRX5" s="3404"/>
      <c r="WRY5" s="3404"/>
      <c r="WRZ5" s="3404"/>
      <c r="WSA5" s="3404"/>
      <c r="WSB5" s="3404"/>
      <c r="WSC5" s="3404"/>
      <c r="WSD5" s="3404"/>
      <c r="WSE5" s="3404"/>
      <c r="WSF5" s="3404"/>
      <c r="WSG5" s="3404"/>
      <c r="WSH5" s="3404"/>
      <c r="WSI5" s="3404"/>
      <c r="WSJ5" s="3404"/>
      <c r="WSK5" s="3404"/>
      <c r="WSL5" s="3404"/>
      <c r="WSM5" s="3404"/>
      <c r="WSN5" s="3404"/>
      <c r="WSO5" s="3404"/>
      <c r="WSP5" s="3404"/>
      <c r="WSQ5" s="3404"/>
      <c r="WSR5" s="3404"/>
      <c r="WSS5" s="3404"/>
      <c r="WST5" s="3404"/>
      <c r="WSU5" s="3404"/>
      <c r="WSV5" s="3404"/>
      <c r="WSW5" s="3404"/>
      <c r="WSX5" s="3404"/>
      <c r="WSY5" s="3404"/>
      <c r="WSZ5" s="3404"/>
      <c r="WTA5" s="3404"/>
      <c r="WTB5" s="3404"/>
      <c r="WTC5" s="3404"/>
      <c r="WTD5" s="3404"/>
      <c r="WTE5" s="3404"/>
      <c r="WTF5" s="3404"/>
      <c r="WTG5" s="3404"/>
      <c r="WTH5" s="3404"/>
      <c r="WTI5" s="3404"/>
      <c r="WTJ5" s="3404"/>
      <c r="WTK5" s="3404"/>
      <c r="WTL5" s="3404"/>
      <c r="WTM5" s="3404"/>
      <c r="WTN5" s="3404"/>
      <c r="WTO5" s="3404"/>
      <c r="WTP5" s="3404"/>
      <c r="WTQ5" s="3404"/>
      <c r="WTR5" s="3404"/>
      <c r="WTS5" s="3404"/>
      <c r="WTT5" s="3404"/>
      <c r="WTU5" s="3404"/>
      <c r="WTV5" s="3404"/>
      <c r="WTW5" s="3404"/>
      <c r="WTX5" s="3404"/>
      <c r="WTY5" s="3404"/>
      <c r="WTZ5" s="3404"/>
      <c r="WUA5" s="3404"/>
      <c r="WUB5" s="3404"/>
      <c r="WUC5" s="3404"/>
      <c r="WUD5" s="3404"/>
      <c r="WUE5" s="3404"/>
      <c r="WUF5" s="3404"/>
      <c r="WUG5" s="3404"/>
      <c r="WUH5" s="3404"/>
      <c r="WUI5" s="3404"/>
      <c r="WUJ5" s="3404"/>
      <c r="WUK5" s="3404"/>
      <c r="WUL5" s="3404"/>
      <c r="WUM5" s="3404"/>
      <c r="WUN5" s="3404"/>
      <c r="WUO5" s="3404"/>
      <c r="WUP5" s="3404"/>
      <c r="WUQ5" s="3404"/>
      <c r="WUR5" s="3404"/>
      <c r="WUS5" s="3404"/>
      <c r="WUT5" s="3404"/>
      <c r="WUU5" s="3404"/>
      <c r="WUV5" s="3404"/>
      <c r="WUW5" s="3404"/>
      <c r="WUX5" s="3404"/>
      <c r="WUY5" s="3404"/>
      <c r="WUZ5" s="3404"/>
      <c r="WVA5" s="3404"/>
      <c r="WVB5" s="3404"/>
      <c r="WVC5" s="3404"/>
      <c r="WVD5" s="3404"/>
      <c r="WVE5" s="3404"/>
      <c r="WVF5" s="3404"/>
      <c r="WVG5" s="3404"/>
      <c r="WVH5" s="3404"/>
      <c r="WVI5" s="3404"/>
      <c r="WVJ5" s="3404"/>
      <c r="WVK5" s="3404"/>
      <c r="WVL5" s="3404"/>
      <c r="WVM5" s="3404"/>
      <c r="WVN5" s="3404"/>
      <c r="WVO5" s="3404"/>
      <c r="WVP5" s="3404"/>
      <c r="WVQ5" s="3404"/>
      <c r="WVR5" s="3404"/>
      <c r="WVS5" s="3404"/>
      <c r="WVT5" s="3404"/>
      <c r="WVU5" s="3404"/>
      <c r="WVV5" s="3404"/>
      <c r="WVW5" s="3404"/>
      <c r="WVX5" s="3404"/>
      <c r="WVY5" s="3404"/>
      <c r="WVZ5" s="3404"/>
      <c r="WWA5" s="3404"/>
      <c r="WWB5" s="3404"/>
      <c r="WWC5" s="3404"/>
      <c r="WWD5" s="3404"/>
      <c r="WWE5" s="3404"/>
      <c r="WWF5" s="3404"/>
      <c r="WWG5" s="3404"/>
      <c r="WWH5" s="3404"/>
      <c r="WWI5" s="3404"/>
      <c r="WWJ5" s="3404"/>
      <c r="WWK5" s="3404"/>
      <c r="WWL5" s="3404"/>
      <c r="WWM5" s="3404"/>
      <c r="WWN5" s="3404"/>
      <c r="WWO5" s="3404"/>
      <c r="WWP5" s="3404"/>
      <c r="WWQ5" s="3404"/>
      <c r="WWR5" s="3404"/>
      <c r="WWS5" s="3404"/>
      <c r="WWT5" s="3404"/>
      <c r="WWU5" s="3404"/>
      <c r="WWV5" s="3404"/>
      <c r="WWW5" s="3404"/>
      <c r="WWX5" s="3404"/>
      <c r="WWY5" s="3404"/>
      <c r="WWZ5" s="3404"/>
      <c r="WXA5" s="3404"/>
      <c r="WXB5" s="3404"/>
      <c r="WXC5" s="3404"/>
      <c r="WXD5" s="3404"/>
      <c r="WXE5" s="3404"/>
      <c r="WXF5" s="3404"/>
      <c r="WXG5" s="3404"/>
      <c r="WXH5" s="3404"/>
      <c r="WXI5" s="3404"/>
      <c r="WXJ5" s="3404"/>
      <c r="WXK5" s="3404"/>
      <c r="WXL5" s="3404"/>
      <c r="WXM5" s="3404"/>
      <c r="WXN5" s="3404"/>
      <c r="WXO5" s="3404"/>
      <c r="WXP5" s="3404"/>
      <c r="WXQ5" s="3404"/>
      <c r="WXR5" s="3404"/>
      <c r="WXS5" s="3404"/>
      <c r="WXT5" s="3404"/>
      <c r="WXU5" s="3404"/>
      <c r="WXV5" s="3404"/>
      <c r="WXW5" s="3404"/>
      <c r="WXX5" s="3404"/>
      <c r="WXY5" s="3404"/>
      <c r="WXZ5" s="3404"/>
      <c r="WYA5" s="3404"/>
      <c r="WYB5" s="3404"/>
      <c r="WYC5" s="3404"/>
      <c r="WYD5" s="3404"/>
      <c r="WYE5" s="3404"/>
      <c r="WYF5" s="3404"/>
      <c r="WYG5" s="3404"/>
      <c r="WYH5" s="3404"/>
      <c r="WYI5" s="3404"/>
      <c r="WYJ5" s="3404"/>
      <c r="WYK5" s="3404"/>
      <c r="WYL5" s="3404"/>
      <c r="WYM5" s="3404"/>
      <c r="WYN5" s="3404"/>
      <c r="WYO5" s="3404"/>
      <c r="WYP5" s="3404"/>
      <c r="WYQ5" s="3404"/>
      <c r="WYR5" s="3404"/>
      <c r="WYS5" s="3404"/>
      <c r="WYT5" s="3404"/>
      <c r="WYU5" s="3404"/>
      <c r="WYV5" s="3404"/>
      <c r="WYW5" s="3404"/>
      <c r="WYX5" s="3404"/>
      <c r="WYY5" s="3404"/>
      <c r="WYZ5" s="3404"/>
      <c r="WZA5" s="3404"/>
      <c r="WZB5" s="3404"/>
      <c r="WZC5" s="3404"/>
      <c r="WZD5" s="3404"/>
      <c r="WZE5" s="3404"/>
      <c r="WZF5" s="3404"/>
      <c r="WZG5" s="3404"/>
      <c r="WZH5" s="3404"/>
      <c r="WZI5" s="3404"/>
      <c r="WZJ5" s="3404"/>
      <c r="WZK5" s="3404"/>
      <c r="WZL5" s="3404"/>
      <c r="WZM5" s="3404"/>
      <c r="WZN5" s="3404"/>
      <c r="WZO5" s="3404"/>
      <c r="WZP5" s="3404"/>
      <c r="WZQ5" s="3404"/>
      <c r="WZR5" s="3404"/>
      <c r="WZS5" s="3404"/>
      <c r="WZT5" s="3404"/>
      <c r="WZU5" s="3404"/>
      <c r="WZV5" s="3404"/>
      <c r="WZW5" s="3404"/>
      <c r="WZX5" s="3404"/>
      <c r="WZY5" s="3404"/>
      <c r="WZZ5" s="3404"/>
      <c r="XAA5" s="3404"/>
      <c r="XAB5" s="3404"/>
      <c r="XAC5" s="3404"/>
      <c r="XAD5" s="3404"/>
      <c r="XAE5" s="3404"/>
      <c r="XAF5" s="3404"/>
      <c r="XAG5" s="3404"/>
      <c r="XAH5" s="3404"/>
      <c r="XAI5" s="3404"/>
      <c r="XAJ5" s="3404"/>
      <c r="XAK5" s="3404"/>
      <c r="XAL5" s="3404"/>
      <c r="XAM5" s="3404"/>
      <c r="XAN5" s="3404"/>
      <c r="XAO5" s="3404"/>
      <c r="XAP5" s="3404"/>
      <c r="XAQ5" s="3404"/>
      <c r="XAR5" s="3404"/>
      <c r="XAS5" s="3404"/>
      <c r="XAT5" s="3404"/>
      <c r="XAU5" s="3404"/>
      <c r="XAV5" s="3404"/>
      <c r="XAW5" s="3404"/>
      <c r="XAX5" s="3404"/>
      <c r="XAY5" s="3404"/>
      <c r="XAZ5" s="3404"/>
      <c r="XBA5" s="3404"/>
      <c r="XBB5" s="3404"/>
      <c r="XBC5" s="3404"/>
      <c r="XBD5" s="3404"/>
      <c r="XBE5" s="3404"/>
      <c r="XBF5" s="3404"/>
      <c r="XBG5" s="3404"/>
      <c r="XBH5" s="3404"/>
      <c r="XBI5" s="3404"/>
      <c r="XBJ5" s="3404"/>
      <c r="XBK5" s="3404"/>
      <c r="XBL5" s="3404"/>
      <c r="XBM5" s="3404"/>
      <c r="XBN5" s="3404"/>
      <c r="XBO5" s="3404"/>
      <c r="XBP5" s="3404"/>
      <c r="XBQ5" s="3404"/>
      <c r="XBR5" s="3404"/>
      <c r="XBS5" s="3404"/>
      <c r="XBT5" s="3404"/>
      <c r="XBU5" s="3404"/>
      <c r="XBV5" s="3404"/>
      <c r="XBW5" s="3404"/>
      <c r="XBX5" s="3404"/>
      <c r="XBY5" s="3404"/>
      <c r="XBZ5" s="3404"/>
      <c r="XCA5" s="3404"/>
      <c r="XCB5" s="3404"/>
      <c r="XCC5" s="3404"/>
      <c r="XCD5" s="3404"/>
      <c r="XCE5" s="3404"/>
      <c r="XCF5" s="3404"/>
      <c r="XCG5" s="3404"/>
      <c r="XCH5" s="3404"/>
      <c r="XCI5" s="3404"/>
      <c r="XCJ5" s="3404"/>
      <c r="XCK5" s="3404"/>
      <c r="XCL5" s="3404"/>
      <c r="XCM5" s="3404"/>
      <c r="XCN5" s="3404"/>
      <c r="XCO5" s="3404"/>
      <c r="XCP5" s="3404"/>
      <c r="XCQ5" s="3404"/>
      <c r="XCR5" s="3404"/>
      <c r="XCS5" s="3404"/>
      <c r="XCT5" s="3404"/>
      <c r="XCU5" s="3404"/>
      <c r="XCV5" s="3404"/>
      <c r="XCW5" s="3404"/>
      <c r="XCX5" s="3404"/>
      <c r="XCY5" s="3404"/>
      <c r="XCZ5" s="3404"/>
      <c r="XDA5" s="3404"/>
      <c r="XDB5" s="3404"/>
      <c r="XDC5" s="3404"/>
      <c r="XDD5" s="3404"/>
      <c r="XDE5" s="3404"/>
      <c r="XDF5" s="3404"/>
      <c r="XDG5" s="3404"/>
      <c r="XDH5" s="3404"/>
      <c r="XDI5" s="3404"/>
      <c r="XDJ5" s="3404"/>
      <c r="XDK5" s="3404"/>
      <c r="XDL5" s="3404"/>
      <c r="XDM5" s="3404"/>
      <c r="XDN5" s="3404"/>
      <c r="XDO5" s="3404"/>
      <c r="XDP5" s="3404"/>
      <c r="XDQ5" s="3404"/>
      <c r="XDR5" s="3404"/>
      <c r="XDS5" s="3404"/>
      <c r="XDT5" s="3404"/>
      <c r="XDU5" s="3404"/>
      <c r="XDV5" s="3404"/>
      <c r="XDW5" s="3404"/>
      <c r="XDX5" s="3404"/>
      <c r="XDY5" s="3404"/>
      <c r="XDZ5" s="3404"/>
      <c r="XEA5" s="3404"/>
      <c r="XEB5" s="3404"/>
      <c r="XEC5" s="3404"/>
    </row>
    <row r="6" spans="1:16357" s="3401" customFormat="1" ht="37.5" customHeight="1">
      <c r="A6" s="3410" t="s">
        <v>3466</v>
      </c>
      <c r="B6" s="3239" t="s">
        <v>3459</v>
      </c>
      <c r="C6" s="3239" t="s">
        <v>3460</v>
      </c>
      <c r="D6" s="3239">
        <v>11912.8</v>
      </c>
      <c r="E6" s="3239">
        <v>9530</v>
      </c>
      <c r="F6" s="3239">
        <v>0.8</v>
      </c>
      <c r="G6" s="3239" t="s">
        <v>3467</v>
      </c>
      <c r="H6" s="3239">
        <v>1798</v>
      </c>
      <c r="I6" s="3239">
        <v>100.62</v>
      </c>
      <c r="J6" s="3239">
        <v>1886.67</v>
      </c>
      <c r="K6" s="3239">
        <f>H6*10000/D6</f>
        <v>1509.3009200188035</v>
      </c>
      <c r="L6" s="3239" t="s">
        <v>2820</v>
      </c>
      <c r="M6" s="3239">
        <v>0</v>
      </c>
      <c r="N6" s="3239" t="s">
        <v>3462</v>
      </c>
      <c r="O6" s="3239" t="s">
        <v>2820</v>
      </c>
      <c r="P6" s="3239" t="s">
        <v>2820</v>
      </c>
      <c r="Q6" s="3239" t="s">
        <v>2820</v>
      </c>
      <c r="R6" s="3239"/>
    </row>
  </sheetData>
  <phoneticPr fontId="23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9" sqref="C9"/>
    </sheetView>
  </sheetViews>
  <sheetFormatPr defaultColWidth="8.375" defaultRowHeight="12.75"/>
  <cols>
    <col min="1" max="1" width="13.62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192257</v>
      </c>
      <c r="C2" s="2109"/>
      <c r="D2" s="2109"/>
      <c r="E2" s="2109"/>
      <c r="F2" s="2109"/>
      <c r="G2" s="2109"/>
    </row>
    <row r="3" spans="1:25" s="2060" customFormat="1" ht="18" customHeight="1">
      <c r="A3" s="1379" t="s">
        <v>1685</v>
      </c>
      <c r="B3" s="425">
        <f ca="1">ROUND(B2*10000/'数据-汇总表'!E3,0)</f>
        <v>31792</v>
      </c>
      <c r="C3" s="2109"/>
      <c r="D3" s="2109"/>
      <c r="E3" s="2109"/>
      <c r="F3" s="2109"/>
      <c r="G3" s="2109"/>
    </row>
    <row r="4" spans="1:25" s="2060" customFormat="1" ht="18" customHeight="1">
      <c r="A4" s="426" t="s">
        <v>467</v>
      </c>
      <c r="B4" s="427">
        <f ca="1">ROUND(B2*10000/'数据-汇总表'!D3,0)</f>
        <v>10555</v>
      </c>
      <c r="C4" s="2062"/>
      <c r="D4" s="2109"/>
      <c r="E4" s="2109"/>
      <c r="F4" s="2109"/>
      <c r="G4" s="2109"/>
    </row>
    <row r="5" spans="1:25" s="2060" customFormat="1" ht="18" customHeight="1" thickBot="1">
      <c r="A5" s="429"/>
      <c r="B5" s="430">
        <f ca="1">ROUND(B2/('数据-汇总表'!D3/666.67),0)</f>
        <v>704</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164612</v>
      </c>
      <c r="D7" s="749"/>
      <c r="E7" s="750"/>
      <c r="F7" s="750"/>
      <c r="G7" s="2504" t="s">
        <v>3138</v>
      </c>
    </row>
    <row r="8" spans="1:25" s="2184" customFormat="1" ht="13.5" customHeight="1">
      <c r="A8" s="2494" t="s">
        <v>2443</v>
      </c>
      <c r="B8" s="2497" t="s">
        <v>2445</v>
      </c>
      <c r="C8" s="2498">
        <f>ROUND(9037*'数据-基础表'!A3/10000,0)</f>
        <v>164612</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5465</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f>ROUND('数据-基础表'!A3*E10/10000,0)</f>
        <v>5465</v>
      </c>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16269</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23811</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210157</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31524</v>
      </c>
      <c r="D20" s="760"/>
      <c r="E20" s="749"/>
      <c r="F20" s="1349">
        <v>0.15</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241681</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192257</v>
      </c>
      <c r="D22" s="760"/>
      <c r="E22" s="749"/>
      <c r="F22" s="766">
        <f ca="1">基准地价!C20</f>
        <v>0.79549999999999998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192257</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sheet="1" objects="1" scenarios="1" formatCells="0" formatColumns="0" formatRows="0"/>
  <phoneticPr fontId="1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33" sqref="F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733" t="s">
        <v>521</v>
      </c>
      <c r="D4" s="3734"/>
      <c r="E4" s="3834" t="s">
        <v>522</v>
      </c>
      <c r="F4" s="3835"/>
      <c r="G4" s="3733" t="s">
        <v>523</v>
      </c>
      <c r="H4" s="3734"/>
      <c r="I4" s="3733" t="s">
        <v>524</v>
      </c>
      <c r="J4" s="3734"/>
      <c r="K4" s="853" t="s">
        <v>525</v>
      </c>
      <c r="L4" s="2134"/>
      <c r="M4" s="2135"/>
      <c r="N4" s="2135"/>
      <c r="O4" s="2135"/>
      <c r="P4" s="3735" t="s">
        <v>526</v>
      </c>
      <c r="Q4" s="3736"/>
      <c r="R4" s="3721" t="s">
        <v>522</v>
      </c>
      <c r="S4" s="3722"/>
      <c r="T4" s="3721" t="s">
        <v>523</v>
      </c>
      <c r="U4" s="3722"/>
      <c r="V4" s="3741" t="s">
        <v>524</v>
      </c>
      <c r="W4" s="3741"/>
      <c r="X4" s="1567"/>
      <c r="Y4" s="3721" t="s">
        <v>526</v>
      </c>
      <c r="Z4" s="3722"/>
      <c r="AA4" s="3716" t="s">
        <v>522</v>
      </c>
      <c r="AB4" s="3716" t="s">
        <v>523</v>
      </c>
      <c r="AC4" s="3716" t="s">
        <v>524</v>
      </c>
    </row>
    <row r="5" spans="1:29" ht="15">
      <c r="A5" s="515"/>
      <c r="B5" s="516"/>
      <c r="C5" s="3744" t="s">
        <v>2929</v>
      </c>
      <c r="D5" s="3745"/>
      <c r="E5" s="3842" t="s">
        <v>2930</v>
      </c>
      <c r="F5" s="3837"/>
      <c r="G5" s="3744" t="s">
        <v>2931</v>
      </c>
      <c r="H5" s="3745"/>
      <c r="I5" s="3744" t="s">
        <v>2932</v>
      </c>
      <c r="J5" s="3745"/>
      <c r="K5" s="854"/>
      <c r="L5" s="2134"/>
      <c r="M5" s="2135"/>
      <c r="N5" s="2135"/>
      <c r="O5" s="2135"/>
      <c r="P5" s="3737"/>
      <c r="Q5" s="3738"/>
      <c r="R5" s="3723"/>
      <c r="S5" s="3724"/>
      <c r="T5" s="3723"/>
      <c r="U5" s="3724"/>
      <c r="V5" s="3741"/>
      <c r="W5" s="3741"/>
      <c r="X5" s="1567"/>
      <c r="Y5" s="3723"/>
      <c r="Z5" s="3724"/>
      <c r="AA5" s="3717"/>
      <c r="AB5" s="3717"/>
      <c r="AC5" s="3717"/>
    </row>
    <row r="6" spans="1:29" ht="15.75" thickBot="1">
      <c r="A6" s="517"/>
      <c r="B6" s="518"/>
      <c r="C6" s="3742" t="s">
        <v>2933</v>
      </c>
      <c r="D6" s="3743"/>
      <c r="E6" s="3840" t="s">
        <v>2933</v>
      </c>
      <c r="F6" s="3841"/>
      <c r="G6" s="3742" t="s">
        <v>2933</v>
      </c>
      <c r="H6" s="3743"/>
      <c r="I6" s="3742" t="s">
        <v>2933</v>
      </c>
      <c r="J6" s="3743"/>
      <c r="K6" s="854" t="s">
        <v>527</v>
      </c>
      <c r="L6" s="2134"/>
      <c r="M6" s="2135"/>
      <c r="N6" s="2135"/>
      <c r="O6" s="2135"/>
      <c r="P6" s="3739"/>
      <c r="Q6" s="3740"/>
      <c r="R6" s="3723"/>
      <c r="S6" s="3724"/>
      <c r="T6" s="3725"/>
      <c r="U6" s="3726"/>
      <c r="V6" s="3741"/>
      <c r="W6" s="3741"/>
      <c r="X6" s="1567"/>
      <c r="Y6" s="3725"/>
      <c r="Z6" s="3726"/>
      <c r="AA6" s="3718"/>
      <c r="AB6" s="3718"/>
      <c r="AC6" s="3718"/>
    </row>
    <row r="7" spans="1:29" s="1220" customFormat="1" ht="15.75" thickBot="1">
      <c r="A7" s="2937"/>
      <c r="B7" s="2944" t="s">
        <v>528</v>
      </c>
      <c r="C7" s="519">
        <f>'数据-取费表'!B2</f>
        <v>43251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719" t="s">
        <v>529</v>
      </c>
      <c r="Q7" s="3728"/>
      <c r="R7" s="1568" t="s">
        <v>13</v>
      </c>
      <c r="S7" s="1569">
        <f t="shared" ref="S7:S15" si="0">F7</f>
        <v>0</v>
      </c>
      <c r="T7" s="1568" t="s">
        <v>13</v>
      </c>
      <c r="U7" s="1569">
        <f t="shared" ref="U7:U15" si="1">H7</f>
        <v>0</v>
      </c>
      <c r="V7" s="1568" t="s">
        <v>13</v>
      </c>
      <c r="W7" s="1569">
        <f t="shared" ref="W7:W15" si="2">J7</f>
        <v>0</v>
      </c>
      <c r="X7" s="1570"/>
      <c r="Y7" s="3719" t="s">
        <v>529</v>
      </c>
      <c r="Z7" s="3720"/>
      <c r="AA7" s="1571" t="e">
        <f>D7/F7</f>
        <v>#DIV/0!</v>
      </c>
      <c r="AB7" s="1571" t="e">
        <f>D7/H7</f>
        <v>#DIV/0!</v>
      </c>
      <c r="AC7" s="1571" t="e">
        <f>D7/J7</f>
        <v>#DIV/0!</v>
      </c>
    </row>
    <row r="8" spans="1:29" s="1220" customFormat="1" ht="15.7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719" t="s">
        <v>532</v>
      </c>
      <c r="Q8" s="3720"/>
      <c r="R8" s="1568" t="s">
        <v>13</v>
      </c>
      <c r="S8" s="1569">
        <f t="shared" si="0"/>
        <v>0</v>
      </c>
      <c r="T8" s="1568" t="s">
        <v>13</v>
      </c>
      <c r="U8" s="1569">
        <f t="shared" si="1"/>
        <v>0</v>
      </c>
      <c r="V8" s="1568" t="s">
        <v>13</v>
      </c>
      <c r="W8" s="1569">
        <f t="shared" si="2"/>
        <v>0</v>
      </c>
      <c r="X8" s="1570"/>
      <c r="Y8" s="3719" t="s">
        <v>532</v>
      </c>
      <c r="Z8" s="3720"/>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727" t="s">
        <v>534</v>
      </c>
      <c r="Q9" s="1151" t="str">
        <f t="shared" ref="Q9:Q15" si="6">B9</f>
        <v>用途</v>
      </c>
      <c r="R9" s="1568" t="s">
        <v>8</v>
      </c>
      <c r="S9" s="1569">
        <f t="shared" si="0"/>
        <v>100</v>
      </c>
      <c r="T9" s="1568" t="s">
        <v>8</v>
      </c>
      <c r="U9" s="1569">
        <f t="shared" si="1"/>
        <v>100</v>
      </c>
      <c r="V9" s="1568" t="s">
        <v>8</v>
      </c>
      <c r="W9" s="1569">
        <f t="shared" si="2"/>
        <v>100</v>
      </c>
      <c r="X9" s="1570"/>
      <c r="Y9" s="3684"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727"/>
      <c r="Q10" s="1151" t="str">
        <f t="shared" si="6"/>
        <v>土地使用年限（年）</v>
      </c>
      <c r="R10" s="1568" t="s">
        <v>8</v>
      </c>
      <c r="S10" s="1569">
        <f t="shared" si="0"/>
        <v>100</v>
      </c>
      <c r="T10" s="1568" t="s">
        <v>8</v>
      </c>
      <c r="U10" s="1569">
        <f t="shared" si="1"/>
        <v>100</v>
      </c>
      <c r="V10" s="1568" t="s">
        <v>8</v>
      </c>
      <c r="W10" s="1569">
        <f t="shared" si="2"/>
        <v>100</v>
      </c>
      <c r="X10" s="1570"/>
      <c r="Y10" s="3684"/>
      <c r="Z10" s="1150" t="str">
        <f t="shared" si="7"/>
        <v>土地使用年限（年）</v>
      </c>
      <c r="AA10" s="1571">
        <f t="shared" si="3"/>
        <v>1</v>
      </c>
      <c r="AB10" s="1571">
        <f t="shared" si="4"/>
        <v>1</v>
      </c>
      <c r="AC10" s="1571">
        <f t="shared" si="5"/>
        <v>1</v>
      </c>
    </row>
    <row r="11" spans="1:29" ht="15">
      <c r="A11" s="2941"/>
      <c r="B11" s="2945"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727"/>
      <c r="Q11" s="1151" t="str">
        <f t="shared" si="6"/>
        <v>容积率</v>
      </c>
      <c r="R11" s="1568" t="s">
        <v>11</v>
      </c>
      <c r="S11" s="1569" t="e">
        <f t="shared" si="0"/>
        <v>#N/A</v>
      </c>
      <c r="T11" s="1568" t="s">
        <v>11</v>
      </c>
      <c r="U11" s="1569" t="e">
        <f t="shared" si="1"/>
        <v>#N/A</v>
      </c>
      <c r="V11" s="1568" t="s">
        <v>11</v>
      </c>
      <c r="W11" s="1569" t="e">
        <f t="shared" si="2"/>
        <v>#N/A</v>
      </c>
      <c r="X11" s="1570"/>
      <c r="Y11" s="368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727"/>
      <c r="Q12" s="1151">
        <f t="shared" si="6"/>
        <v>111</v>
      </c>
      <c r="R12" s="1568" t="s">
        <v>11</v>
      </c>
      <c r="S12" s="1569">
        <f t="shared" si="0"/>
        <v>100</v>
      </c>
      <c r="T12" s="1568" t="s">
        <v>11</v>
      </c>
      <c r="U12" s="1569">
        <f t="shared" si="1"/>
        <v>100</v>
      </c>
      <c r="V12" s="1568" t="s">
        <v>11</v>
      </c>
      <c r="W12" s="1569">
        <f t="shared" si="2"/>
        <v>100</v>
      </c>
      <c r="X12" s="1570"/>
      <c r="Y12" s="3684"/>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727"/>
      <c r="Q13" s="1151">
        <f t="shared" si="6"/>
        <v>111</v>
      </c>
      <c r="R13" s="1568" t="s">
        <v>11</v>
      </c>
      <c r="S13" s="1569">
        <f t="shared" si="0"/>
        <v>100</v>
      </c>
      <c r="T13" s="1568" t="s">
        <v>11</v>
      </c>
      <c r="U13" s="1569">
        <f t="shared" si="1"/>
        <v>100</v>
      </c>
      <c r="V13" s="1568" t="s">
        <v>11</v>
      </c>
      <c r="W13" s="1569">
        <f t="shared" si="2"/>
        <v>100</v>
      </c>
      <c r="X13" s="1570"/>
      <c r="Y13" s="3684"/>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727"/>
      <c r="Q14" s="1151">
        <f t="shared" si="6"/>
        <v>111</v>
      </c>
      <c r="R14" s="1568" t="s">
        <v>11</v>
      </c>
      <c r="S14" s="1569">
        <f t="shared" si="0"/>
        <v>100</v>
      </c>
      <c r="T14" s="1568" t="s">
        <v>11</v>
      </c>
      <c r="U14" s="1569">
        <f t="shared" si="1"/>
        <v>100</v>
      </c>
      <c r="V14" s="1568" t="s">
        <v>11</v>
      </c>
      <c r="W14" s="1569">
        <f t="shared" si="2"/>
        <v>100</v>
      </c>
      <c r="X14" s="1570"/>
      <c r="Y14" s="3684"/>
      <c r="Z14" s="1150">
        <f t="shared" si="7"/>
        <v>111</v>
      </c>
      <c r="AA14" s="1571">
        <f t="shared" si="3"/>
        <v>1</v>
      </c>
      <c r="AB14" s="1571">
        <f t="shared" si="4"/>
        <v>1</v>
      </c>
      <c r="AC14" s="1571">
        <f t="shared" si="5"/>
        <v>1</v>
      </c>
    </row>
    <row r="15" spans="1:29" ht="99.75">
      <c r="A15" s="2935" t="s">
        <v>2757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729" t="s">
        <v>539</v>
      </c>
      <c r="Q15" s="1572" t="str">
        <f t="shared" si="6"/>
        <v>居住社区成熟度</v>
      </c>
      <c r="R15" s="1573" t="s">
        <v>11</v>
      </c>
      <c r="S15" s="1574">
        <f t="shared" si="0"/>
        <v>100</v>
      </c>
      <c r="T15" s="1573" t="s">
        <v>11</v>
      </c>
      <c r="U15" s="1574">
        <f t="shared" si="1"/>
        <v>100</v>
      </c>
      <c r="V15" s="1573" t="s">
        <v>11</v>
      </c>
      <c r="W15" s="1574">
        <f t="shared" si="2"/>
        <v>100</v>
      </c>
      <c r="X15" s="1567"/>
      <c r="Y15" s="3729"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730"/>
      <c r="Q16" s="1572"/>
      <c r="R16" s="1573"/>
      <c r="S16" s="1574"/>
      <c r="T16" s="1573"/>
      <c r="U16" s="1574"/>
      <c r="V16" s="1573"/>
      <c r="W16" s="1574"/>
      <c r="X16" s="1567"/>
      <c r="Y16" s="3730"/>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730"/>
      <c r="Q17" s="1572" t="str">
        <f>B17</f>
        <v>交通便捷度</v>
      </c>
      <c r="R17" s="1573" t="s">
        <v>11</v>
      </c>
      <c r="S17" s="1574">
        <f>F17</f>
        <v>100</v>
      </c>
      <c r="T17" s="1573" t="s">
        <v>11</v>
      </c>
      <c r="U17" s="1574">
        <f>H17</f>
        <v>100</v>
      </c>
      <c r="V17" s="1573" t="s">
        <v>11</v>
      </c>
      <c r="W17" s="1574">
        <f>J17</f>
        <v>100</v>
      </c>
      <c r="X17" s="1567"/>
      <c r="Y17" s="373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730"/>
      <c r="Q18" s="1572"/>
      <c r="R18" s="1573"/>
      <c r="S18" s="1574"/>
      <c r="T18" s="1573"/>
      <c r="U18" s="1574"/>
      <c r="V18" s="1573"/>
      <c r="W18" s="1574"/>
      <c r="X18" s="1567"/>
      <c r="Y18" s="3730"/>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730"/>
      <c r="Q19" s="1572" t="str">
        <f>B19</f>
        <v>公共配套设施</v>
      </c>
      <c r="R19" s="1573" t="s">
        <v>11</v>
      </c>
      <c r="S19" s="1574">
        <f>F19</f>
        <v>100</v>
      </c>
      <c r="T19" s="1573" t="s">
        <v>11</v>
      </c>
      <c r="U19" s="1574">
        <f>H19</f>
        <v>100</v>
      </c>
      <c r="V19" s="1573" t="s">
        <v>11</v>
      </c>
      <c r="W19" s="1574">
        <f>J19</f>
        <v>100</v>
      </c>
      <c r="X19" s="1567"/>
      <c r="Y19" s="373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730"/>
      <c r="Q20" s="1572"/>
      <c r="R20" s="1573"/>
      <c r="S20" s="1574"/>
      <c r="T20" s="1573"/>
      <c r="U20" s="1574"/>
      <c r="V20" s="1573"/>
      <c r="W20" s="1574"/>
      <c r="X20" s="1567"/>
      <c r="Y20" s="3730"/>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730"/>
      <c r="Q21" s="2604" t="str">
        <f>B21</f>
        <v>基础设施水平</v>
      </c>
      <c r="R21" s="1573" t="s">
        <v>11</v>
      </c>
      <c r="S21" s="1574">
        <f>F21</f>
        <v>100</v>
      </c>
      <c r="T21" s="1573" t="s">
        <v>11</v>
      </c>
      <c r="U21" s="1574">
        <f>H21</f>
        <v>100</v>
      </c>
      <c r="V21" s="1573" t="s">
        <v>11</v>
      </c>
      <c r="W21" s="1574">
        <f>J21</f>
        <v>100</v>
      </c>
      <c r="X21" s="2606"/>
      <c r="Y21" s="3730"/>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730"/>
      <c r="Q22" s="2604"/>
      <c r="R22" s="1573"/>
      <c r="S22" s="1574"/>
      <c r="T22" s="1573"/>
      <c r="U22" s="1574"/>
      <c r="V22" s="1573"/>
      <c r="W22" s="1574"/>
      <c r="X22" s="2606"/>
      <c r="Y22" s="3730"/>
      <c r="Z22" s="2605"/>
      <c r="AA22" s="1576">
        <v>1</v>
      </c>
      <c r="AB22" s="1576">
        <v>1</v>
      </c>
      <c r="AC22" s="1576">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730"/>
      <c r="Q23" s="1572" t="str">
        <f>B23</f>
        <v>自然及人文环境</v>
      </c>
      <c r="R23" s="1573" t="s">
        <v>11</v>
      </c>
      <c r="S23" s="1574">
        <f>F23</f>
        <v>100</v>
      </c>
      <c r="T23" s="1573" t="s">
        <v>11</v>
      </c>
      <c r="U23" s="1574">
        <f>H23</f>
        <v>100</v>
      </c>
      <c r="V23" s="1573" t="s">
        <v>11</v>
      </c>
      <c r="W23" s="1574">
        <f>J23</f>
        <v>100</v>
      </c>
      <c r="X23" s="1567"/>
      <c r="Y23" s="373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730"/>
      <c r="Q24" s="1572"/>
      <c r="R24" s="1573"/>
      <c r="S24" s="1574"/>
      <c r="T24" s="1573"/>
      <c r="U24" s="1574"/>
      <c r="V24" s="1573"/>
      <c r="W24" s="1574"/>
      <c r="X24" s="1567"/>
      <c r="Y24" s="3730"/>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30"/>
      <c r="Q25" s="1572" t="str">
        <f t="shared" ref="Q25:Q46" si="11">B25</f>
        <v>楼层-1</v>
      </c>
      <c r="R25" s="1573" t="s">
        <v>11</v>
      </c>
      <c r="S25" s="1574">
        <f>F25</f>
        <v>100</v>
      </c>
      <c r="T25" s="1573" t="s">
        <v>11</v>
      </c>
      <c r="U25" s="1574">
        <f>H25</f>
        <v>100</v>
      </c>
      <c r="V25" s="1573" t="s">
        <v>11</v>
      </c>
      <c r="W25" s="1574">
        <f>J25</f>
        <v>100</v>
      </c>
      <c r="X25" s="1567"/>
      <c r="Y25" s="3730"/>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30"/>
      <c r="Q26" s="1572" t="str">
        <f t="shared" si="11"/>
        <v>朝向</v>
      </c>
      <c r="R26" s="1573" t="s">
        <v>11</v>
      </c>
      <c r="S26" s="1574">
        <f>F26</f>
        <v>100</v>
      </c>
      <c r="T26" s="1573" t="s">
        <v>11</v>
      </c>
      <c r="U26" s="1574">
        <f>H26</f>
        <v>100</v>
      </c>
      <c r="V26" s="1573" t="s">
        <v>11</v>
      </c>
      <c r="W26" s="1574">
        <f>J26</f>
        <v>100</v>
      </c>
      <c r="X26" s="1567"/>
      <c r="Y26" s="3730"/>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30"/>
      <c r="Q27" s="1151" t="str">
        <f t="shared" si="11"/>
        <v>道路级别</v>
      </c>
      <c r="R27" s="1568" t="s">
        <v>11</v>
      </c>
      <c r="S27" s="1569">
        <f>F27</f>
        <v>100</v>
      </c>
      <c r="T27" s="1568" t="s">
        <v>11</v>
      </c>
      <c r="U27" s="1569">
        <f>H27</f>
        <v>100</v>
      </c>
      <c r="V27" s="1568" t="s">
        <v>11</v>
      </c>
      <c r="W27" s="1569">
        <f>J27</f>
        <v>100</v>
      </c>
      <c r="X27" s="1570"/>
      <c r="Y27" s="373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30"/>
      <c r="Q28" s="1572">
        <f t="shared" si="11"/>
        <v>111</v>
      </c>
      <c r="R28" s="1573" t="s">
        <v>11</v>
      </c>
      <c r="S28" s="1574">
        <f t="shared" ref="S28:S46" si="12">F28</f>
        <v>100</v>
      </c>
      <c r="T28" s="1573" t="s">
        <v>11</v>
      </c>
      <c r="U28" s="1574">
        <f t="shared" ref="U28:U46" si="13">H28</f>
        <v>100</v>
      </c>
      <c r="V28" s="1573" t="s">
        <v>11</v>
      </c>
      <c r="W28" s="1574">
        <f t="shared" ref="W28:W46" si="14">J28</f>
        <v>100</v>
      </c>
      <c r="X28" s="1567"/>
      <c r="Y28" s="373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30"/>
      <c r="Q29" s="1572">
        <f t="shared" si="11"/>
        <v>111</v>
      </c>
      <c r="R29" s="1573" t="s">
        <v>11</v>
      </c>
      <c r="S29" s="1574">
        <f t="shared" si="12"/>
        <v>100</v>
      </c>
      <c r="T29" s="1573" t="s">
        <v>11</v>
      </c>
      <c r="U29" s="1574">
        <f t="shared" si="13"/>
        <v>100</v>
      </c>
      <c r="V29" s="1573" t="s">
        <v>11</v>
      </c>
      <c r="W29" s="1574">
        <f t="shared" si="14"/>
        <v>100</v>
      </c>
      <c r="X29" s="1567"/>
      <c r="Y29" s="373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30"/>
      <c r="Q30" s="1572">
        <f t="shared" si="11"/>
        <v>111</v>
      </c>
      <c r="R30" s="1573" t="s">
        <v>11</v>
      </c>
      <c r="S30" s="1574">
        <f t="shared" si="12"/>
        <v>100</v>
      </c>
      <c r="T30" s="1573" t="s">
        <v>11</v>
      </c>
      <c r="U30" s="1574">
        <f t="shared" si="13"/>
        <v>100</v>
      </c>
      <c r="V30" s="1573" t="s">
        <v>11</v>
      </c>
      <c r="W30" s="1574">
        <f t="shared" si="14"/>
        <v>100</v>
      </c>
      <c r="X30" s="1567"/>
      <c r="Y30" s="373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30"/>
      <c r="Q31" s="1572">
        <f t="shared" si="11"/>
        <v>111</v>
      </c>
      <c r="R31" s="1573" t="s">
        <v>11</v>
      </c>
      <c r="S31" s="1574">
        <f t="shared" si="12"/>
        <v>100</v>
      </c>
      <c r="T31" s="1573" t="s">
        <v>11</v>
      </c>
      <c r="U31" s="1574">
        <f t="shared" si="13"/>
        <v>100</v>
      </c>
      <c r="V31" s="1573" t="s">
        <v>11</v>
      </c>
      <c r="W31" s="1574">
        <f t="shared" si="14"/>
        <v>100</v>
      </c>
      <c r="X31" s="1567"/>
      <c r="Y31" s="3730"/>
      <c r="Z31" s="1575">
        <f t="shared" si="15"/>
        <v>111</v>
      </c>
      <c r="AA31" s="1576">
        <f t="shared" si="3"/>
        <v>1</v>
      </c>
      <c r="AB31" s="1576">
        <f t="shared" si="4"/>
        <v>1</v>
      </c>
      <c r="AC31" s="1576">
        <f t="shared" si="5"/>
        <v>1</v>
      </c>
    </row>
    <row r="32" spans="1:29" ht="15">
      <c r="A32" s="2932"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731" t="s">
        <v>549</v>
      </c>
      <c r="Q32" s="1572" t="str">
        <f t="shared" si="11"/>
        <v>建筑类型</v>
      </c>
      <c r="R32" s="1573" t="s">
        <v>11</v>
      </c>
      <c r="S32" s="1574">
        <f t="shared" si="12"/>
        <v>100</v>
      </c>
      <c r="T32" s="1573" t="s">
        <v>11</v>
      </c>
      <c r="U32" s="1574">
        <f t="shared" si="13"/>
        <v>100</v>
      </c>
      <c r="V32" s="1573" t="s">
        <v>11</v>
      </c>
      <c r="W32" s="1574">
        <f t="shared" si="14"/>
        <v>100</v>
      </c>
      <c r="X32" s="1567"/>
      <c r="Y32" s="3732"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732"/>
      <c r="Q33" s="1605" t="str">
        <f t="shared" si="11"/>
        <v>项目建筑规模</v>
      </c>
      <c r="R33" s="1577" t="s">
        <v>11</v>
      </c>
      <c r="S33" s="1578" t="e">
        <f t="shared" si="12"/>
        <v>#N/A</v>
      </c>
      <c r="T33" s="1577" t="s">
        <v>11</v>
      </c>
      <c r="U33" s="1578" t="e">
        <f t="shared" si="13"/>
        <v>#N/A</v>
      </c>
      <c r="V33" s="1577" t="s">
        <v>11</v>
      </c>
      <c r="W33" s="1578" t="e">
        <f t="shared" si="14"/>
        <v>#N/A</v>
      </c>
      <c r="X33" s="1579"/>
      <c r="Y33" s="3732"/>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732"/>
      <c r="Q34" s="1572" t="str">
        <f t="shared" si="11"/>
        <v>建筑结构</v>
      </c>
      <c r="R34" s="1573" t="s">
        <v>11</v>
      </c>
      <c r="S34" s="1574">
        <f t="shared" si="12"/>
        <v>100</v>
      </c>
      <c r="T34" s="1573" t="s">
        <v>11</v>
      </c>
      <c r="U34" s="1574">
        <f t="shared" si="13"/>
        <v>100</v>
      </c>
      <c r="V34" s="1573" t="s">
        <v>11</v>
      </c>
      <c r="W34" s="1574">
        <f t="shared" si="14"/>
        <v>100</v>
      </c>
      <c r="X34" s="1567"/>
      <c r="Y34" s="3732"/>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732"/>
      <c r="Q35" s="1572" t="str">
        <f t="shared" si="11"/>
        <v>建筑品质</v>
      </c>
      <c r="R35" s="1573" t="s">
        <v>11</v>
      </c>
      <c r="S35" s="1574">
        <f t="shared" si="12"/>
        <v>100</v>
      </c>
      <c r="T35" s="1573" t="s">
        <v>11</v>
      </c>
      <c r="U35" s="1574">
        <f t="shared" si="13"/>
        <v>100</v>
      </c>
      <c r="V35" s="1573" t="s">
        <v>11</v>
      </c>
      <c r="W35" s="1574">
        <f t="shared" si="14"/>
        <v>100</v>
      </c>
      <c r="X35" s="1567"/>
      <c r="Y35" s="3732"/>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732"/>
      <c r="Q36" s="1572" t="str">
        <f t="shared" si="11"/>
        <v>公共部分装修</v>
      </c>
      <c r="R36" s="1573" t="s">
        <v>11</v>
      </c>
      <c r="S36" s="1574">
        <f t="shared" si="12"/>
        <v>100</v>
      </c>
      <c r="T36" s="1573" t="s">
        <v>11</v>
      </c>
      <c r="U36" s="1574">
        <f t="shared" si="13"/>
        <v>100</v>
      </c>
      <c r="V36" s="1573" t="s">
        <v>11</v>
      </c>
      <c r="W36" s="1574">
        <f t="shared" si="14"/>
        <v>100</v>
      </c>
      <c r="X36" s="1567"/>
      <c r="Y36" s="3732"/>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732"/>
      <c r="Q37" s="1151" t="str">
        <f t="shared" si="11"/>
        <v>成新度</v>
      </c>
      <c r="R37" s="1568" t="s">
        <v>11</v>
      </c>
      <c r="S37" s="1569" t="e">
        <f t="shared" si="12"/>
        <v>#N/A</v>
      </c>
      <c r="T37" s="1568" t="s">
        <v>11</v>
      </c>
      <c r="U37" s="1569" t="e">
        <f t="shared" si="13"/>
        <v>#N/A</v>
      </c>
      <c r="V37" s="1568" t="s">
        <v>11</v>
      </c>
      <c r="W37" s="1569" t="e">
        <f t="shared" si="14"/>
        <v>#N/A</v>
      </c>
      <c r="X37" s="1570"/>
      <c r="Y37" s="3732"/>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732" t="s">
        <v>549</v>
      </c>
      <c r="Q38" s="1572" t="str">
        <f t="shared" si="11"/>
        <v>物业管理</v>
      </c>
      <c r="R38" s="1573" t="s">
        <v>11</v>
      </c>
      <c r="S38" s="1574">
        <f t="shared" si="12"/>
        <v>100</v>
      </c>
      <c r="T38" s="1573" t="s">
        <v>11</v>
      </c>
      <c r="U38" s="1574">
        <f t="shared" si="13"/>
        <v>100</v>
      </c>
      <c r="V38" s="1573" t="s">
        <v>11</v>
      </c>
      <c r="W38" s="1574">
        <f t="shared" si="14"/>
        <v>100</v>
      </c>
      <c r="X38" s="1567"/>
      <c r="Y38" s="3732" t="s">
        <v>549</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732"/>
      <c r="Q39" s="1572" t="str">
        <f t="shared" si="11"/>
        <v>市政基础设施</v>
      </c>
      <c r="R39" s="1573" t="s">
        <v>11</v>
      </c>
      <c r="S39" s="1574">
        <f t="shared" si="12"/>
        <v>100</v>
      </c>
      <c r="T39" s="1573" t="s">
        <v>11</v>
      </c>
      <c r="U39" s="1574">
        <f t="shared" si="13"/>
        <v>100</v>
      </c>
      <c r="V39" s="1573" t="s">
        <v>11</v>
      </c>
      <c r="W39" s="1574">
        <f t="shared" si="14"/>
        <v>100</v>
      </c>
      <c r="X39" s="1567"/>
      <c r="Y39" s="3732"/>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32"/>
      <c r="Q40" s="1572" t="str">
        <f t="shared" si="11"/>
        <v>房型</v>
      </c>
      <c r="R40" s="1573" t="s">
        <v>11</v>
      </c>
      <c r="S40" s="1574">
        <f t="shared" si="12"/>
        <v>100</v>
      </c>
      <c r="T40" s="1573" t="s">
        <v>11</v>
      </c>
      <c r="U40" s="1574">
        <f t="shared" si="13"/>
        <v>100</v>
      </c>
      <c r="V40" s="1573" t="s">
        <v>11</v>
      </c>
      <c r="W40" s="1574">
        <f t="shared" si="14"/>
        <v>100</v>
      </c>
      <c r="X40" s="1567"/>
      <c r="Y40" s="3732"/>
      <c r="Z40" s="1575" t="str">
        <f t="shared" si="15"/>
        <v>房型</v>
      </c>
      <c r="AA40" s="1576">
        <f t="shared" si="3"/>
        <v>1</v>
      </c>
      <c r="AB40" s="1576">
        <f t="shared" si="4"/>
        <v>1</v>
      </c>
      <c r="AC40" s="1576">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732"/>
      <c r="Q41" s="1605" t="str">
        <f t="shared" si="11"/>
        <v>单套/主力户型建筑面积</v>
      </c>
      <c r="R41" s="1577" t="s">
        <v>11</v>
      </c>
      <c r="S41" s="1578">
        <f t="shared" si="12"/>
        <v>100</v>
      </c>
      <c r="T41" s="1577" t="s">
        <v>11</v>
      </c>
      <c r="U41" s="1578">
        <f t="shared" si="13"/>
        <v>100</v>
      </c>
      <c r="V41" s="1577" t="s">
        <v>11</v>
      </c>
      <c r="W41" s="1578">
        <f t="shared" si="14"/>
        <v>100</v>
      </c>
      <c r="X41" s="1579"/>
      <c r="Y41" s="3732"/>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732"/>
      <c r="Q42" s="1572" t="str">
        <f t="shared" si="11"/>
        <v>内部装修</v>
      </c>
      <c r="R42" s="1573" t="s">
        <v>11</v>
      </c>
      <c r="S42" s="1574">
        <f t="shared" si="12"/>
        <v>100</v>
      </c>
      <c r="T42" s="1573" t="s">
        <v>11</v>
      </c>
      <c r="U42" s="1574">
        <f t="shared" si="13"/>
        <v>100</v>
      </c>
      <c r="V42" s="1573" t="s">
        <v>11</v>
      </c>
      <c r="W42" s="1574">
        <f t="shared" si="14"/>
        <v>100</v>
      </c>
      <c r="X42" s="1567"/>
      <c r="Y42" s="3732"/>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732"/>
      <c r="Q43" s="1572" t="str">
        <f t="shared" si="11"/>
        <v>内部装修维护情况</v>
      </c>
      <c r="R43" s="1573" t="s">
        <v>11</v>
      </c>
      <c r="S43" s="1574">
        <f t="shared" si="12"/>
        <v>100</v>
      </c>
      <c r="T43" s="1573" t="s">
        <v>11</v>
      </c>
      <c r="U43" s="1574">
        <f t="shared" si="13"/>
        <v>100</v>
      </c>
      <c r="V43" s="1573" t="s">
        <v>11</v>
      </c>
      <c r="W43" s="1574">
        <f t="shared" si="14"/>
        <v>100</v>
      </c>
      <c r="X43" s="1567"/>
      <c r="Y43" s="373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732"/>
      <c r="Q44" s="1151">
        <f t="shared" si="11"/>
        <v>111</v>
      </c>
      <c r="R44" s="1568" t="s">
        <v>11</v>
      </c>
      <c r="S44" s="1569">
        <f t="shared" si="12"/>
        <v>100</v>
      </c>
      <c r="T44" s="1568" t="s">
        <v>11</v>
      </c>
      <c r="U44" s="1569">
        <f t="shared" si="13"/>
        <v>100</v>
      </c>
      <c r="V44" s="1568" t="s">
        <v>11</v>
      </c>
      <c r="W44" s="1569">
        <f t="shared" si="14"/>
        <v>100</v>
      </c>
      <c r="X44" s="1570"/>
      <c r="Y44" s="373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32"/>
      <c r="Q45" s="1572">
        <f t="shared" si="11"/>
        <v>111</v>
      </c>
      <c r="R45" s="1573" t="s">
        <v>11</v>
      </c>
      <c r="S45" s="1574">
        <f t="shared" si="12"/>
        <v>100</v>
      </c>
      <c r="T45" s="1573" t="s">
        <v>11</v>
      </c>
      <c r="U45" s="1574">
        <f t="shared" si="13"/>
        <v>100</v>
      </c>
      <c r="V45" s="1573" t="s">
        <v>11</v>
      </c>
      <c r="W45" s="1574">
        <f t="shared" si="14"/>
        <v>100</v>
      </c>
      <c r="X45" s="1567"/>
      <c r="Y45" s="373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845"/>
      <c r="Q46" s="1572">
        <f t="shared" si="11"/>
        <v>111</v>
      </c>
      <c r="R46" s="1573" t="s">
        <v>10</v>
      </c>
      <c r="S46" s="1574">
        <f t="shared" si="12"/>
        <v>100</v>
      </c>
      <c r="T46" s="1573" t="s">
        <v>10</v>
      </c>
      <c r="U46" s="1574">
        <f t="shared" si="13"/>
        <v>100</v>
      </c>
      <c r="V46" s="1573" t="s">
        <v>10</v>
      </c>
      <c r="W46" s="1574">
        <f t="shared" si="14"/>
        <v>100</v>
      </c>
      <c r="X46" s="1567"/>
      <c r="Y46" s="3845"/>
      <c r="Z46" s="1575">
        <f t="shared" si="15"/>
        <v>111</v>
      </c>
      <c r="AA46" s="1576">
        <f t="shared" si="3"/>
        <v>1</v>
      </c>
      <c r="AB46" s="1576">
        <f t="shared" si="4"/>
        <v>1</v>
      </c>
      <c r="AC46" s="1576">
        <f t="shared" si="5"/>
        <v>1</v>
      </c>
    </row>
    <row r="47" spans="1:29" ht="15">
      <c r="A47" s="607" t="s">
        <v>735</v>
      </c>
      <c r="B47" s="887"/>
      <c r="C47" s="2652" t="s">
        <v>9</v>
      </c>
      <c r="D47" s="2653"/>
      <c r="E47" s="2654"/>
      <c r="F47" s="2655"/>
      <c r="G47" s="2656"/>
      <c r="H47" s="2657"/>
      <c r="I47" s="2654"/>
      <c r="J47" s="2657"/>
      <c r="K47" s="1606"/>
      <c r="L47" s="2145"/>
      <c r="M47" s="2146"/>
      <c r="N47" s="2135"/>
      <c r="O47" s="2146"/>
      <c r="P47" s="3727" t="str">
        <f>A47</f>
        <v>成交单价（元/平方米）</v>
      </c>
      <c r="Q47" s="3727"/>
      <c r="R47" s="3844">
        <f>E47</f>
        <v>0</v>
      </c>
      <c r="S47" s="3844"/>
      <c r="T47" s="3844">
        <f>G47</f>
        <v>0</v>
      </c>
      <c r="U47" s="3844"/>
      <c r="V47" s="3844">
        <f>I47</f>
        <v>0</v>
      </c>
      <c r="W47" s="3844"/>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07"/>
      <c r="L48" s="2145"/>
      <c r="M48" s="2146"/>
      <c r="N48" s="2146"/>
      <c r="O48" s="2146"/>
      <c r="P48" s="3727" t="str">
        <f>A48</f>
        <v>比较价格（元/平方米）</v>
      </c>
      <c r="Q48" s="3727"/>
      <c r="R48" s="3844" t="e">
        <f>IF(F1="售价",ROUND(PRODUCT(R47,AA7:AA46),0),ROUND(PRODUCT(R47,AA7:AA46),1))</f>
        <v>#DIV/0!</v>
      </c>
      <c r="S48" s="3844"/>
      <c r="T48" s="3844" t="e">
        <f>IF(F1="售价",ROUND(PRODUCT(T47,AB7:AB46),0),ROUND(PRODUCT(T47,AB7:AB46),1))</f>
        <v>#DIV/0!</v>
      </c>
      <c r="U48" s="3844"/>
      <c r="V48" s="3844" t="e">
        <f>IF(F1="售价",ROUND(PRODUCT(V47,AC7:AC46),0),ROUND(PRODUCT(V47,AC7:AC46),1))</f>
        <v>#DIV/0!</v>
      </c>
      <c r="W48" s="3844"/>
      <c r="X48" s="1559"/>
      <c r="Y48" s="1559"/>
      <c r="Z48" s="1559"/>
      <c r="AA48" s="1559"/>
      <c r="AB48" s="1559"/>
      <c r="AC48" s="1559"/>
    </row>
    <row r="49" spans="1:29" ht="15.75" thickBot="1">
      <c r="A49" s="621" t="s">
        <v>2935</v>
      </c>
      <c r="B49" s="622"/>
      <c r="C49" s="2661" t="e">
        <f>R49</f>
        <v>#DIV/0!</v>
      </c>
      <c r="D49" s="2661"/>
      <c r="E49" s="2661"/>
      <c r="F49" s="2661"/>
      <c r="G49" s="2661"/>
      <c r="H49" s="2661"/>
      <c r="I49" s="2661"/>
      <c r="J49" s="2661"/>
      <c r="K49" s="1608"/>
      <c r="L49" s="2145"/>
      <c r="M49" s="2146"/>
      <c r="N49" s="2146"/>
      <c r="O49" s="2146"/>
      <c r="P49" s="3748" t="str">
        <f>A49</f>
        <v>估价对象XX用房的比较价格（楼面单价，元/平方米）</v>
      </c>
      <c r="Q49" s="3749"/>
      <c r="R49" s="3843" t="e">
        <f>IF(F1="售价",ROUND(AVERAGE(R48:V48),0),ROUND(AVERAGE(R48:V48),1))</f>
        <v>#DIV/0!</v>
      </c>
      <c r="S49" s="3843"/>
      <c r="T49" s="3843"/>
      <c r="U49" s="3843"/>
      <c r="V49" s="3843"/>
      <c r="W49" s="384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733" t="s">
        <v>521</v>
      </c>
      <c r="D4" s="3734"/>
      <c r="E4" s="3834" t="s">
        <v>522</v>
      </c>
      <c r="F4" s="3835"/>
      <c r="G4" s="3733" t="s">
        <v>523</v>
      </c>
      <c r="H4" s="3734"/>
      <c r="I4" s="3733" t="s">
        <v>524</v>
      </c>
      <c r="J4" s="3734"/>
      <c r="K4" s="514" t="s">
        <v>525</v>
      </c>
      <c r="L4" s="2134"/>
      <c r="M4" s="2135"/>
      <c r="N4" s="2135"/>
      <c r="O4" s="2135"/>
      <c r="P4" s="3735" t="s">
        <v>526</v>
      </c>
      <c r="Q4" s="3736"/>
      <c r="R4" s="3721" t="s">
        <v>522</v>
      </c>
      <c r="S4" s="3722"/>
      <c r="T4" s="3721" t="s">
        <v>523</v>
      </c>
      <c r="U4" s="3722"/>
      <c r="V4" s="3741" t="s">
        <v>524</v>
      </c>
      <c r="W4" s="3741"/>
      <c r="X4" s="1567"/>
      <c r="Y4" s="3721" t="s">
        <v>526</v>
      </c>
      <c r="Z4" s="3722"/>
      <c r="AA4" s="3716" t="s">
        <v>522</v>
      </c>
      <c r="AB4" s="3741" t="s">
        <v>523</v>
      </c>
      <c r="AC4" s="3716" t="s">
        <v>524</v>
      </c>
    </row>
    <row r="5" spans="1:29" ht="15">
      <c r="A5" s="515"/>
      <c r="B5" s="516"/>
      <c r="C5" s="3744" t="s">
        <v>2929</v>
      </c>
      <c r="D5" s="3745"/>
      <c r="E5" s="3842" t="s">
        <v>2930</v>
      </c>
      <c r="F5" s="3837"/>
      <c r="G5" s="3744" t="s">
        <v>2931</v>
      </c>
      <c r="H5" s="3745"/>
      <c r="I5" s="3744" t="s">
        <v>2932</v>
      </c>
      <c r="J5" s="3745"/>
      <c r="K5" s="514"/>
      <c r="L5" s="2134"/>
      <c r="M5" s="2135"/>
      <c r="N5" s="2135"/>
      <c r="O5" s="2135"/>
      <c r="P5" s="3737"/>
      <c r="Q5" s="3738"/>
      <c r="R5" s="3723"/>
      <c r="S5" s="3724"/>
      <c r="T5" s="3723"/>
      <c r="U5" s="3724"/>
      <c r="V5" s="3741"/>
      <c r="W5" s="3741"/>
      <c r="X5" s="1567"/>
      <c r="Y5" s="3723"/>
      <c r="Z5" s="3724"/>
      <c r="AA5" s="3717"/>
      <c r="AB5" s="3741"/>
      <c r="AC5" s="3717"/>
    </row>
    <row r="6" spans="1:29" ht="15.75" thickBot="1">
      <c r="A6" s="517"/>
      <c r="B6" s="518"/>
      <c r="C6" s="3742" t="s">
        <v>2933</v>
      </c>
      <c r="D6" s="3743"/>
      <c r="E6" s="3840" t="s">
        <v>2933</v>
      </c>
      <c r="F6" s="3841"/>
      <c r="G6" s="3742" t="s">
        <v>2933</v>
      </c>
      <c r="H6" s="3743"/>
      <c r="I6" s="3742" t="s">
        <v>2933</v>
      </c>
      <c r="J6" s="3743"/>
      <c r="K6" s="514" t="s">
        <v>527</v>
      </c>
      <c r="L6" s="2134"/>
      <c r="M6" s="2135"/>
      <c r="N6" s="2135"/>
      <c r="O6" s="2135"/>
      <c r="P6" s="3739"/>
      <c r="Q6" s="3740"/>
      <c r="R6" s="3723"/>
      <c r="S6" s="3724"/>
      <c r="T6" s="3725"/>
      <c r="U6" s="3726"/>
      <c r="V6" s="3741"/>
      <c r="W6" s="3741"/>
      <c r="X6" s="1567"/>
      <c r="Y6" s="3725"/>
      <c r="Z6" s="3726"/>
      <c r="AA6" s="3718"/>
      <c r="AB6" s="3741"/>
      <c r="AC6" s="3718"/>
    </row>
    <row r="7" spans="1:29" s="1220" customFormat="1" ht="15.75" thickBot="1">
      <c r="A7" s="2937"/>
      <c r="B7" s="2944" t="s">
        <v>528</v>
      </c>
      <c r="C7" s="519">
        <f>'数据-取费表'!B2</f>
        <v>43251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719" t="s">
        <v>529</v>
      </c>
      <c r="Q7" s="3728"/>
      <c r="R7" s="1568" t="s">
        <v>8</v>
      </c>
      <c r="S7" s="1569">
        <f t="shared" ref="S7:S15" si="0">F7</f>
        <v>0</v>
      </c>
      <c r="T7" s="1568" t="s">
        <v>8</v>
      </c>
      <c r="U7" s="1569">
        <f t="shared" ref="U7:U15" si="1">H7</f>
        <v>0</v>
      </c>
      <c r="V7" s="1568" t="s">
        <v>8</v>
      </c>
      <c r="W7" s="1569">
        <f t="shared" ref="W7:W15" si="2">J7</f>
        <v>0</v>
      </c>
      <c r="X7" s="1570"/>
      <c r="Y7" s="3719" t="s">
        <v>529</v>
      </c>
      <c r="Z7" s="3720"/>
      <c r="AA7" s="1571" t="e">
        <f>D7/F7</f>
        <v>#DIV/0!</v>
      </c>
      <c r="AB7" s="1571" t="e">
        <f>D7/H7</f>
        <v>#DIV/0!</v>
      </c>
      <c r="AC7" s="1571" t="e">
        <f>D7/J7</f>
        <v>#DIV/0!</v>
      </c>
    </row>
    <row r="8" spans="1:29" s="1220"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719" t="s">
        <v>532</v>
      </c>
      <c r="Q8" s="3720"/>
      <c r="R8" s="1568" t="s">
        <v>8</v>
      </c>
      <c r="S8" s="1569">
        <f t="shared" si="0"/>
        <v>0</v>
      </c>
      <c r="T8" s="1568" t="s">
        <v>8</v>
      </c>
      <c r="U8" s="1569">
        <f t="shared" si="1"/>
        <v>0</v>
      </c>
      <c r="V8" s="1568" t="s">
        <v>8</v>
      </c>
      <c r="W8" s="1569">
        <f t="shared" si="2"/>
        <v>0</v>
      </c>
      <c r="X8" s="1570"/>
      <c r="Y8" s="3719" t="s">
        <v>532</v>
      </c>
      <c r="Z8" s="3720"/>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727" t="s">
        <v>534</v>
      </c>
      <c r="Q9" s="1151" t="str">
        <f t="shared" ref="Q9:Q15" si="6">B9</f>
        <v>用途</v>
      </c>
      <c r="R9" s="1568" t="s">
        <v>8</v>
      </c>
      <c r="S9" s="1569">
        <f t="shared" si="0"/>
        <v>100</v>
      </c>
      <c r="T9" s="1568" t="s">
        <v>8</v>
      </c>
      <c r="U9" s="1569">
        <f t="shared" si="1"/>
        <v>100</v>
      </c>
      <c r="V9" s="1568" t="s">
        <v>8</v>
      </c>
      <c r="W9" s="1569">
        <f t="shared" si="2"/>
        <v>100</v>
      </c>
      <c r="X9" s="1570"/>
      <c r="Y9" s="3684"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727"/>
      <c r="Q10" s="1151" t="str">
        <f t="shared" si="6"/>
        <v>土地使用年限（年）</v>
      </c>
      <c r="R10" s="1568" t="s">
        <v>8</v>
      </c>
      <c r="S10" s="1569">
        <f t="shared" si="0"/>
        <v>100</v>
      </c>
      <c r="T10" s="1568" t="s">
        <v>8</v>
      </c>
      <c r="U10" s="1569">
        <f t="shared" si="1"/>
        <v>100</v>
      </c>
      <c r="V10" s="1568" t="s">
        <v>8</v>
      </c>
      <c r="W10" s="1569">
        <f t="shared" si="2"/>
        <v>100</v>
      </c>
      <c r="X10" s="1570"/>
      <c r="Y10" s="3684"/>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727"/>
      <c r="Q11" s="1151" t="str">
        <f t="shared" si="6"/>
        <v>容积率</v>
      </c>
      <c r="R11" s="1568" t="s">
        <v>8</v>
      </c>
      <c r="S11" s="1569" t="e">
        <f t="shared" si="0"/>
        <v>#N/A</v>
      </c>
      <c r="T11" s="1568" t="s">
        <v>8</v>
      </c>
      <c r="U11" s="1569" t="e">
        <f t="shared" si="1"/>
        <v>#N/A</v>
      </c>
      <c r="V11" s="1568" t="s">
        <v>8</v>
      </c>
      <c r="W11" s="1569" t="e">
        <f t="shared" si="2"/>
        <v>#N/A</v>
      </c>
      <c r="X11" s="1570"/>
      <c r="Y11" s="368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727"/>
      <c r="Q12" s="1151">
        <f t="shared" si="6"/>
        <v>111</v>
      </c>
      <c r="R12" s="1568" t="s">
        <v>8</v>
      </c>
      <c r="S12" s="1569">
        <f t="shared" si="0"/>
        <v>100</v>
      </c>
      <c r="T12" s="1568" t="s">
        <v>8</v>
      </c>
      <c r="U12" s="1569">
        <f t="shared" si="1"/>
        <v>100</v>
      </c>
      <c r="V12" s="1568" t="s">
        <v>8</v>
      </c>
      <c r="W12" s="1569">
        <f t="shared" si="2"/>
        <v>100</v>
      </c>
      <c r="X12" s="1570"/>
      <c r="Y12" s="3684"/>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727"/>
      <c r="Q13" s="1151">
        <f t="shared" si="6"/>
        <v>111</v>
      </c>
      <c r="R13" s="1568" t="s">
        <v>8</v>
      </c>
      <c r="S13" s="1569">
        <f t="shared" si="0"/>
        <v>100</v>
      </c>
      <c r="T13" s="1568" t="s">
        <v>8</v>
      </c>
      <c r="U13" s="1569">
        <f t="shared" si="1"/>
        <v>100</v>
      </c>
      <c r="V13" s="1568" t="s">
        <v>8</v>
      </c>
      <c r="W13" s="1569">
        <f t="shared" si="2"/>
        <v>100</v>
      </c>
      <c r="X13" s="1570"/>
      <c r="Y13" s="3684"/>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727"/>
      <c r="Q14" s="1151">
        <f t="shared" si="6"/>
        <v>111</v>
      </c>
      <c r="R14" s="1568" t="s">
        <v>8</v>
      </c>
      <c r="S14" s="1569">
        <f t="shared" si="0"/>
        <v>100</v>
      </c>
      <c r="T14" s="1568" t="s">
        <v>8</v>
      </c>
      <c r="U14" s="1569">
        <f t="shared" si="1"/>
        <v>100</v>
      </c>
      <c r="V14" s="1568" t="s">
        <v>8</v>
      </c>
      <c r="W14" s="1569">
        <f t="shared" si="2"/>
        <v>100</v>
      </c>
      <c r="X14" s="1570"/>
      <c r="Y14" s="3684"/>
      <c r="Z14" s="1150">
        <f t="shared" si="7"/>
        <v>111</v>
      </c>
      <c r="AA14" s="1571">
        <f t="shared" si="3"/>
        <v>1</v>
      </c>
      <c r="AB14" s="1571">
        <f t="shared" si="4"/>
        <v>1</v>
      </c>
      <c r="AC14" s="1571">
        <f t="shared" si="5"/>
        <v>1</v>
      </c>
    </row>
    <row r="15" spans="1:29" ht="71.25">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729" t="s">
        <v>539</v>
      </c>
      <c r="Q15" s="1572" t="str">
        <f t="shared" si="6"/>
        <v>商业繁华度</v>
      </c>
      <c r="R15" s="1573" t="s">
        <v>8</v>
      </c>
      <c r="S15" s="1574">
        <f t="shared" si="0"/>
        <v>100</v>
      </c>
      <c r="T15" s="1573" t="s">
        <v>8</v>
      </c>
      <c r="U15" s="1574">
        <f t="shared" si="1"/>
        <v>100</v>
      </c>
      <c r="V15" s="1573" t="s">
        <v>8</v>
      </c>
      <c r="W15" s="1574">
        <f t="shared" si="2"/>
        <v>100</v>
      </c>
      <c r="X15" s="1567"/>
      <c r="Y15" s="3729"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730"/>
      <c r="Q16" s="1572"/>
      <c r="R16" s="1573"/>
      <c r="S16" s="1574"/>
      <c r="T16" s="1573"/>
      <c r="U16" s="1574"/>
      <c r="V16" s="1573"/>
      <c r="W16" s="1574"/>
      <c r="X16" s="1567"/>
      <c r="Y16" s="3730"/>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730"/>
      <c r="Q17" s="1572" t="str">
        <f>B17</f>
        <v>交通便捷度</v>
      </c>
      <c r="R17" s="1573" t="s">
        <v>8</v>
      </c>
      <c r="S17" s="1574">
        <f>F17</f>
        <v>100</v>
      </c>
      <c r="T17" s="1573" t="s">
        <v>8</v>
      </c>
      <c r="U17" s="1574">
        <f>H17</f>
        <v>100</v>
      </c>
      <c r="V17" s="1573" t="s">
        <v>8</v>
      </c>
      <c r="W17" s="1574">
        <f>J17</f>
        <v>100</v>
      </c>
      <c r="X17" s="1567"/>
      <c r="Y17" s="373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730"/>
      <c r="Q18" s="1572"/>
      <c r="R18" s="1573"/>
      <c r="S18" s="1574"/>
      <c r="T18" s="1573"/>
      <c r="U18" s="1574"/>
      <c r="V18" s="1573"/>
      <c r="W18" s="1574"/>
      <c r="X18" s="1567"/>
      <c r="Y18" s="3730"/>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730"/>
      <c r="Q19" s="1572" t="str">
        <f>B19</f>
        <v>公共配套设施</v>
      </c>
      <c r="R19" s="1573" t="s">
        <v>8</v>
      </c>
      <c r="S19" s="1574">
        <f>F19</f>
        <v>100</v>
      </c>
      <c r="T19" s="1573" t="s">
        <v>8</v>
      </c>
      <c r="U19" s="1574">
        <f>H19</f>
        <v>100</v>
      </c>
      <c r="V19" s="1573" t="s">
        <v>8</v>
      </c>
      <c r="W19" s="1574">
        <f>J19</f>
        <v>100</v>
      </c>
      <c r="X19" s="1567"/>
      <c r="Y19" s="373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730"/>
      <c r="Q20" s="1572"/>
      <c r="R20" s="1573"/>
      <c r="S20" s="1574"/>
      <c r="T20" s="1573"/>
      <c r="U20" s="1574"/>
      <c r="V20" s="1573"/>
      <c r="W20" s="1574"/>
      <c r="X20" s="1567"/>
      <c r="Y20" s="3730"/>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730"/>
      <c r="Q21" s="2604" t="str">
        <f>B21</f>
        <v>基础设施水平</v>
      </c>
      <c r="R21" s="1573" t="s">
        <v>8</v>
      </c>
      <c r="S21" s="1574">
        <f>F21</f>
        <v>100</v>
      </c>
      <c r="T21" s="1573" t="s">
        <v>8</v>
      </c>
      <c r="U21" s="1574">
        <f>H21</f>
        <v>100</v>
      </c>
      <c r="V21" s="1573" t="s">
        <v>8</v>
      </c>
      <c r="W21" s="1574">
        <f>J21</f>
        <v>100</v>
      </c>
      <c r="X21" s="2606"/>
      <c r="Y21" s="3730"/>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730"/>
      <c r="Q22" s="2604"/>
      <c r="R22" s="1573"/>
      <c r="S22" s="1574"/>
      <c r="T22" s="1573"/>
      <c r="U22" s="1574"/>
      <c r="V22" s="1573"/>
      <c r="W22" s="1574"/>
      <c r="X22" s="2606"/>
      <c r="Y22" s="3730"/>
      <c r="Z22" s="2605"/>
      <c r="AA22" s="1576">
        <v>1</v>
      </c>
      <c r="AB22" s="1576">
        <v>1</v>
      </c>
      <c r="AC22" s="1576">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730"/>
      <c r="Q23" s="1572" t="str">
        <f>B23</f>
        <v>自然及人文环境</v>
      </c>
      <c r="R23" s="1573" t="s">
        <v>8</v>
      </c>
      <c r="S23" s="1574">
        <f>F23</f>
        <v>100</v>
      </c>
      <c r="T23" s="1573" t="s">
        <v>8</v>
      </c>
      <c r="U23" s="1574">
        <f>H23</f>
        <v>100</v>
      </c>
      <c r="V23" s="1573" t="s">
        <v>8</v>
      </c>
      <c r="W23" s="1574">
        <f>J23</f>
        <v>100</v>
      </c>
      <c r="X23" s="1567"/>
      <c r="Y23" s="373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730"/>
      <c r="Q24" s="1572"/>
      <c r="R24" s="1573"/>
      <c r="S24" s="1574"/>
      <c r="T24" s="1573"/>
      <c r="U24" s="1574"/>
      <c r="V24" s="1573"/>
      <c r="W24" s="1574"/>
      <c r="X24" s="1567"/>
      <c r="Y24" s="3730"/>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730"/>
      <c r="Q25" s="1572" t="str">
        <f t="shared" ref="Q25:Q46" si="11">B25</f>
        <v>临街状况</v>
      </c>
      <c r="R25" s="1573" t="s">
        <v>8</v>
      </c>
      <c r="S25" s="1574">
        <f>F25</f>
        <v>100</v>
      </c>
      <c r="T25" s="1573" t="s">
        <v>8</v>
      </c>
      <c r="U25" s="1574">
        <f>H25</f>
        <v>100</v>
      </c>
      <c r="V25" s="1573" t="s">
        <v>8</v>
      </c>
      <c r="W25" s="1574">
        <f>J25</f>
        <v>100</v>
      </c>
      <c r="X25" s="1567"/>
      <c r="Y25" s="3730"/>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730"/>
      <c r="Q26" s="1572" t="str">
        <f t="shared" si="11"/>
        <v>平面位置/可视性</v>
      </c>
      <c r="R26" s="1573" t="s">
        <v>8</v>
      </c>
      <c r="S26" s="1574">
        <f>F26</f>
        <v>100</v>
      </c>
      <c r="T26" s="1573" t="s">
        <v>8</v>
      </c>
      <c r="U26" s="1574">
        <f>H26</f>
        <v>100</v>
      </c>
      <c r="V26" s="1573" t="s">
        <v>8</v>
      </c>
      <c r="W26" s="1574">
        <f>J26</f>
        <v>100</v>
      </c>
      <c r="X26" s="1567"/>
      <c r="Y26" s="3730"/>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730"/>
      <c r="Q27" s="1151" t="str">
        <f t="shared" si="11"/>
        <v>人流量</v>
      </c>
      <c r="R27" s="1568" t="s">
        <v>8</v>
      </c>
      <c r="S27" s="1569">
        <f>F27</f>
        <v>100</v>
      </c>
      <c r="T27" s="1568" t="s">
        <v>8</v>
      </c>
      <c r="U27" s="1569">
        <f>H27</f>
        <v>100</v>
      </c>
      <c r="V27" s="1568" t="s">
        <v>8</v>
      </c>
      <c r="W27" s="1569">
        <f>J27</f>
        <v>100</v>
      </c>
      <c r="X27" s="1570"/>
      <c r="Y27" s="3730"/>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73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3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30"/>
      <c r="Q29" s="1572">
        <f t="shared" si="11"/>
        <v>111</v>
      </c>
      <c r="R29" s="1573" t="s">
        <v>8</v>
      </c>
      <c r="S29" s="1574">
        <f t="shared" si="12"/>
        <v>100</v>
      </c>
      <c r="T29" s="1573" t="s">
        <v>8</v>
      </c>
      <c r="U29" s="1574">
        <f t="shared" si="13"/>
        <v>100</v>
      </c>
      <c r="V29" s="1573" t="s">
        <v>8</v>
      </c>
      <c r="W29" s="1574">
        <f t="shared" si="14"/>
        <v>100</v>
      </c>
      <c r="X29" s="1567"/>
      <c r="Y29" s="373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30"/>
      <c r="Q30" s="1572">
        <f t="shared" si="11"/>
        <v>111</v>
      </c>
      <c r="R30" s="1573" t="s">
        <v>8</v>
      </c>
      <c r="S30" s="1574">
        <f t="shared" si="12"/>
        <v>100</v>
      </c>
      <c r="T30" s="1573" t="s">
        <v>8</v>
      </c>
      <c r="U30" s="1574">
        <f t="shared" si="13"/>
        <v>100</v>
      </c>
      <c r="V30" s="1573" t="s">
        <v>8</v>
      </c>
      <c r="W30" s="1574">
        <f t="shared" si="14"/>
        <v>100</v>
      </c>
      <c r="X30" s="1567"/>
      <c r="Y30" s="373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30"/>
      <c r="Q31" s="1572">
        <f t="shared" si="11"/>
        <v>111</v>
      </c>
      <c r="R31" s="1573" t="s">
        <v>8</v>
      </c>
      <c r="S31" s="1574">
        <f t="shared" si="12"/>
        <v>100</v>
      </c>
      <c r="T31" s="1573" t="s">
        <v>8</v>
      </c>
      <c r="U31" s="1574">
        <f t="shared" si="13"/>
        <v>100</v>
      </c>
      <c r="V31" s="1573" t="s">
        <v>8</v>
      </c>
      <c r="W31" s="1574">
        <f t="shared" si="14"/>
        <v>100</v>
      </c>
      <c r="X31" s="1567"/>
      <c r="Y31" s="3730"/>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731" t="s">
        <v>549</v>
      </c>
      <c r="Q32" s="1572" t="str">
        <f t="shared" si="11"/>
        <v>商业类型</v>
      </c>
      <c r="R32" s="1573" t="s">
        <v>8</v>
      </c>
      <c r="S32" s="1574">
        <f t="shared" si="12"/>
        <v>100</v>
      </c>
      <c r="T32" s="1573" t="s">
        <v>8</v>
      </c>
      <c r="U32" s="1574">
        <f t="shared" si="13"/>
        <v>100</v>
      </c>
      <c r="V32" s="1573" t="s">
        <v>8</v>
      </c>
      <c r="W32" s="1574">
        <f t="shared" si="14"/>
        <v>100</v>
      </c>
      <c r="X32" s="1567"/>
      <c r="Y32" s="3732"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732"/>
      <c r="Q33" s="1605" t="str">
        <f t="shared" si="11"/>
        <v>项目建筑规模</v>
      </c>
      <c r="R33" s="1577" t="s">
        <v>8</v>
      </c>
      <c r="S33" s="1578" t="e">
        <f t="shared" si="12"/>
        <v>#N/A</v>
      </c>
      <c r="T33" s="1577" t="s">
        <v>8</v>
      </c>
      <c r="U33" s="1578" t="e">
        <f t="shared" si="13"/>
        <v>#N/A</v>
      </c>
      <c r="V33" s="1577" t="s">
        <v>8</v>
      </c>
      <c r="W33" s="1578" t="e">
        <f t="shared" si="14"/>
        <v>#N/A</v>
      </c>
      <c r="X33" s="1579"/>
      <c r="Y33" s="3732"/>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732"/>
      <c r="Q34" s="1572" t="str">
        <f t="shared" si="11"/>
        <v>建筑结构</v>
      </c>
      <c r="R34" s="1573" t="s">
        <v>8</v>
      </c>
      <c r="S34" s="1574">
        <f t="shared" si="12"/>
        <v>100</v>
      </c>
      <c r="T34" s="1573" t="s">
        <v>8</v>
      </c>
      <c r="U34" s="1574">
        <f t="shared" si="13"/>
        <v>100</v>
      </c>
      <c r="V34" s="1573" t="s">
        <v>8</v>
      </c>
      <c r="W34" s="1574">
        <f t="shared" si="14"/>
        <v>100</v>
      </c>
      <c r="X34" s="1567"/>
      <c r="Y34" s="3732"/>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732"/>
      <c r="Q35" s="1572" t="str">
        <f t="shared" si="11"/>
        <v>公共部分装修</v>
      </c>
      <c r="R35" s="1573" t="s">
        <v>8</v>
      </c>
      <c r="S35" s="1574">
        <f t="shared" si="12"/>
        <v>100</v>
      </c>
      <c r="T35" s="1573" t="s">
        <v>8</v>
      </c>
      <c r="U35" s="1574">
        <f t="shared" si="13"/>
        <v>100</v>
      </c>
      <c r="V35" s="1573" t="s">
        <v>8</v>
      </c>
      <c r="W35" s="1574">
        <f t="shared" si="14"/>
        <v>100</v>
      </c>
      <c r="X35" s="1567"/>
      <c r="Y35" s="3732"/>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732"/>
      <c r="Q36" s="1572" t="str">
        <f t="shared" si="11"/>
        <v>成新度</v>
      </c>
      <c r="R36" s="1573" t="s">
        <v>8</v>
      </c>
      <c r="S36" s="1574" t="e">
        <f t="shared" si="12"/>
        <v>#N/A</v>
      </c>
      <c r="T36" s="1573" t="s">
        <v>8</v>
      </c>
      <c r="U36" s="1574" t="e">
        <f t="shared" si="13"/>
        <v>#N/A</v>
      </c>
      <c r="V36" s="1573" t="s">
        <v>8</v>
      </c>
      <c r="W36" s="1574" t="e">
        <f t="shared" si="14"/>
        <v>#N/A</v>
      </c>
      <c r="X36" s="1567"/>
      <c r="Y36" s="3732"/>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732"/>
      <c r="Q37" s="1151" t="str">
        <f t="shared" si="11"/>
        <v>市政基础设施</v>
      </c>
      <c r="R37" s="1568" t="s">
        <v>8</v>
      </c>
      <c r="S37" s="1569">
        <f t="shared" si="12"/>
        <v>100</v>
      </c>
      <c r="T37" s="1568" t="s">
        <v>8</v>
      </c>
      <c r="U37" s="1569">
        <f t="shared" si="13"/>
        <v>100</v>
      </c>
      <c r="V37" s="1568" t="s">
        <v>8</v>
      </c>
      <c r="W37" s="1569">
        <f t="shared" si="14"/>
        <v>100</v>
      </c>
      <c r="X37" s="1570"/>
      <c r="Y37" s="3732"/>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32" t="s">
        <v>765</v>
      </c>
      <c r="Q38" s="1572" t="str">
        <f t="shared" si="11"/>
        <v>业态</v>
      </c>
      <c r="R38" s="1573" t="s">
        <v>8</v>
      </c>
      <c r="S38" s="1574">
        <f t="shared" si="12"/>
        <v>100</v>
      </c>
      <c r="T38" s="1573" t="s">
        <v>8</v>
      </c>
      <c r="U38" s="1574">
        <f t="shared" si="13"/>
        <v>100</v>
      </c>
      <c r="V38" s="1573" t="s">
        <v>8</v>
      </c>
      <c r="W38" s="1574">
        <f t="shared" si="14"/>
        <v>100</v>
      </c>
      <c r="X38" s="1567"/>
      <c r="Y38" s="3732"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32"/>
      <c r="Q39" s="1572" t="str">
        <f t="shared" si="11"/>
        <v>层高</v>
      </c>
      <c r="R39" s="1573" t="s">
        <v>8</v>
      </c>
      <c r="S39" s="1574">
        <f t="shared" si="12"/>
        <v>100</v>
      </c>
      <c r="T39" s="1573" t="s">
        <v>8</v>
      </c>
      <c r="U39" s="1574">
        <f t="shared" si="13"/>
        <v>100</v>
      </c>
      <c r="V39" s="1573" t="s">
        <v>8</v>
      </c>
      <c r="W39" s="1574">
        <f t="shared" si="14"/>
        <v>100</v>
      </c>
      <c r="X39" s="1567"/>
      <c r="Y39" s="3732"/>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732"/>
      <c r="Q40" s="1572" t="str">
        <f t="shared" si="11"/>
        <v>单套建筑面积</v>
      </c>
      <c r="R40" s="1573" t="s">
        <v>8</v>
      </c>
      <c r="S40" s="1574">
        <f t="shared" si="12"/>
        <v>100</v>
      </c>
      <c r="T40" s="1573" t="s">
        <v>8</v>
      </c>
      <c r="U40" s="1574">
        <f t="shared" si="13"/>
        <v>100</v>
      </c>
      <c r="V40" s="1573" t="s">
        <v>8</v>
      </c>
      <c r="W40" s="1574">
        <f t="shared" si="14"/>
        <v>100</v>
      </c>
      <c r="X40" s="1567"/>
      <c r="Y40" s="3732"/>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732"/>
      <c r="Q41" s="1605" t="str">
        <f t="shared" si="11"/>
        <v>进深比</v>
      </c>
      <c r="R41" s="1577" t="s">
        <v>8</v>
      </c>
      <c r="S41" s="1578">
        <f t="shared" si="12"/>
        <v>100</v>
      </c>
      <c r="T41" s="1577" t="s">
        <v>8</v>
      </c>
      <c r="U41" s="1578">
        <f t="shared" si="13"/>
        <v>100</v>
      </c>
      <c r="V41" s="1577" t="s">
        <v>8</v>
      </c>
      <c r="W41" s="1578">
        <f t="shared" si="14"/>
        <v>100</v>
      </c>
      <c r="X41" s="1579"/>
      <c r="Y41" s="3732"/>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732"/>
      <c r="Q42" s="1572" t="str">
        <f t="shared" si="11"/>
        <v>内部装修</v>
      </c>
      <c r="R42" s="1573" t="s">
        <v>8</v>
      </c>
      <c r="S42" s="1574">
        <f t="shared" si="12"/>
        <v>100</v>
      </c>
      <c r="T42" s="1573" t="s">
        <v>8</v>
      </c>
      <c r="U42" s="1574">
        <f t="shared" si="13"/>
        <v>100</v>
      </c>
      <c r="V42" s="1573" t="s">
        <v>8</v>
      </c>
      <c r="W42" s="1574">
        <f t="shared" si="14"/>
        <v>100</v>
      </c>
      <c r="X42" s="1567"/>
      <c r="Y42" s="3732"/>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32"/>
      <c r="Q43" s="1572" t="str">
        <f t="shared" si="11"/>
        <v>内部装修维护情况</v>
      </c>
      <c r="R43" s="1573" t="s">
        <v>8</v>
      </c>
      <c r="S43" s="1574">
        <f t="shared" si="12"/>
        <v>100</v>
      </c>
      <c r="T43" s="1573" t="s">
        <v>8</v>
      </c>
      <c r="U43" s="1574">
        <f t="shared" si="13"/>
        <v>100</v>
      </c>
      <c r="V43" s="1573" t="s">
        <v>8</v>
      </c>
      <c r="W43" s="1574">
        <f t="shared" si="14"/>
        <v>100</v>
      </c>
      <c r="X43" s="1567"/>
      <c r="Y43" s="373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32"/>
      <c r="Q44" s="1151">
        <f t="shared" si="11"/>
        <v>111</v>
      </c>
      <c r="R44" s="1568" t="s">
        <v>8</v>
      </c>
      <c r="S44" s="1569">
        <f t="shared" si="12"/>
        <v>100</v>
      </c>
      <c r="T44" s="1568" t="s">
        <v>8</v>
      </c>
      <c r="U44" s="1569">
        <f t="shared" si="13"/>
        <v>100</v>
      </c>
      <c r="V44" s="1568" t="s">
        <v>8</v>
      </c>
      <c r="W44" s="1569">
        <f t="shared" si="14"/>
        <v>100</v>
      </c>
      <c r="X44" s="1570"/>
      <c r="Y44" s="373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32"/>
      <c r="Q45" s="1572">
        <f t="shared" si="11"/>
        <v>111</v>
      </c>
      <c r="R45" s="1573" t="s">
        <v>8</v>
      </c>
      <c r="S45" s="1574">
        <f t="shared" si="12"/>
        <v>100</v>
      </c>
      <c r="T45" s="1573" t="s">
        <v>8</v>
      </c>
      <c r="U45" s="1574">
        <f t="shared" si="13"/>
        <v>100</v>
      </c>
      <c r="V45" s="1573" t="s">
        <v>8</v>
      </c>
      <c r="W45" s="1574">
        <f t="shared" si="14"/>
        <v>100</v>
      </c>
      <c r="X45" s="1567"/>
      <c r="Y45" s="373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845"/>
      <c r="Q46" s="1572">
        <f t="shared" si="11"/>
        <v>111</v>
      </c>
      <c r="R46" s="1573" t="s">
        <v>8</v>
      </c>
      <c r="S46" s="1574">
        <f t="shared" si="12"/>
        <v>100</v>
      </c>
      <c r="T46" s="1573" t="s">
        <v>8</v>
      </c>
      <c r="U46" s="1574">
        <f t="shared" si="13"/>
        <v>100</v>
      </c>
      <c r="V46" s="1573" t="s">
        <v>8</v>
      </c>
      <c r="W46" s="1574">
        <f t="shared" si="14"/>
        <v>100</v>
      </c>
      <c r="X46" s="1567"/>
      <c r="Y46" s="3845"/>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727" t="str">
        <f>A47</f>
        <v>成交单价（元/平方米）</v>
      </c>
      <c r="Q47" s="3727"/>
      <c r="R47" s="3844">
        <f>E47</f>
        <v>0</v>
      </c>
      <c r="S47" s="3844"/>
      <c r="T47" s="3844">
        <f>G47</f>
        <v>0</v>
      </c>
      <c r="U47" s="3844"/>
      <c r="V47" s="3844">
        <f>I47</f>
        <v>0</v>
      </c>
      <c r="W47" s="3844"/>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727" t="str">
        <f>A48</f>
        <v>比较价格（元/平方米）</v>
      </c>
      <c r="Q48" s="3727"/>
      <c r="R48" s="3844" t="e">
        <f>IF(F1="售价",ROUND(PRODUCT(R47,AA7:AA46),0),ROUND(PRODUCT(R47,AA7:AA46),1))</f>
        <v>#DIV/0!</v>
      </c>
      <c r="S48" s="3844"/>
      <c r="T48" s="3844" t="e">
        <f>IF(F1="售价",ROUND(PRODUCT(T47,AB7:AB46),0),ROUND(PRODUCT(T47,AB7:AB46),1))</f>
        <v>#DIV/0!</v>
      </c>
      <c r="U48" s="3844"/>
      <c r="V48" s="3844" t="e">
        <f>IF(F1="售价",ROUND(PRODUCT(V47,AC7:AC46),0),ROUND(PRODUCT(V47,AC7:AC46),1))</f>
        <v>#DIV/0!</v>
      </c>
      <c r="W48" s="3844"/>
      <c r="X48" s="1559"/>
      <c r="Y48" s="1559"/>
      <c r="Z48" s="1559"/>
      <c r="AA48" s="1559"/>
      <c r="AB48" s="1559"/>
      <c r="AC48" s="1559"/>
    </row>
    <row r="49" spans="1:29" ht="15.75" thickBot="1">
      <c r="A49" s="621" t="s">
        <v>2935</v>
      </c>
      <c r="B49" s="622"/>
      <c r="C49" s="2661" t="e">
        <f>R49</f>
        <v>#DIV/0!</v>
      </c>
      <c r="D49" s="2661"/>
      <c r="E49" s="2661"/>
      <c r="F49" s="2661"/>
      <c r="G49" s="2661"/>
      <c r="H49" s="2661"/>
      <c r="I49" s="2661"/>
      <c r="J49" s="2661"/>
      <c r="K49" s="1613"/>
      <c r="L49" s="2145"/>
      <c r="M49" s="2146"/>
      <c r="N49" s="2135"/>
      <c r="O49" s="2146"/>
      <c r="P49" s="3748" t="str">
        <f>A49</f>
        <v>估价对象XX用房的比较价格（楼面单价，元/平方米）</v>
      </c>
      <c r="Q49" s="3749"/>
      <c r="R49" s="3843" t="e">
        <f>IF(F1="售价",ROUND(AVERAGE(R48:V48),0),ROUND(AVERAGE(R48:V48),1))</f>
        <v>#DIV/0!</v>
      </c>
      <c r="S49" s="3843"/>
      <c r="T49" s="3843"/>
      <c r="U49" s="3843"/>
      <c r="V49" s="3843"/>
      <c r="W49" s="384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733" t="s">
        <v>521</v>
      </c>
      <c r="D4" s="3734"/>
      <c r="E4" s="3834" t="s">
        <v>522</v>
      </c>
      <c r="F4" s="3835"/>
      <c r="G4" s="3733" t="s">
        <v>523</v>
      </c>
      <c r="H4" s="3734"/>
      <c r="I4" s="3733" t="s">
        <v>524</v>
      </c>
      <c r="J4" s="3734"/>
      <c r="K4" s="514" t="s">
        <v>525</v>
      </c>
      <c r="L4" s="2134"/>
      <c r="M4" s="2135"/>
      <c r="N4" s="2135"/>
      <c r="O4" s="2135"/>
      <c r="P4" s="3846" t="s">
        <v>526</v>
      </c>
      <c r="Q4" s="3736"/>
      <c r="R4" s="3721" t="s">
        <v>522</v>
      </c>
      <c r="S4" s="3722"/>
      <c r="T4" s="3721" t="s">
        <v>523</v>
      </c>
      <c r="U4" s="3722"/>
      <c r="V4" s="3741" t="s">
        <v>524</v>
      </c>
      <c r="W4" s="3741"/>
      <c r="X4" s="1567"/>
      <c r="Y4" s="3721" t="s">
        <v>526</v>
      </c>
      <c r="Z4" s="3722"/>
      <c r="AA4" s="3716" t="s">
        <v>522</v>
      </c>
      <c r="AB4" s="3716" t="s">
        <v>523</v>
      </c>
      <c r="AC4" s="3716" t="s">
        <v>524</v>
      </c>
    </row>
    <row r="5" spans="1:29" ht="15">
      <c r="A5" s="515"/>
      <c r="B5" s="516"/>
      <c r="C5" s="3744" t="s">
        <v>2929</v>
      </c>
      <c r="D5" s="3745"/>
      <c r="E5" s="3842" t="s">
        <v>2930</v>
      </c>
      <c r="F5" s="3837"/>
      <c r="G5" s="3744" t="s">
        <v>2931</v>
      </c>
      <c r="H5" s="3745"/>
      <c r="I5" s="3744" t="s">
        <v>2932</v>
      </c>
      <c r="J5" s="3745"/>
      <c r="K5" s="514"/>
      <c r="L5" s="2134"/>
      <c r="M5" s="2135"/>
      <c r="N5" s="2135"/>
      <c r="O5" s="2135"/>
      <c r="P5" s="3847"/>
      <c r="Q5" s="3738"/>
      <c r="R5" s="3723"/>
      <c r="S5" s="3724"/>
      <c r="T5" s="3723"/>
      <c r="U5" s="3724"/>
      <c r="V5" s="3741"/>
      <c r="W5" s="3741"/>
      <c r="X5" s="1567"/>
      <c r="Y5" s="3723"/>
      <c r="Z5" s="3724"/>
      <c r="AA5" s="3717"/>
      <c r="AB5" s="3717"/>
      <c r="AC5" s="3717"/>
    </row>
    <row r="6" spans="1:29" ht="15.75" thickBot="1">
      <c r="A6" s="517"/>
      <c r="B6" s="518"/>
      <c r="C6" s="3742" t="s">
        <v>2933</v>
      </c>
      <c r="D6" s="3743"/>
      <c r="E6" s="3840" t="s">
        <v>2933</v>
      </c>
      <c r="F6" s="3841"/>
      <c r="G6" s="3742" t="s">
        <v>2933</v>
      </c>
      <c r="H6" s="3743"/>
      <c r="I6" s="3742" t="s">
        <v>2933</v>
      </c>
      <c r="J6" s="3743"/>
      <c r="K6" s="514" t="s">
        <v>527</v>
      </c>
      <c r="L6" s="2134"/>
      <c r="M6" s="2135"/>
      <c r="N6" s="2135"/>
      <c r="O6" s="2135"/>
      <c r="P6" s="3848"/>
      <c r="Q6" s="3740"/>
      <c r="R6" s="3723"/>
      <c r="S6" s="3724"/>
      <c r="T6" s="3725"/>
      <c r="U6" s="3726"/>
      <c r="V6" s="3741"/>
      <c r="W6" s="3741"/>
      <c r="X6" s="1567"/>
      <c r="Y6" s="3725"/>
      <c r="Z6" s="3726"/>
      <c r="AA6" s="3718"/>
      <c r="AB6" s="3718"/>
      <c r="AC6" s="3718"/>
    </row>
    <row r="7" spans="1:29" s="1220" customFormat="1" ht="15.75" thickBot="1">
      <c r="A7" s="2937"/>
      <c r="B7" s="2944" t="s">
        <v>528</v>
      </c>
      <c r="C7" s="519">
        <f>'数据-取费表'!B2</f>
        <v>43251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728" t="s">
        <v>529</v>
      </c>
      <c r="Q7" s="3728"/>
      <c r="R7" s="1568" t="s">
        <v>8</v>
      </c>
      <c r="S7" s="1569">
        <f t="shared" ref="S7:S15" si="0">F7</f>
        <v>0</v>
      </c>
      <c r="T7" s="1568" t="s">
        <v>8</v>
      </c>
      <c r="U7" s="1569">
        <f t="shared" ref="U7:U15" si="1">H7</f>
        <v>0</v>
      </c>
      <c r="V7" s="1568" t="s">
        <v>8</v>
      </c>
      <c r="W7" s="1569">
        <f t="shared" ref="W7:W15" si="2">J7</f>
        <v>0</v>
      </c>
      <c r="X7" s="1570"/>
      <c r="Y7" s="3719" t="s">
        <v>529</v>
      </c>
      <c r="Z7" s="3720"/>
      <c r="AA7" s="1571" t="e">
        <f>D7/F7</f>
        <v>#DIV/0!</v>
      </c>
      <c r="AB7" s="1571" t="e">
        <f>D7/H7</f>
        <v>#DIV/0!</v>
      </c>
      <c r="AC7" s="1571" t="e">
        <f>D7/J7</f>
        <v>#DIV/0!</v>
      </c>
    </row>
    <row r="8" spans="1:29" s="1220"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728" t="s">
        <v>532</v>
      </c>
      <c r="Q8" s="3720"/>
      <c r="R8" s="1568" t="s">
        <v>8</v>
      </c>
      <c r="S8" s="1569">
        <f t="shared" si="0"/>
        <v>0</v>
      </c>
      <c r="T8" s="1568" t="s">
        <v>8</v>
      </c>
      <c r="U8" s="1569">
        <f t="shared" si="1"/>
        <v>0</v>
      </c>
      <c r="V8" s="1568" t="s">
        <v>8</v>
      </c>
      <c r="W8" s="1569">
        <f t="shared" si="2"/>
        <v>0</v>
      </c>
      <c r="X8" s="1570"/>
      <c r="Y8" s="3719" t="s">
        <v>532</v>
      </c>
      <c r="Z8" s="3720"/>
      <c r="AA8" s="1571" t="e">
        <f t="shared" ref="AA8:AA47" si="3">D8/F8</f>
        <v>#DIV/0!</v>
      </c>
      <c r="AB8" s="1571" t="e">
        <f t="shared" ref="AB8:AB47" si="4">D8/H8</f>
        <v>#DIV/0!</v>
      </c>
      <c r="AC8" s="1571" t="e">
        <f t="shared" ref="AC8:AC47" si="5">D8/J8</f>
        <v>#DIV/0!</v>
      </c>
    </row>
    <row r="9" spans="1:29" s="1220"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727" t="s">
        <v>534</v>
      </c>
      <c r="Q9" s="1151" t="str">
        <f t="shared" ref="Q9:Q15" si="6">B9</f>
        <v>用途</v>
      </c>
      <c r="R9" s="1568" t="s">
        <v>8</v>
      </c>
      <c r="S9" s="1569">
        <f t="shared" si="0"/>
        <v>100</v>
      </c>
      <c r="T9" s="1568" t="s">
        <v>8</v>
      </c>
      <c r="U9" s="1569">
        <f t="shared" si="1"/>
        <v>100</v>
      </c>
      <c r="V9" s="1568" t="s">
        <v>8</v>
      </c>
      <c r="W9" s="1569">
        <f t="shared" si="2"/>
        <v>100</v>
      </c>
      <c r="X9" s="1570"/>
      <c r="Y9" s="3684"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727"/>
      <c r="Q10" s="1151" t="str">
        <f t="shared" si="6"/>
        <v>土地使用年限（年）</v>
      </c>
      <c r="R10" s="1568" t="s">
        <v>8</v>
      </c>
      <c r="S10" s="1569">
        <f t="shared" si="0"/>
        <v>100</v>
      </c>
      <c r="T10" s="1568" t="s">
        <v>8</v>
      </c>
      <c r="U10" s="1569">
        <f t="shared" si="1"/>
        <v>100</v>
      </c>
      <c r="V10" s="1568" t="s">
        <v>8</v>
      </c>
      <c r="W10" s="1569">
        <f t="shared" si="2"/>
        <v>100</v>
      </c>
      <c r="X10" s="1570"/>
      <c r="Y10" s="3684"/>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727"/>
      <c r="Q11" s="1151" t="str">
        <f t="shared" si="6"/>
        <v>容积率</v>
      </c>
      <c r="R11" s="1568" t="s">
        <v>8</v>
      </c>
      <c r="S11" s="1569" t="e">
        <f t="shared" si="0"/>
        <v>#N/A</v>
      </c>
      <c r="T11" s="1568" t="s">
        <v>8</v>
      </c>
      <c r="U11" s="1569" t="e">
        <f t="shared" si="1"/>
        <v>#N/A</v>
      </c>
      <c r="V11" s="1568" t="s">
        <v>8</v>
      </c>
      <c r="W11" s="1569" t="e">
        <f t="shared" si="2"/>
        <v>#N/A</v>
      </c>
      <c r="X11" s="1570"/>
      <c r="Y11" s="368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727"/>
      <c r="Q12" s="1151">
        <f t="shared" si="6"/>
        <v>111</v>
      </c>
      <c r="R12" s="1568" t="s">
        <v>8</v>
      </c>
      <c r="S12" s="1569">
        <f t="shared" si="0"/>
        <v>100</v>
      </c>
      <c r="T12" s="1568" t="s">
        <v>8</v>
      </c>
      <c r="U12" s="1569">
        <f t="shared" si="1"/>
        <v>100</v>
      </c>
      <c r="V12" s="1568" t="s">
        <v>8</v>
      </c>
      <c r="W12" s="1569">
        <f t="shared" si="2"/>
        <v>100</v>
      </c>
      <c r="X12" s="1570"/>
      <c r="Y12" s="3684"/>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727"/>
      <c r="Q13" s="1151">
        <f t="shared" si="6"/>
        <v>111</v>
      </c>
      <c r="R13" s="1568" t="s">
        <v>8</v>
      </c>
      <c r="S13" s="1569">
        <f t="shared" si="0"/>
        <v>100</v>
      </c>
      <c r="T13" s="1568" t="s">
        <v>8</v>
      </c>
      <c r="U13" s="1569">
        <f t="shared" si="1"/>
        <v>100</v>
      </c>
      <c r="V13" s="1568" t="s">
        <v>8</v>
      </c>
      <c r="W13" s="1569">
        <f t="shared" si="2"/>
        <v>100</v>
      </c>
      <c r="X13" s="1570"/>
      <c r="Y13" s="3684"/>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727"/>
      <c r="Q14" s="1151">
        <f t="shared" si="6"/>
        <v>111</v>
      </c>
      <c r="R14" s="1568" t="s">
        <v>8</v>
      </c>
      <c r="S14" s="1569">
        <f t="shared" si="0"/>
        <v>100</v>
      </c>
      <c r="T14" s="1568" t="s">
        <v>8</v>
      </c>
      <c r="U14" s="1569">
        <f t="shared" si="1"/>
        <v>100</v>
      </c>
      <c r="V14" s="1568" t="s">
        <v>8</v>
      </c>
      <c r="W14" s="1569">
        <f t="shared" si="2"/>
        <v>100</v>
      </c>
      <c r="X14" s="1570"/>
      <c r="Y14" s="3684"/>
      <c r="Z14" s="1150">
        <f t="shared" si="7"/>
        <v>111</v>
      </c>
      <c r="AA14" s="1571">
        <f t="shared" si="3"/>
        <v>1</v>
      </c>
      <c r="AB14" s="1571">
        <f t="shared" si="4"/>
        <v>1</v>
      </c>
      <c r="AC14" s="1571">
        <f t="shared" si="5"/>
        <v>1</v>
      </c>
    </row>
    <row r="15" spans="1:29" ht="71.25">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729" t="s">
        <v>539</v>
      </c>
      <c r="Q15" s="1572" t="str">
        <f t="shared" si="6"/>
        <v>办公集聚程度</v>
      </c>
      <c r="R15" s="1573" t="s">
        <v>8</v>
      </c>
      <c r="S15" s="1574">
        <f t="shared" si="0"/>
        <v>100</v>
      </c>
      <c r="T15" s="1573" t="s">
        <v>8</v>
      </c>
      <c r="U15" s="1574">
        <f t="shared" si="1"/>
        <v>100</v>
      </c>
      <c r="V15" s="1573" t="s">
        <v>8</v>
      </c>
      <c r="W15" s="1574">
        <f t="shared" si="2"/>
        <v>100</v>
      </c>
      <c r="X15" s="1567"/>
      <c r="Y15" s="3729"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730"/>
      <c r="Q16" s="1572"/>
      <c r="R16" s="1573"/>
      <c r="S16" s="1574"/>
      <c r="T16" s="1573"/>
      <c r="U16" s="1574"/>
      <c r="V16" s="1573"/>
      <c r="W16" s="1574"/>
      <c r="X16" s="1567"/>
      <c r="Y16" s="3730"/>
      <c r="Z16" s="1575"/>
      <c r="AA16" s="1576">
        <v>1</v>
      </c>
      <c r="AB16" s="1576">
        <v>1</v>
      </c>
      <c r="AC16" s="1576">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730"/>
      <c r="Q17" s="1572" t="str">
        <f>B17</f>
        <v>交通便捷度</v>
      </c>
      <c r="R17" s="1573" t="s">
        <v>8</v>
      </c>
      <c r="S17" s="1574">
        <f>F17</f>
        <v>100</v>
      </c>
      <c r="T17" s="1573" t="s">
        <v>8</v>
      </c>
      <c r="U17" s="1574">
        <f>H17</f>
        <v>100</v>
      </c>
      <c r="V17" s="1573" t="s">
        <v>8</v>
      </c>
      <c r="W17" s="1574">
        <f>J17</f>
        <v>100</v>
      </c>
      <c r="X17" s="1567"/>
      <c r="Y17" s="373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730"/>
      <c r="Q18" s="1572"/>
      <c r="R18" s="1573"/>
      <c r="S18" s="1574"/>
      <c r="T18" s="1573"/>
      <c r="U18" s="1574"/>
      <c r="V18" s="1573"/>
      <c r="W18" s="1574"/>
      <c r="X18" s="1567"/>
      <c r="Y18" s="3730"/>
      <c r="Z18" s="1575"/>
      <c r="AA18" s="1576">
        <v>1</v>
      </c>
      <c r="AB18" s="1576">
        <v>1</v>
      </c>
      <c r="AC18" s="1576">
        <v>1</v>
      </c>
    </row>
    <row r="19" spans="1:29" ht="42.75">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730"/>
      <c r="Q19" s="1572" t="str">
        <f>B19</f>
        <v>公共配套设施</v>
      </c>
      <c r="R19" s="1573" t="s">
        <v>8</v>
      </c>
      <c r="S19" s="1574">
        <f>F19</f>
        <v>100</v>
      </c>
      <c r="T19" s="1573" t="s">
        <v>8</v>
      </c>
      <c r="U19" s="1574">
        <f>H19</f>
        <v>100</v>
      </c>
      <c r="V19" s="1573" t="s">
        <v>8</v>
      </c>
      <c r="W19" s="1574">
        <f>J19</f>
        <v>100</v>
      </c>
      <c r="X19" s="1567"/>
      <c r="Y19" s="373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730"/>
      <c r="Q20" s="1572"/>
      <c r="R20" s="1573"/>
      <c r="S20" s="1574"/>
      <c r="T20" s="1573"/>
      <c r="U20" s="1574"/>
      <c r="V20" s="1573"/>
      <c r="W20" s="1574"/>
      <c r="X20" s="1567"/>
      <c r="Y20" s="3730"/>
      <c r="Z20" s="1575"/>
      <c r="AA20" s="1576">
        <v>1</v>
      </c>
      <c r="AB20" s="1576">
        <v>1</v>
      </c>
      <c r="AC20" s="1576">
        <v>1</v>
      </c>
    </row>
    <row r="21" spans="1:29" ht="28.5">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730"/>
      <c r="Q21" s="2604" t="str">
        <f>B21</f>
        <v>基础设施水平</v>
      </c>
      <c r="R21" s="1573" t="s">
        <v>8</v>
      </c>
      <c r="S21" s="1574">
        <f>F21</f>
        <v>100</v>
      </c>
      <c r="T21" s="1573" t="s">
        <v>8</v>
      </c>
      <c r="U21" s="1574">
        <f>H21</f>
        <v>100</v>
      </c>
      <c r="V21" s="1573" t="s">
        <v>8</v>
      </c>
      <c r="W21" s="1574">
        <f>J21</f>
        <v>100</v>
      </c>
      <c r="X21" s="2606"/>
      <c r="Y21" s="3730"/>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730"/>
      <c r="Q22" s="2604"/>
      <c r="R22" s="1573"/>
      <c r="S22" s="1574"/>
      <c r="T22" s="1573"/>
      <c r="U22" s="1574"/>
      <c r="V22" s="1573"/>
      <c r="W22" s="1574"/>
      <c r="X22" s="2606"/>
      <c r="Y22" s="3730"/>
      <c r="Z22" s="2605"/>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730"/>
      <c r="Q23" s="1572" t="str">
        <f>B23</f>
        <v>环境质量</v>
      </c>
      <c r="R23" s="1573" t="s">
        <v>8</v>
      </c>
      <c r="S23" s="1574">
        <f>F23</f>
        <v>100</v>
      </c>
      <c r="T23" s="1573" t="s">
        <v>8</v>
      </c>
      <c r="U23" s="1574">
        <f>H23</f>
        <v>100</v>
      </c>
      <c r="V23" s="1573" t="s">
        <v>8</v>
      </c>
      <c r="W23" s="1574">
        <f>J23</f>
        <v>100</v>
      </c>
      <c r="X23" s="1567"/>
      <c r="Y23" s="373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730"/>
      <c r="Q24" s="1572"/>
      <c r="R24" s="1573"/>
      <c r="S24" s="1574"/>
      <c r="T24" s="1573"/>
      <c r="U24" s="1574"/>
      <c r="V24" s="1573"/>
      <c r="W24" s="1574"/>
      <c r="X24" s="1567"/>
      <c r="Y24" s="3730"/>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730"/>
      <c r="Q25" s="1572" t="str">
        <f>B25</f>
        <v>毗邻道路的类型与等级</v>
      </c>
      <c r="R25" s="1573" t="s">
        <v>8</v>
      </c>
      <c r="S25" s="1574">
        <f>F25</f>
        <v>100</v>
      </c>
      <c r="T25" s="1573" t="s">
        <v>8</v>
      </c>
      <c r="U25" s="1574">
        <f>H25</f>
        <v>100</v>
      </c>
      <c r="V25" s="1573" t="s">
        <v>8</v>
      </c>
      <c r="W25" s="1574">
        <f>J25</f>
        <v>100</v>
      </c>
      <c r="X25" s="1567"/>
      <c r="Y25" s="373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730"/>
      <c r="Q26" s="1572"/>
      <c r="R26" s="1573"/>
      <c r="S26" s="1574"/>
      <c r="T26" s="1573"/>
      <c r="U26" s="1574"/>
      <c r="V26" s="1573"/>
      <c r="W26" s="1574"/>
      <c r="X26" s="1567"/>
      <c r="Y26" s="3730"/>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30"/>
      <c r="Q27" s="1572" t="str">
        <f t="shared" ref="Q27:Q47" si="11">B27</f>
        <v>楼层</v>
      </c>
      <c r="R27" s="1573" t="s">
        <v>8</v>
      </c>
      <c r="S27" s="1574">
        <f>F27</f>
        <v>100</v>
      </c>
      <c r="T27" s="1573" t="s">
        <v>8</v>
      </c>
      <c r="U27" s="1574">
        <f>H27</f>
        <v>100</v>
      </c>
      <c r="V27" s="1573" t="s">
        <v>8</v>
      </c>
      <c r="W27" s="1574">
        <f>J27</f>
        <v>100</v>
      </c>
      <c r="X27" s="1567"/>
      <c r="Y27" s="3730"/>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730"/>
      <c r="Q28" s="1151" t="str">
        <f t="shared" si="11"/>
        <v>朝向</v>
      </c>
      <c r="R28" s="1568" t="s">
        <v>8</v>
      </c>
      <c r="S28" s="1569">
        <f>F28</f>
        <v>100</v>
      </c>
      <c r="T28" s="1568" t="s">
        <v>8</v>
      </c>
      <c r="U28" s="1569">
        <f>H28</f>
        <v>100</v>
      </c>
      <c r="V28" s="1568" t="s">
        <v>8</v>
      </c>
      <c r="W28" s="1569">
        <f>J28</f>
        <v>100</v>
      </c>
      <c r="X28" s="1570"/>
      <c r="Y28" s="373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730"/>
      <c r="Q29" s="1572">
        <f t="shared" si="11"/>
        <v>111</v>
      </c>
      <c r="R29" s="1573" t="s">
        <v>8</v>
      </c>
      <c r="S29" s="1574">
        <f t="shared" ref="S29:S47" si="12">F29</f>
        <v>100</v>
      </c>
      <c r="T29" s="1573" t="s">
        <v>8</v>
      </c>
      <c r="U29" s="1574">
        <f t="shared" ref="U29:U47" si="13">H29</f>
        <v>100</v>
      </c>
      <c r="V29" s="1573" t="s">
        <v>8</v>
      </c>
      <c r="W29" s="1574">
        <f t="shared" ref="W29:W47" si="14">J29</f>
        <v>100</v>
      </c>
      <c r="X29" s="1567"/>
      <c r="Y29" s="373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730"/>
      <c r="Q30" s="1572">
        <f t="shared" si="11"/>
        <v>111</v>
      </c>
      <c r="R30" s="1573" t="s">
        <v>8</v>
      </c>
      <c r="S30" s="1574">
        <f t="shared" si="12"/>
        <v>100</v>
      </c>
      <c r="T30" s="1573" t="s">
        <v>8</v>
      </c>
      <c r="U30" s="1574">
        <f t="shared" si="13"/>
        <v>100</v>
      </c>
      <c r="V30" s="1573" t="s">
        <v>8</v>
      </c>
      <c r="W30" s="1574">
        <f t="shared" si="14"/>
        <v>100</v>
      </c>
      <c r="X30" s="1567"/>
      <c r="Y30" s="373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730"/>
      <c r="Q31" s="1572">
        <f t="shared" si="11"/>
        <v>111</v>
      </c>
      <c r="R31" s="1573" t="s">
        <v>8</v>
      </c>
      <c r="S31" s="1574">
        <f t="shared" si="12"/>
        <v>100</v>
      </c>
      <c r="T31" s="1573" t="s">
        <v>8</v>
      </c>
      <c r="U31" s="1574">
        <f t="shared" si="13"/>
        <v>100</v>
      </c>
      <c r="V31" s="1573" t="s">
        <v>8</v>
      </c>
      <c r="W31" s="1574">
        <f t="shared" si="14"/>
        <v>100</v>
      </c>
      <c r="X31" s="1567"/>
      <c r="Y31" s="373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730"/>
      <c r="Q32" s="1572">
        <f t="shared" si="11"/>
        <v>111</v>
      </c>
      <c r="R32" s="1573" t="s">
        <v>8</v>
      </c>
      <c r="S32" s="1574">
        <f t="shared" si="12"/>
        <v>100</v>
      </c>
      <c r="T32" s="1573" t="s">
        <v>8</v>
      </c>
      <c r="U32" s="1574">
        <f t="shared" si="13"/>
        <v>100</v>
      </c>
      <c r="V32" s="1573" t="s">
        <v>8</v>
      </c>
      <c r="W32" s="1574">
        <f t="shared" si="14"/>
        <v>100</v>
      </c>
      <c r="X32" s="1567"/>
      <c r="Y32" s="3730"/>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731" t="s">
        <v>549</v>
      </c>
      <c r="Q33" s="1572" t="str">
        <f t="shared" si="11"/>
        <v>建筑类型</v>
      </c>
      <c r="R33" s="1573" t="s">
        <v>8</v>
      </c>
      <c r="S33" s="1574">
        <f t="shared" si="12"/>
        <v>100</v>
      </c>
      <c r="T33" s="1573" t="s">
        <v>8</v>
      </c>
      <c r="U33" s="1574">
        <f t="shared" si="13"/>
        <v>100</v>
      </c>
      <c r="V33" s="1573" t="s">
        <v>8</v>
      </c>
      <c r="W33" s="1574">
        <f t="shared" si="14"/>
        <v>100</v>
      </c>
      <c r="X33" s="1567"/>
      <c r="Y33" s="3732"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732"/>
      <c r="Q34" s="1605" t="str">
        <f t="shared" si="11"/>
        <v>项目建筑规模</v>
      </c>
      <c r="R34" s="1577" t="s">
        <v>8</v>
      </c>
      <c r="S34" s="1578" t="e">
        <f t="shared" si="12"/>
        <v>#N/A</v>
      </c>
      <c r="T34" s="1577" t="s">
        <v>8</v>
      </c>
      <c r="U34" s="1578" t="e">
        <f t="shared" si="13"/>
        <v>#N/A</v>
      </c>
      <c r="V34" s="1577" t="s">
        <v>8</v>
      </c>
      <c r="W34" s="1578" t="e">
        <f t="shared" si="14"/>
        <v>#N/A</v>
      </c>
      <c r="X34" s="1579"/>
      <c r="Y34" s="3732"/>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732"/>
      <c r="Q35" s="1572" t="str">
        <f t="shared" si="11"/>
        <v>建筑结构</v>
      </c>
      <c r="R35" s="1573" t="s">
        <v>8</v>
      </c>
      <c r="S35" s="1574">
        <f t="shared" si="12"/>
        <v>100</v>
      </c>
      <c r="T35" s="1573" t="s">
        <v>8</v>
      </c>
      <c r="U35" s="1574">
        <f t="shared" si="13"/>
        <v>100</v>
      </c>
      <c r="V35" s="1573" t="s">
        <v>8</v>
      </c>
      <c r="W35" s="1574">
        <f t="shared" si="14"/>
        <v>100</v>
      </c>
      <c r="X35" s="1567"/>
      <c r="Y35" s="3732"/>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732"/>
      <c r="Q36" s="1572" t="str">
        <f t="shared" si="11"/>
        <v>公共部分装修</v>
      </c>
      <c r="R36" s="1573" t="s">
        <v>8</v>
      </c>
      <c r="S36" s="1574">
        <f t="shared" si="12"/>
        <v>100</v>
      </c>
      <c r="T36" s="1573" t="s">
        <v>8</v>
      </c>
      <c r="U36" s="1574">
        <f t="shared" si="13"/>
        <v>100</v>
      </c>
      <c r="V36" s="1573" t="s">
        <v>8</v>
      </c>
      <c r="W36" s="1574">
        <f t="shared" si="14"/>
        <v>100</v>
      </c>
      <c r="X36" s="1567"/>
      <c r="Y36" s="3732"/>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732"/>
      <c r="Q37" s="1572" t="str">
        <f t="shared" si="11"/>
        <v>成新度</v>
      </c>
      <c r="R37" s="1573" t="s">
        <v>8</v>
      </c>
      <c r="S37" s="1574" t="e">
        <f t="shared" si="12"/>
        <v>#N/A</v>
      </c>
      <c r="T37" s="1573" t="s">
        <v>8</v>
      </c>
      <c r="U37" s="1574" t="e">
        <f t="shared" si="13"/>
        <v>#N/A</v>
      </c>
      <c r="V37" s="1573" t="s">
        <v>8</v>
      </c>
      <c r="W37" s="1574" t="e">
        <f t="shared" si="14"/>
        <v>#N/A</v>
      </c>
      <c r="X37" s="1567"/>
      <c r="Y37" s="3732"/>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32"/>
      <c r="Q38" s="1151" t="str">
        <f t="shared" si="11"/>
        <v>写字楼等级</v>
      </c>
      <c r="R38" s="1568" t="s">
        <v>8</v>
      </c>
      <c r="S38" s="1569">
        <f t="shared" si="12"/>
        <v>100</v>
      </c>
      <c r="T38" s="1568" t="s">
        <v>8</v>
      </c>
      <c r="U38" s="1569">
        <f t="shared" si="13"/>
        <v>100</v>
      </c>
      <c r="V38" s="1568" t="s">
        <v>8</v>
      </c>
      <c r="W38" s="1569">
        <f t="shared" si="14"/>
        <v>100</v>
      </c>
      <c r="X38" s="1570"/>
      <c r="Y38" s="3732"/>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32" t="s">
        <v>549</v>
      </c>
      <c r="Q39" s="1572" t="str">
        <f t="shared" si="11"/>
        <v>物业管理</v>
      </c>
      <c r="R39" s="1573" t="s">
        <v>8</v>
      </c>
      <c r="S39" s="1574">
        <f t="shared" si="12"/>
        <v>100</v>
      </c>
      <c r="T39" s="1573" t="s">
        <v>8</v>
      </c>
      <c r="U39" s="1574">
        <f t="shared" si="13"/>
        <v>100</v>
      </c>
      <c r="V39" s="1573" t="s">
        <v>8</v>
      </c>
      <c r="W39" s="1574">
        <f t="shared" si="14"/>
        <v>100</v>
      </c>
      <c r="X39" s="1567"/>
      <c r="Y39" s="3732"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732"/>
      <c r="Q40" s="1572" t="str">
        <f t="shared" si="11"/>
        <v>市政基础设施</v>
      </c>
      <c r="R40" s="1573" t="s">
        <v>8</v>
      </c>
      <c r="S40" s="1574">
        <f t="shared" si="12"/>
        <v>100</v>
      </c>
      <c r="T40" s="1573" t="s">
        <v>8</v>
      </c>
      <c r="U40" s="1574">
        <f t="shared" si="13"/>
        <v>100</v>
      </c>
      <c r="V40" s="1573" t="s">
        <v>8</v>
      </c>
      <c r="W40" s="1574">
        <f t="shared" si="14"/>
        <v>100</v>
      </c>
      <c r="X40" s="1567"/>
      <c r="Y40" s="3732"/>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32"/>
      <c r="Q41" s="1572" t="str">
        <f t="shared" si="11"/>
        <v>层高</v>
      </c>
      <c r="R41" s="1573" t="s">
        <v>8</v>
      </c>
      <c r="S41" s="1574">
        <f t="shared" si="12"/>
        <v>100</v>
      </c>
      <c r="T41" s="1573" t="s">
        <v>8</v>
      </c>
      <c r="U41" s="1574">
        <f t="shared" si="13"/>
        <v>100</v>
      </c>
      <c r="V41" s="1573" t="s">
        <v>8</v>
      </c>
      <c r="W41" s="1574">
        <f t="shared" si="14"/>
        <v>100</v>
      </c>
      <c r="X41" s="1567"/>
      <c r="Y41" s="3732"/>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32"/>
      <c r="Q42" s="1605" t="str">
        <f t="shared" si="11"/>
        <v>单套建筑面积</v>
      </c>
      <c r="R42" s="1577" t="s">
        <v>8</v>
      </c>
      <c r="S42" s="1578">
        <f t="shared" si="12"/>
        <v>100</v>
      </c>
      <c r="T42" s="1577" t="s">
        <v>8</v>
      </c>
      <c r="U42" s="1578">
        <f t="shared" si="13"/>
        <v>100</v>
      </c>
      <c r="V42" s="1577" t="s">
        <v>8</v>
      </c>
      <c r="W42" s="1578">
        <f t="shared" si="14"/>
        <v>100</v>
      </c>
      <c r="X42" s="1579"/>
      <c r="Y42" s="3732"/>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32"/>
      <c r="Q43" s="1572" t="str">
        <f t="shared" si="11"/>
        <v>内部装修</v>
      </c>
      <c r="R43" s="1573" t="s">
        <v>8</v>
      </c>
      <c r="S43" s="1574">
        <f t="shared" si="12"/>
        <v>100</v>
      </c>
      <c r="T43" s="1573" t="s">
        <v>8</v>
      </c>
      <c r="U43" s="1574">
        <f t="shared" si="13"/>
        <v>100</v>
      </c>
      <c r="V43" s="1573" t="s">
        <v>8</v>
      </c>
      <c r="W43" s="1574">
        <f t="shared" si="14"/>
        <v>100</v>
      </c>
      <c r="X43" s="1567"/>
      <c r="Y43" s="3732"/>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32"/>
      <c r="Q44" s="1572" t="str">
        <f t="shared" si="11"/>
        <v>内部装修维护情况</v>
      </c>
      <c r="R44" s="1573" t="s">
        <v>8</v>
      </c>
      <c r="S44" s="1574">
        <f t="shared" si="12"/>
        <v>100</v>
      </c>
      <c r="T44" s="1573" t="s">
        <v>8</v>
      </c>
      <c r="U44" s="1574">
        <f t="shared" si="13"/>
        <v>100</v>
      </c>
      <c r="V44" s="1573" t="s">
        <v>8</v>
      </c>
      <c r="W44" s="1574">
        <f t="shared" si="14"/>
        <v>100</v>
      </c>
      <c r="X44" s="1567"/>
      <c r="Y44" s="373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32"/>
      <c r="Q45" s="1151">
        <f t="shared" si="11"/>
        <v>111</v>
      </c>
      <c r="R45" s="1568" t="s">
        <v>8</v>
      </c>
      <c r="S45" s="1569">
        <f t="shared" si="12"/>
        <v>100</v>
      </c>
      <c r="T45" s="1568" t="s">
        <v>8</v>
      </c>
      <c r="U45" s="1569">
        <f t="shared" si="13"/>
        <v>100</v>
      </c>
      <c r="V45" s="1568" t="s">
        <v>8</v>
      </c>
      <c r="W45" s="1569">
        <f t="shared" si="14"/>
        <v>100</v>
      </c>
      <c r="X45" s="1570"/>
      <c r="Y45" s="373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32"/>
      <c r="Q46" s="1572">
        <f t="shared" si="11"/>
        <v>111</v>
      </c>
      <c r="R46" s="1573" t="s">
        <v>8</v>
      </c>
      <c r="S46" s="1574">
        <f t="shared" si="12"/>
        <v>100</v>
      </c>
      <c r="T46" s="1573" t="s">
        <v>8</v>
      </c>
      <c r="U46" s="1574">
        <f t="shared" si="13"/>
        <v>100</v>
      </c>
      <c r="V46" s="1573" t="s">
        <v>8</v>
      </c>
      <c r="W46" s="1574">
        <f t="shared" si="14"/>
        <v>100</v>
      </c>
      <c r="X46" s="1567"/>
      <c r="Y46" s="373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845"/>
      <c r="Q47" s="1572">
        <f t="shared" si="11"/>
        <v>111</v>
      </c>
      <c r="R47" s="1573" t="s">
        <v>8</v>
      </c>
      <c r="S47" s="1574">
        <f t="shared" si="12"/>
        <v>100</v>
      </c>
      <c r="T47" s="1573" t="s">
        <v>8</v>
      </c>
      <c r="U47" s="1574">
        <f t="shared" si="13"/>
        <v>100</v>
      </c>
      <c r="V47" s="1573" t="s">
        <v>8</v>
      </c>
      <c r="W47" s="1574">
        <f t="shared" si="14"/>
        <v>100</v>
      </c>
      <c r="X47" s="1567"/>
      <c r="Y47" s="3845"/>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749" t="str">
        <f>A48</f>
        <v>成交单价（元/平方米）</v>
      </c>
      <c r="Q48" s="3727"/>
      <c r="R48" s="3844">
        <f>E48</f>
        <v>0</v>
      </c>
      <c r="S48" s="3844"/>
      <c r="T48" s="3844">
        <f>G48</f>
        <v>0</v>
      </c>
      <c r="U48" s="3844"/>
      <c r="V48" s="3844">
        <f>I48</f>
        <v>0</v>
      </c>
      <c r="W48" s="3844"/>
      <c r="X48" s="1559"/>
      <c r="Y48" s="1581"/>
      <c r="Z48" s="1559"/>
      <c r="AA48" s="1559"/>
      <c r="AB48" s="1559"/>
      <c r="AC48" s="1559"/>
    </row>
    <row r="49" spans="1:29" ht="15.7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749" t="str">
        <f>A49</f>
        <v>比较价格（元/平方米）</v>
      </c>
      <c r="Q49" s="3727"/>
      <c r="R49" s="3844" t="e">
        <f>IF(F1="售价",ROUND(PRODUCT(R48,AA7:AA47),0),ROUND(PRODUCT(R48,AA7:AA47),1))</f>
        <v>#DIV/0!</v>
      </c>
      <c r="S49" s="3844"/>
      <c r="T49" s="3844" t="e">
        <f>IF(F1="售价",ROUND(PRODUCT(T48,AB7:AB47),0),ROUND(PRODUCT(T48,AB7:AB47),1))</f>
        <v>#DIV/0!</v>
      </c>
      <c r="U49" s="3844"/>
      <c r="V49" s="3844" t="e">
        <f>IF(F1="售价",ROUND(PRODUCT(V48,AC7:AC47),0),ROUND(PRODUCT(V48,AC7:AC47),1))</f>
        <v>#DIV/0!</v>
      </c>
      <c r="W49" s="3844"/>
      <c r="X49" s="1559"/>
      <c r="Y49" s="1559"/>
      <c r="Z49" s="1559"/>
      <c r="AA49" s="1559"/>
      <c r="AB49" s="1559"/>
      <c r="AC49" s="1559"/>
    </row>
    <row r="50" spans="1:29" ht="15.75" thickBot="1">
      <c r="A50" s="621" t="s">
        <v>2935</v>
      </c>
      <c r="B50" s="622"/>
      <c r="C50" s="2661" t="e">
        <f>R50</f>
        <v>#DIV/0!</v>
      </c>
      <c r="D50" s="2661"/>
      <c r="E50" s="2661"/>
      <c r="F50" s="2661"/>
      <c r="G50" s="2661"/>
      <c r="H50" s="2661"/>
      <c r="I50" s="2661"/>
      <c r="J50" s="2661"/>
      <c r="K50" s="1613"/>
      <c r="L50" s="2145"/>
      <c r="M50" s="2135"/>
      <c r="N50" s="2135"/>
      <c r="O50" s="2135"/>
      <c r="P50" s="3849" t="str">
        <f>A50</f>
        <v>估价对象XX用房的比较价格（楼面单价，元/平方米）</v>
      </c>
      <c r="Q50" s="3749"/>
      <c r="R50" s="3843" t="e">
        <f>IF(F1="售价",ROUND(AVERAGE(R49:V49),0),ROUND(AVERAGE(R49:V49),1))</f>
        <v>#DIV/0!</v>
      </c>
      <c r="S50" s="3843"/>
      <c r="T50" s="3843"/>
      <c r="U50" s="3843"/>
      <c r="V50" s="3843"/>
      <c r="W50" s="384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528</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16"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733" t="s">
        <v>521</v>
      </c>
      <c r="D4" s="3734"/>
      <c r="E4" s="3834" t="s">
        <v>522</v>
      </c>
      <c r="F4" s="3835"/>
      <c r="G4" s="3733" t="s">
        <v>523</v>
      </c>
      <c r="H4" s="3734"/>
      <c r="I4" s="3733" t="s">
        <v>524</v>
      </c>
      <c r="J4" s="3734"/>
      <c r="K4" s="514" t="s">
        <v>525</v>
      </c>
      <c r="L4" s="2134"/>
      <c r="M4" s="2135"/>
      <c r="N4" s="2135"/>
      <c r="O4" s="2135"/>
      <c r="P4" s="3735" t="s">
        <v>526</v>
      </c>
      <c r="Q4" s="3736"/>
      <c r="R4" s="3721" t="s">
        <v>522</v>
      </c>
      <c r="S4" s="3722"/>
      <c r="T4" s="3721" t="s">
        <v>523</v>
      </c>
      <c r="U4" s="3722"/>
      <c r="V4" s="3741" t="s">
        <v>524</v>
      </c>
      <c r="W4" s="3741"/>
      <c r="X4" s="1567"/>
      <c r="Y4" s="3721" t="s">
        <v>526</v>
      </c>
      <c r="Z4" s="3722"/>
      <c r="AA4" s="3716" t="s">
        <v>522</v>
      </c>
      <c r="AB4" s="3717" t="s">
        <v>523</v>
      </c>
      <c r="AC4" s="3716" t="s">
        <v>524</v>
      </c>
    </row>
    <row r="5" spans="1:29" ht="15">
      <c r="A5" s="515"/>
      <c r="B5" s="516"/>
      <c r="C5" s="3744" t="s">
        <v>2929</v>
      </c>
      <c r="D5" s="3745"/>
      <c r="E5" s="3842" t="s">
        <v>2930</v>
      </c>
      <c r="F5" s="3837"/>
      <c r="G5" s="3744" t="s">
        <v>2931</v>
      </c>
      <c r="H5" s="3745"/>
      <c r="I5" s="3744" t="s">
        <v>2932</v>
      </c>
      <c r="J5" s="3745"/>
      <c r="K5" s="514"/>
      <c r="L5" s="2134"/>
      <c r="M5" s="2135"/>
      <c r="N5" s="2135"/>
      <c r="O5" s="2135"/>
      <c r="P5" s="3737"/>
      <c r="Q5" s="3738"/>
      <c r="R5" s="3723"/>
      <c r="S5" s="3724"/>
      <c r="T5" s="3723"/>
      <c r="U5" s="3724"/>
      <c r="V5" s="3741"/>
      <c r="W5" s="3741"/>
      <c r="X5" s="1567"/>
      <c r="Y5" s="3723"/>
      <c r="Z5" s="3724"/>
      <c r="AA5" s="3717"/>
      <c r="AB5" s="3717"/>
      <c r="AC5" s="3717"/>
    </row>
    <row r="6" spans="1:29" ht="15.75" thickBot="1">
      <c r="A6" s="517"/>
      <c r="B6" s="518"/>
      <c r="C6" s="3742" t="s">
        <v>2933</v>
      </c>
      <c r="D6" s="3743"/>
      <c r="E6" s="3840" t="s">
        <v>2933</v>
      </c>
      <c r="F6" s="3841"/>
      <c r="G6" s="3742" t="s">
        <v>2933</v>
      </c>
      <c r="H6" s="3743"/>
      <c r="I6" s="3742" t="s">
        <v>2933</v>
      </c>
      <c r="J6" s="3743"/>
      <c r="K6" s="514" t="s">
        <v>527</v>
      </c>
      <c r="L6" s="2134"/>
      <c r="M6" s="2135"/>
      <c r="N6" s="2135"/>
      <c r="O6" s="2135"/>
      <c r="P6" s="3739"/>
      <c r="Q6" s="3740"/>
      <c r="R6" s="3723"/>
      <c r="S6" s="3724"/>
      <c r="T6" s="3725"/>
      <c r="U6" s="3726"/>
      <c r="V6" s="3741"/>
      <c r="W6" s="3741"/>
      <c r="X6" s="1567"/>
      <c r="Y6" s="3725"/>
      <c r="Z6" s="3726"/>
      <c r="AA6" s="3718"/>
      <c r="AB6" s="3718"/>
      <c r="AC6" s="3718"/>
    </row>
    <row r="7" spans="1:29" s="1220" customFormat="1" ht="15.75" thickBot="1">
      <c r="A7" s="2937"/>
      <c r="B7" s="2944" t="s">
        <v>528</v>
      </c>
      <c r="C7" s="519">
        <f>'数据-取费表'!B2</f>
        <v>43251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719" t="s">
        <v>529</v>
      </c>
      <c r="Q7" s="3728"/>
      <c r="R7" s="1568" t="s">
        <v>8</v>
      </c>
      <c r="S7" s="1569">
        <f t="shared" ref="S7:S15" si="0">F7</f>
        <v>0</v>
      </c>
      <c r="T7" s="1568" t="s">
        <v>8</v>
      </c>
      <c r="U7" s="1569">
        <f t="shared" ref="U7:U15" si="1">H7</f>
        <v>0</v>
      </c>
      <c r="V7" s="1568" t="s">
        <v>8</v>
      </c>
      <c r="W7" s="1569">
        <f t="shared" ref="W7:W15" si="2">J7</f>
        <v>0</v>
      </c>
      <c r="X7" s="1570"/>
      <c r="Y7" s="3719" t="s">
        <v>529</v>
      </c>
      <c r="Z7" s="3720"/>
      <c r="AA7" s="1571" t="e">
        <f>D7/F7</f>
        <v>#DIV/0!</v>
      </c>
      <c r="AB7" s="1571" t="e">
        <f>D7/H7</f>
        <v>#DIV/0!</v>
      </c>
      <c r="AC7" s="1571" t="e">
        <f>D7/J7</f>
        <v>#DIV/0!</v>
      </c>
    </row>
    <row r="8" spans="1:29" s="1220"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719" t="s">
        <v>532</v>
      </c>
      <c r="Q8" s="3720"/>
      <c r="R8" s="1568" t="s">
        <v>8</v>
      </c>
      <c r="S8" s="1569">
        <f t="shared" si="0"/>
        <v>0</v>
      </c>
      <c r="T8" s="1568" t="s">
        <v>8</v>
      </c>
      <c r="U8" s="1569">
        <f t="shared" si="1"/>
        <v>0</v>
      </c>
      <c r="V8" s="1568" t="s">
        <v>8</v>
      </c>
      <c r="W8" s="1569">
        <f t="shared" si="2"/>
        <v>0</v>
      </c>
      <c r="X8" s="1570"/>
      <c r="Y8" s="3719" t="s">
        <v>532</v>
      </c>
      <c r="Z8" s="3720"/>
      <c r="AA8" s="1571" t="e">
        <f t="shared" ref="AA8:AA40" si="3">D8/F8</f>
        <v>#DIV/0!</v>
      </c>
      <c r="AB8" s="1571" t="e">
        <f t="shared" ref="AB8:AB40" si="4">D8/H8</f>
        <v>#DIV/0!</v>
      </c>
      <c r="AC8" s="1571" t="e">
        <f t="shared" ref="AC8:AC40" si="5">D8/J8</f>
        <v>#DIV/0!</v>
      </c>
    </row>
    <row r="9" spans="1:29" s="1220"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727" t="s">
        <v>534</v>
      </c>
      <c r="Q9" s="1151" t="str">
        <f t="shared" ref="Q9:Q15" si="6">B9</f>
        <v>用途</v>
      </c>
      <c r="R9" s="1568" t="s">
        <v>8</v>
      </c>
      <c r="S9" s="1569">
        <f t="shared" si="0"/>
        <v>100</v>
      </c>
      <c r="T9" s="1568" t="s">
        <v>8</v>
      </c>
      <c r="U9" s="1569">
        <f t="shared" si="1"/>
        <v>100</v>
      </c>
      <c r="V9" s="1568" t="s">
        <v>8</v>
      </c>
      <c r="W9" s="1569">
        <f t="shared" si="2"/>
        <v>100</v>
      </c>
      <c r="X9" s="1570"/>
      <c r="Y9" s="3684"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727"/>
      <c r="Q10" s="1151" t="str">
        <f t="shared" si="6"/>
        <v>土地使用年限（年）</v>
      </c>
      <c r="R10" s="1568" t="s">
        <v>8</v>
      </c>
      <c r="S10" s="1569">
        <f t="shared" si="0"/>
        <v>100</v>
      </c>
      <c r="T10" s="1568" t="s">
        <v>8</v>
      </c>
      <c r="U10" s="1569">
        <f t="shared" si="1"/>
        <v>100</v>
      </c>
      <c r="V10" s="1568" t="s">
        <v>8</v>
      </c>
      <c r="W10" s="1569">
        <f t="shared" si="2"/>
        <v>100</v>
      </c>
      <c r="X10" s="1570"/>
      <c r="Y10" s="3684"/>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727"/>
      <c r="Q11" s="1151" t="str">
        <f t="shared" si="6"/>
        <v>容积率</v>
      </c>
      <c r="R11" s="1568" t="s">
        <v>8</v>
      </c>
      <c r="S11" s="1569" t="e">
        <f t="shared" si="0"/>
        <v>#N/A</v>
      </c>
      <c r="T11" s="1568" t="s">
        <v>8</v>
      </c>
      <c r="U11" s="1569" t="e">
        <f t="shared" si="1"/>
        <v>#N/A</v>
      </c>
      <c r="V11" s="1568" t="s">
        <v>8</v>
      </c>
      <c r="W11" s="1569" t="e">
        <f t="shared" si="2"/>
        <v>#N/A</v>
      </c>
      <c r="X11" s="1570"/>
      <c r="Y11" s="368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727"/>
      <c r="Q12" s="1151">
        <f t="shared" si="6"/>
        <v>111</v>
      </c>
      <c r="R12" s="1568" t="s">
        <v>8</v>
      </c>
      <c r="S12" s="1569">
        <f t="shared" si="0"/>
        <v>100</v>
      </c>
      <c r="T12" s="1568" t="s">
        <v>8</v>
      </c>
      <c r="U12" s="1569">
        <f t="shared" si="1"/>
        <v>100</v>
      </c>
      <c r="V12" s="1568" t="s">
        <v>8</v>
      </c>
      <c r="W12" s="1569">
        <f t="shared" si="2"/>
        <v>100</v>
      </c>
      <c r="X12" s="1570"/>
      <c r="Y12" s="3684"/>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727"/>
      <c r="Q13" s="1151">
        <f t="shared" si="6"/>
        <v>111</v>
      </c>
      <c r="R13" s="1568" t="s">
        <v>8</v>
      </c>
      <c r="S13" s="1569">
        <f t="shared" si="0"/>
        <v>100</v>
      </c>
      <c r="T13" s="1568" t="s">
        <v>8</v>
      </c>
      <c r="U13" s="1569">
        <f t="shared" si="1"/>
        <v>100</v>
      </c>
      <c r="V13" s="1568" t="s">
        <v>8</v>
      </c>
      <c r="W13" s="1569">
        <f t="shared" si="2"/>
        <v>100</v>
      </c>
      <c r="X13" s="1570"/>
      <c r="Y13" s="3684"/>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727"/>
      <c r="Q14" s="1151">
        <f t="shared" si="6"/>
        <v>111</v>
      </c>
      <c r="R14" s="1568" t="s">
        <v>8</v>
      </c>
      <c r="S14" s="1569">
        <f t="shared" si="0"/>
        <v>100</v>
      </c>
      <c r="T14" s="1568" t="s">
        <v>8</v>
      </c>
      <c r="U14" s="1569">
        <f t="shared" si="1"/>
        <v>100</v>
      </c>
      <c r="V14" s="1568" t="s">
        <v>8</v>
      </c>
      <c r="W14" s="1569">
        <f t="shared" si="2"/>
        <v>100</v>
      </c>
      <c r="X14" s="1570"/>
      <c r="Y14" s="3684"/>
      <c r="Z14" s="1150">
        <f t="shared" si="7"/>
        <v>111</v>
      </c>
      <c r="AA14" s="1571">
        <f t="shared" si="3"/>
        <v>1</v>
      </c>
      <c r="AB14" s="1571">
        <f t="shared" si="4"/>
        <v>1</v>
      </c>
      <c r="AC14" s="1571">
        <f t="shared" si="5"/>
        <v>1</v>
      </c>
    </row>
    <row r="15" spans="1:29" ht="57">
      <c r="A15" s="2935" t="s">
        <v>2757</v>
      </c>
      <c r="B15" s="166" t="s">
        <v>788</v>
      </c>
      <c r="C15" s="921" t="str">
        <f>估价对象房地状况!G3</f>
        <v>估价对象位于海淀区，区域工业成熟度一般，产业集聚程度一般</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729" t="s">
        <v>539</v>
      </c>
      <c r="Q15" s="1572" t="str">
        <f t="shared" si="6"/>
        <v>产业集聚程度</v>
      </c>
      <c r="R15" s="1573" t="s">
        <v>8</v>
      </c>
      <c r="S15" s="1574">
        <f t="shared" si="0"/>
        <v>100</v>
      </c>
      <c r="T15" s="1573" t="s">
        <v>8</v>
      </c>
      <c r="U15" s="1574">
        <f t="shared" si="1"/>
        <v>100</v>
      </c>
      <c r="V15" s="1573" t="s">
        <v>8</v>
      </c>
      <c r="W15" s="1574">
        <f t="shared" si="2"/>
        <v>100</v>
      </c>
      <c r="X15" s="1567"/>
      <c r="Y15" s="3729"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730"/>
      <c r="Q16" s="1572"/>
      <c r="R16" s="1573"/>
      <c r="S16" s="1574"/>
      <c r="T16" s="1573"/>
      <c r="U16" s="1574"/>
      <c r="V16" s="1573"/>
      <c r="W16" s="1574"/>
      <c r="X16" s="1567"/>
      <c r="Y16" s="3730"/>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730"/>
      <c r="Q17" s="1572" t="str">
        <f>B17</f>
        <v>交通便捷度</v>
      </c>
      <c r="R17" s="1573" t="s">
        <v>8</v>
      </c>
      <c r="S17" s="1574">
        <f>F17</f>
        <v>100</v>
      </c>
      <c r="T17" s="1573" t="s">
        <v>8</v>
      </c>
      <c r="U17" s="1574">
        <f>H17</f>
        <v>100</v>
      </c>
      <c r="V17" s="1573" t="s">
        <v>8</v>
      </c>
      <c r="W17" s="1574">
        <f>J17</f>
        <v>100</v>
      </c>
      <c r="X17" s="1567"/>
      <c r="Y17" s="373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730"/>
      <c r="Q18" s="1572"/>
      <c r="R18" s="1573"/>
      <c r="S18" s="1574"/>
      <c r="T18" s="1573"/>
      <c r="U18" s="1574"/>
      <c r="V18" s="1573"/>
      <c r="W18" s="1574"/>
      <c r="X18" s="1567"/>
      <c r="Y18" s="3730"/>
      <c r="Z18" s="1575"/>
      <c r="AA18" s="1576">
        <v>1</v>
      </c>
      <c r="AB18" s="1576">
        <v>1</v>
      </c>
      <c r="AC18" s="1576">
        <v>1</v>
      </c>
    </row>
    <row r="19" spans="1:29" ht="42.75">
      <c r="A19" s="532"/>
      <c r="B19" s="2628" t="s">
        <v>2549</v>
      </c>
      <c r="C19" s="872" t="str">
        <f>估价对象房地状况!G5</f>
        <v>估价对象所在区域公共配套设施齐备情况好</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730"/>
      <c r="Q19" s="1572" t="str">
        <f>B19</f>
        <v>公共配套设施</v>
      </c>
      <c r="R19" s="1573" t="s">
        <v>8</v>
      </c>
      <c r="S19" s="1574">
        <f>F19</f>
        <v>100</v>
      </c>
      <c r="T19" s="1573" t="s">
        <v>8</v>
      </c>
      <c r="U19" s="1574">
        <f>H19</f>
        <v>100</v>
      </c>
      <c r="V19" s="1573" t="s">
        <v>8</v>
      </c>
      <c r="W19" s="1574">
        <f>J19</f>
        <v>100</v>
      </c>
      <c r="X19" s="1567"/>
      <c r="Y19" s="373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730"/>
      <c r="Q20" s="1572"/>
      <c r="R20" s="1573"/>
      <c r="S20" s="1574"/>
      <c r="T20" s="1573"/>
      <c r="U20" s="1574"/>
      <c r="V20" s="1573"/>
      <c r="W20" s="1574"/>
      <c r="X20" s="1567"/>
      <c r="Y20" s="3730"/>
      <c r="Z20" s="1575"/>
      <c r="AA20" s="1576">
        <v>1</v>
      </c>
      <c r="AB20" s="1576">
        <v>1</v>
      </c>
      <c r="AC20" s="1576">
        <v>1</v>
      </c>
    </row>
    <row r="21" spans="1:29" ht="15">
      <c r="A21" s="532"/>
      <c r="B21" s="2616" t="s">
        <v>2561</v>
      </c>
      <c r="C21" s="872" t="str">
        <f>估价对象房地状况!G6</f>
        <v>七通</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730"/>
      <c r="Q21" s="2604" t="str">
        <f>B21</f>
        <v>基础设施水平</v>
      </c>
      <c r="R21" s="1573" t="s">
        <v>8</v>
      </c>
      <c r="S21" s="1574">
        <f>F21</f>
        <v>100</v>
      </c>
      <c r="T21" s="1573" t="s">
        <v>8</v>
      </c>
      <c r="U21" s="1574">
        <f>H21</f>
        <v>100</v>
      </c>
      <c r="V21" s="1573" t="s">
        <v>8</v>
      </c>
      <c r="W21" s="1574">
        <f>J21</f>
        <v>100</v>
      </c>
      <c r="X21" s="2606"/>
      <c r="Y21" s="3730"/>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730"/>
      <c r="Q22" s="2604"/>
      <c r="R22" s="1573"/>
      <c r="S22" s="1574"/>
      <c r="T22" s="1573"/>
      <c r="U22" s="1574"/>
      <c r="V22" s="1573"/>
      <c r="W22" s="1574"/>
      <c r="X22" s="2606"/>
      <c r="Y22" s="3730"/>
      <c r="Z22" s="2605"/>
      <c r="AA22" s="1576">
        <v>1</v>
      </c>
      <c r="AB22" s="1576">
        <v>1</v>
      </c>
      <c r="AC22" s="1576">
        <v>1</v>
      </c>
    </row>
    <row r="23" spans="1:29" ht="71.25">
      <c r="A23" s="532"/>
      <c r="B23" s="871" t="s">
        <v>777</v>
      </c>
      <c r="C23" s="872" t="str">
        <f>估价对象房地状况!G7</f>
        <v>该区域内没有污染型企业，绿化情况教好，卫生条件教好，整体环境状况较好</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730"/>
      <c r="Q23" s="1572" t="str">
        <f>B23</f>
        <v>环境质量</v>
      </c>
      <c r="R23" s="1573" t="s">
        <v>8</v>
      </c>
      <c r="S23" s="1574">
        <f>F23</f>
        <v>100</v>
      </c>
      <c r="T23" s="1573" t="s">
        <v>8</v>
      </c>
      <c r="U23" s="1574">
        <f>H23</f>
        <v>100</v>
      </c>
      <c r="V23" s="1573" t="s">
        <v>8</v>
      </c>
      <c r="W23" s="1574">
        <f>J23</f>
        <v>100</v>
      </c>
      <c r="X23" s="1567"/>
      <c r="Y23" s="373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730"/>
      <c r="Q24" s="1572"/>
      <c r="R24" s="1573"/>
      <c r="S24" s="1574"/>
      <c r="T24" s="1573"/>
      <c r="U24" s="1574"/>
      <c r="V24" s="1573"/>
      <c r="W24" s="1574"/>
      <c r="X24" s="1567"/>
      <c r="Y24" s="373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30"/>
      <c r="Q25" s="1572">
        <f>B25</f>
        <v>111</v>
      </c>
      <c r="R25" s="1573" t="s">
        <v>8</v>
      </c>
      <c r="S25" s="1574">
        <f>F25</f>
        <v>100</v>
      </c>
      <c r="T25" s="1573" t="s">
        <v>8</v>
      </c>
      <c r="U25" s="1574">
        <f>H25</f>
        <v>100</v>
      </c>
      <c r="V25" s="1573" t="s">
        <v>8</v>
      </c>
      <c r="W25" s="1574">
        <f>J25</f>
        <v>100</v>
      </c>
      <c r="X25" s="1567"/>
      <c r="Y25" s="373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30"/>
      <c r="Q26" s="1572">
        <f t="shared" ref="Q26:Q40" si="11">B26</f>
        <v>111</v>
      </c>
      <c r="R26" s="1573" t="s">
        <v>8</v>
      </c>
      <c r="S26" s="1574">
        <f>F26</f>
        <v>100</v>
      </c>
      <c r="T26" s="1573" t="s">
        <v>8</v>
      </c>
      <c r="U26" s="1574">
        <f>H26</f>
        <v>100</v>
      </c>
      <c r="V26" s="1573" t="s">
        <v>8</v>
      </c>
      <c r="W26" s="1574">
        <f>J26</f>
        <v>100</v>
      </c>
      <c r="X26" s="1567"/>
      <c r="Y26" s="373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30"/>
      <c r="Q27" s="1151">
        <f t="shared" si="11"/>
        <v>111</v>
      </c>
      <c r="R27" s="1568" t="s">
        <v>8</v>
      </c>
      <c r="S27" s="1569">
        <f>F27</f>
        <v>100</v>
      </c>
      <c r="T27" s="1568" t="s">
        <v>8</v>
      </c>
      <c r="U27" s="1569">
        <f>H27</f>
        <v>100</v>
      </c>
      <c r="V27" s="1568" t="s">
        <v>8</v>
      </c>
      <c r="W27" s="1569">
        <f>J27</f>
        <v>100</v>
      </c>
      <c r="X27" s="1570"/>
      <c r="Y27" s="373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730"/>
      <c r="Q28" s="1572">
        <f t="shared" si="11"/>
        <v>111</v>
      </c>
      <c r="R28" s="1573" t="s">
        <v>8</v>
      </c>
      <c r="S28" s="1574">
        <f t="shared" ref="S28:S40" si="12">F28</f>
        <v>100</v>
      </c>
      <c r="T28" s="1573" t="s">
        <v>8</v>
      </c>
      <c r="U28" s="1574">
        <f t="shared" ref="U28:U40" si="13">H28</f>
        <v>100</v>
      </c>
      <c r="V28" s="1573" t="s">
        <v>8</v>
      </c>
      <c r="W28" s="1574">
        <f t="shared" ref="W28:W40" si="14">J28</f>
        <v>100</v>
      </c>
      <c r="X28" s="1567"/>
      <c r="Y28" s="3730"/>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731" t="s">
        <v>549</v>
      </c>
      <c r="Q29" s="1572" t="str">
        <f t="shared" si="11"/>
        <v>建筑类型</v>
      </c>
      <c r="R29" s="1573" t="s">
        <v>8</v>
      </c>
      <c r="S29" s="1574">
        <f t="shared" si="12"/>
        <v>100</v>
      </c>
      <c r="T29" s="1573" t="s">
        <v>8</v>
      </c>
      <c r="U29" s="1574">
        <f t="shared" si="13"/>
        <v>100</v>
      </c>
      <c r="V29" s="1573" t="s">
        <v>8</v>
      </c>
      <c r="W29" s="1574">
        <f t="shared" si="14"/>
        <v>100</v>
      </c>
      <c r="X29" s="1567"/>
      <c r="Y29" s="3732"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32"/>
      <c r="Q30" s="1605" t="str">
        <f t="shared" si="11"/>
        <v>项目建筑规模</v>
      </c>
      <c r="R30" s="1577" t="s">
        <v>8</v>
      </c>
      <c r="S30" s="1578" t="e">
        <f t="shared" si="12"/>
        <v>#N/A</v>
      </c>
      <c r="T30" s="1577" t="s">
        <v>8</v>
      </c>
      <c r="U30" s="1578" t="e">
        <f t="shared" si="13"/>
        <v>#N/A</v>
      </c>
      <c r="V30" s="1577" t="s">
        <v>8</v>
      </c>
      <c r="W30" s="1578" t="e">
        <f t="shared" si="14"/>
        <v>#N/A</v>
      </c>
      <c r="X30" s="1579"/>
      <c r="Y30" s="3732"/>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32"/>
      <c r="Q31" s="1572" t="str">
        <f t="shared" si="11"/>
        <v>建筑结构</v>
      </c>
      <c r="R31" s="1573" t="s">
        <v>8</v>
      </c>
      <c r="S31" s="1574">
        <f t="shared" si="12"/>
        <v>100</v>
      </c>
      <c r="T31" s="1573" t="s">
        <v>8</v>
      </c>
      <c r="U31" s="1574">
        <f t="shared" si="13"/>
        <v>100</v>
      </c>
      <c r="V31" s="1573" t="s">
        <v>8</v>
      </c>
      <c r="W31" s="1574">
        <f t="shared" si="14"/>
        <v>100</v>
      </c>
      <c r="X31" s="1567"/>
      <c r="Y31" s="3732"/>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32"/>
      <c r="Q32" s="1572" t="str">
        <f t="shared" si="11"/>
        <v>公共部分装修</v>
      </c>
      <c r="R32" s="1573" t="s">
        <v>8</v>
      </c>
      <c r="S32" s="1574">
        <f t="shared" si="12"/>
        <v>100</v>
      </c>
      <c r="T32" s="1573" t="s">
        <v>8</v>
      </c>
      <c r="U32" s="1574">
        <f t="shared" si="13"/>
        <v>100</v>
      </c>
      <c r="V32" s="1573" t="s">
        <v>8</v>
      </c>
      <c r="W32" s="1574">
        <f t="shared" si="14"/>
        <v>100</v>
      </c>
      <c r="X32" s="1567"/>
      <c r="Y32" s="3732"/>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732"/>
      <c r="Q33" s="1572" t="str">
        <f t="shared" si="11"/>
        <v>成新度</v>
      </c>
      <c r="R33" s="1573" t="s">
        <v>8</v>
      </c>
      <c r="S33" s="1574" t="e">
        <f t="shared" si="12"/>
        <v>#N/A</v>
      </c>
      <c r="T33" s="1573" t="s">
        <v>8</v>
      </c>
      <c r="U33" s="1574" t="e">
        <f t="shared" si="13"/>
        <v>#N/A</v>
      </c>
      <c r="V33" s="1573" t="s">
        <v>8</v>
      </c>
      <c r="W33" s="1574" t="e">
        <f t="shared" si="14"/>
        <v>#N/A</v>
      </c>
      <c r="X33" s="1567"/>
      <c r="Y33" s="3732"/>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32"/>
      <c r="Q34" s="1151" t="str">
        <f t="shared" si="11"/>
        <v>物业管理</v>
      </c>
      <c r="R34" s="1568" t="s">
        <v>8</v>
      </c>
      <c r="S34" s="1569">
        <f t="shared" si="12"/>
        <v>100</v>
      </c>
      <c r="T34" s="1568" t="s">
        <v>8</v>
      </c>
      <c r="U34" s="1569">
        <f t="shared" si="13"/>
        <v>100</v>
      </c>
      <c r="V34" s="1568" t="s">
        <v>8</v>
      </c>
      <c r="W34" s="1569">
        <f t="shared" si="14"/>
        <v>100</v>
      </c>
      <c r="X34" s="1570"/>
      <c r="Y34" s="3732"/>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32" t="s">
        <v>549</v>
      </c>
      <c r="Q35" s="1572" t="str">
        <f t="shared" si="11"/>
        <v>市政基础设施</v>
      </c>
      <c r="R35" s="1573" t="s">
        <v>8</v>
      </c>
      <c r="S35" s="1574">
        <f t="shared" si="12"/>
        <v>100</v>
      </c>
      <c r="T35" s="1573" t="s">
        <v>8</v>
      </c>
      <c r="U35" s="1574">
        <f t="shared" si="13"/>
        <v>100</v>
      </c>
      <c r="V35" s="1573" t="s">
        <v>8</v>
      </c>
      <c r="W35" s="1574">
        <f t="shared" si="14"/>
        <v>100</v>
      </c>
      <c r="X35" s="1567"/>
      <c r="Y35" s="3732"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32"/>
      <c r="Q36" s="1572" t="str">
        <f t="shared" si="11"/>
        <v>内部装修</v>
      </c>
      <c r="R36" s="1573" t="s">
        <v>8</v>
      </c>
      <c r="S36" s="1574">
        <f t="shared" si="12"/>
        <v>100</v>
      </c>
      <c r="T36" s="1573" t="s">
        <v>8</v>
      </c>
      <c r="U36" s="1574">
        <f t="shared" si="13"/>
        <v>100</v>
      </c>
      <c r="V36" s="1573" t="s">
        <v>8</v>
      </c>
      <c r="W36" s="1574">
        <f t="shared" si="14"/>
        <v>100</v>
      </c>
      <c r="X36" s="1567"/>
      <c r="Y36" s="3732"/>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32"/>
      <c r="Q37" s="1572" t="str">
        <f t="shared" si="11"/>
        <v>内部装修状况</v>
      </c>
      <c r="R37" s="1573" t="s">
        <v>8</v>
      </c>
      <c r="S37" s="1574">
        <f t="shared" si="12"/>
        <v>100</v>
      </c>
      <c r="T37" s="1573" t="s">
        <v>8</v>
      </c>
      <c r="U37" s="1574">
        <f t="shared" si="13"/>
        <v>100</v>
      </c>
      <c r="V37" s="1573" t="s">
        <v>8</v>
      </c>
      <c r="W37" s="1574">
        <f t="shared" si="14"/>
        <v>100</v>
      </c>
      <c r="X37" s="1567"/>
      <c r="Y37" s="373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732"/>
      <c r="Q38" s="1605">
        <f t="shared" si="11"/>
        <v>111</v>
      </c>
      <c r="R38" s="1577" t="s">
        <v>8</v>
      </c>
      <c r="S38" s="1578">
        <f t="shared" si="12"/>
        <v>100</v>
      </c>
      <c r="T38" s="1577" t="s">
        <v>8</v>
      </c>
      <c r="U38" s="1578">
        <f t="shared" si="13"/>
        <v>100</v>
      </c>
      <c r="V38" s="1577" t="s">
        <v>8</v>
      </c>
      <c r="W38" s="1578">
        <f t="shared" si="14"/>
        <v>100</v>
      </c>
      <c r="X38" s="1579"/>
      <c r="Y38" s="373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732"/>
      <c r="Q39" s="1572">
        <f t="shared" si="11"/>
        <v>111</v>
      </c>
      <c r="R39" s="1573" t="s">
        <v>8</v>
      </c>
      <c r="S39" s="1574">
        <f t="shared" si="12"/>
        <v>100</v>
      </c>
      <c r="T39" s="1573" t="s">
        <v>8</v>
      </c>
      <c r="U39" s="1574">
        <f t="shared" si="13"/>
        <v>100</v>
      </c>
      <c r="V39" s="1573" t="s">
        <v>8</v>
      </c>
      <c r="W39" s="1574">
        <f t="shared" si="14"/>
        <v>100</v>
      </c>
      <c r="X39" s="1567"/>
      <c r="Y39" s="373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845"/>
      <c r="Q40" s="1572">
        <f t="shared" si="11"/>
        <v>111</v>
      </c>
      <c r="R40" s="1573" t="s">
        <v>8</v>
      </c>
      <c r="S40" s="1574">
        <f t="shared" si="12"/>
        <v>100</v>
      </c>
      <c r="T40" s="1573" t="s">
        <v>8</v>
      </c>
      <c r="U40" s="1574">
        <f t="shared" si="13"/>
        <v>100</v>
      </c>
      <c r="V40" s="1573" t="s">
        <v>8</v>
      </c>
      <c r="W40" s="1574">
        <f t="shared" si="14"/>
        <v>100</v>
      </c>
      <c r="X40" s="1567"/>
      <c r="Y40" s="3845"/>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727" t="str">
        <f>A41</f>
        <v>成交单价（元/平方米）</v>
      </c>
      <c r="Q41" s="3727"/>
      <c r="R41" s="3844">
        <f>E41</f>
        <v>0</v>
      </c>
      <c r="S41" s="3844"/>
      <c r="T41" s="3844">
        <f>G41</f>
        <v>0</v>
      </c>
      <c r="U41" s="3844"/>
      <c r="V41" s="3844">
        <f>I41</f>
        <v>0</v>
      </c>
      <c r="W41" s="3844"/>
      <c r="X41" s="1559"/>
      <c r="Y41" s="1581"/>
      <c r="Z41" s="1559"/>
      <c r="AA41" s="1559"/>
      <c r="AB41" s="1559"/>
      <c r="AC41" s="1559"/>
    </row>
    <row r="42" spans="1:29" ht="15.7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727" t="str">
        <f>A42</f>
        <v>比较价格（元/平方米）</v>
      </c>
      <c r="Q42" s="3727"/>
      <c r="R42" s="3844" t="e">
        <f>IF(F1="售价",ROUND(PRODUCT(R41,AA7:AA40),0),ROUND(PRODUCT(R41,AA7:AA40),1))</f>
        <v>#DIV/0!</v>
      </c>
      <c r="S42" s="3844"/>
      <c r="T42" s="3844" t="e">
        <f>IF(F1="售价",ROUND(PRODUCT(T41,AB7:AB40),0),ROUND(PRODUCT(T41,AB7:AB40),1))</f>
        <v>#DIV/0!</v>
      </c>
      <c r="U42" s="3844"/>
      <c r="V42" s="3844" t="e">
        <f>IF(F1="售价",ROUND(PRODUCT(V41,AC7:AC40),0),ROUND(PRODUCT(V41,AC7:AC40),1))</f>
        <v>#DIV/0!</v>
      </c>
      <c r="W42" s="3844"/>
      <c r="X42" s="1559"/>
      <c r="Y42" s="1559"/>
      <c r="Z42" s="1559"/>
      <c r="AA42" s="1559"/>
      <c r="AB42" s="1559"/>
      <c r="AC42" s="1559"/>
    </row>
    <row r="43" spans="1:29" ht="15.75" thickBot="1">
      <c r="A43" s="621" t="s">
        <v>2935</v>
      </c>
      <c r="B43" s="622"/>
      <c r="C43" s="2661" t="e">
        <f>R43</f>
        <v>#DIV/0!</v>
      </c>
      <c r="D43" s="2661"/>
      <c r="E43" s="2661"/>
      <c r="F43" s="2661"/>
      <c r="G43" s="2661"/>
      <c r="H43" s="2661"/>
      <c r="I43" s="2661"/>
      <c r="J43" s="2661"/>
      <c r="K43" s="1613"/>
      <c r="L43" s="2145"/>
      <c r="M43" s="2146"/>
      <c r="N43" s="2146"/>
      <c r="O43" s="2146"/>
      <c r="P43" s="3748" t="str">
        <f>A43</f>
        <v>估价对象XX用房的比较价格（楼面单价，元/平方米）</v>
      </c>
      <c r="Q43" s="3749"/>
      <c r="R43" s="3843" t="e">
        <f>IF(F1="售价",ROUND(AVERAGE(R42:V42),0),ROUND(AVERAGE(R42:V42),1))</f>
        <v>#DIV/0!</v>
      </c>
      <c r="S43" s="3843"/>
      <c r="T43" s="3843"/>
      <c r="U43" s="3843"/>
      <c r="V43" s="3843"/>
      <c r="W43" s="384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528</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733" t="s">
        <v>797</v>
      </c>
      <c r="D4" s="3734"/>
      <c r="E4" s="3733" t="s">
        <v>798</v>
      </c>
      <c r="F4" s="3734"/>
      <c r="G4" s="3733" t="s">
        <v>799</v>
      </c>
      <c r="H4" s="3734"/>
      <c r="I4" s="3733" t="s">
        <v>800</v>
      </c>
      <c r="J4" s="3734"/>
      <c r="K4" s="514" t="s">
        <v>801</v>
      </c>
      <c r="L4" s="2134"/>
      <c r="M4" s="2135"/>
      <c r="N4" s="2135"/>
      <c r="O4" s="2135"/>
      <c r="P4" s="3735" t="s">
        <v>802</v>
      </c>
      <c r="Q4" s="3736"/>
      <c r="R4" s="3721" t="s">
        <v>798</v>
      </c>
      <c r="S4" s="3722"/>
      <c r="T4" s="3721" t="s">
        <v>799</v>
      </c>
      <c r="U4" s="3722"/>
      <c r="V4" s="3741" t="s">
        <v>800</v>
      </c>
      <c r="W4" s="3741"/>
      <c r="X4" s="1567"/>
      <c r="Y4" s="3721" t="s">
        <v>802</v>
      </c>
      <c r="Z4" s="3722"/>
      <c r="AA4" s="3716" t="s">
        <v>798</v>
      </c>
      <c r="AB4" s="3717" t="s">
        <v>799</v>
      </c>
      <c r="AC4" s="3716" t="s">
        <v>800</v>
      </c>
    </row>
    <row r="5" spans="1:29" ht="15">
      <c r="A5" s="515"/>
      <c r="B5" s="516"/>
      <c r="C5" s="3744" t="s">
        <v>2929</v>
      </c>
      <c r="D5" s="3745"/>
      <c r="E5" s="3744" t="s">
        <v>2930</v>
      </c>
      <c r="F5" s="3745"/>
      <c r="G5" s="3744" t="s">
        <v>2931</v>
      </c>
      <c r="H5" s="3745"/>
      <c r="I5" s="3744" t="s">
        <v>2932</v>
      </c>
      <c r="J5" s="3745"/>
      <c r="K5" s="514"/>
      <c r="L5" s="2134"/>
      <c r="M5" s="2135"/>
      <c r="N5" s="2135"/>
      <c r="O5" s="2135"/>
      <c r="P5" s="3737"/>
      <c r="Q5" s="3738"/>
      <c r="R5" s="3723"/>
      <c r="S5" s="3724"/>
      <c r="T5" s="3723"/>
      <c r="U5" s="3724"/>
      <c r="V5" s="3741"/>
      <c r="W5" s="3741"/>
      <c r="X5" s="1567"/>
      <c r="Y5" s="3723"/>
      <c r="Z5" s="3724"/>
      <c r="AA5" s="3717"/>
      <c r="AB5" s="3717"/>
      <c r="AC5" s="3717"/>
    </row>
    <row r="6" spans="1:29" ht="15.75" thickBot="1">
      <c r="A6" s="517"/>
      <c r="B6" s="518"/>
      <c r="C6" s="3742" t="s">
        <v>2933</v>
      </c>
      <c r="D6" s="3743"/>
      <c r="E6" s="3746" t="s">
        <v>2933</v>
      </c>
      <c r="F6" s="3747"/>
      <c r="G6" s="3742" t="s">
        <v>2933</v>
      </c>
      <c r="H6" s="3743"/>
      <c r="I6" s="3742" t="s">
        <v>2933</v>
      </c>
      <c r="J6" s="3743"/>
      <c r="K6" s="514" t="s">
        <v>527</v>
      </c>
      <c r="L6" s="2134"/>
      <c r="M6" s="2135"/>
      <c r="N6" s="2135"/>
      <c r="O6" s="2135"/>
      <c r="P6" s="3739"/>
      <c r="Q6" s="3740"/>
      <c r="R6" s="3723"/>
      <c r="S6" s="3724"/>
      <c r="T6" s="3725"/>
      <c r="U6" s="3726"/>
      <c r="V6" s="3741"/>
      <c r="W6" s="3741"/>
      <c r="X6" s="1567"/>
      <c r="Y6" s="3725"/>
      <c r="Z6" s="3726"/>
      <c r="AA6" s="3718"/>
      <c r="AB6" s="3718"/>
      <c r="AC6" s="3718"/>
    </row>
    <row r="7" spans="1:29" s="1220" customFormat="1" ht="15.75" thickBot="1">
      <c r="A7" s="2937"/>
      <c r="B7" s="2944" t="s">
        <v>528</v>
      </c>
      <c r="C7" s="519">
        <f>'数据-取费表'!B2</f>
        <v>43251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719" t="s">
        <v>529</v>
      </c>
      <c r="Q7" s="3728"/>
      <c r="R7" s="1568" t="s">
        <v>8</v>
      </c>
      <c r="S7" s="1569">
        <f t="shared" ref="S7:S14" si="0">F7</f>
        <v>0</v>
      </c>
      <c r="T7" s="1568" t="s">
        <v>8</v>
      </c>
      <c r="U7" s="1569">
        <f t="shared" ref="U7:U14" si="1">H7</f>
        <v>0</v>
      </c>
      <c r="V7" s="1568" t="s">
        <v>8</v>
      </c>
      <c r="W7" s="1569">
        <f t="shared" ref="W7:W14" si="2">J7</f>
        <v>0</v>
      </c>
      <c r="X7" s="1570"/>
      <c r="Y7" s="3719" t="s">
        <v>529</v>
      </c>
      <c r="Z7" s="3720"/>
      <c r="AA7" s="1571" t="e">
        <f>D7/F7</f>
        <v>#DIV/0!</v>
      </c>
      <c r="AB7" s="1571" t="e">
        <f>D7/H7</f>
        <v>#DIV/0!</v>
      </c>
      <c r="AC7" s="1571" t="e">
        <f>D7/J7</f>
        <v>#DIV/0!</v>
      </c>
    </row>
    <row r="8" spans="1:29" s="1220"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719" t="s">
        <v>532</v>
      </c>
      <c r="Q8" s="3720"/>
      <c r="R8" s="1568" t="s">
        <v>8</v>
      </c>
      <c r="S8" s="1569">
        <f t="shared" si="0"/>
        <v>0</v>
      </c>
      <c r="T8" s="1568" t="s">
        <v>8</v>
      </c>
      <c r="U8" s="1569">
        <f t="shared" si="1"/>
        <v>0</v>
      </c>
      <c r="V8" s="1568" t="s">
        <v>8</v>
      </c>
      <c r="W8" s="1569">
        <f t="shared" si="2"/>
        <v>0</v>
      </c>
      <c r="X8" s="1570"/>
      <c r="Y8" s="3719" t="s">
        <v>532</v>
      </c>
      <c r="Z8" s="3720"/>
      <c r="AA8" s="1571" t="e">
        <f t="shared" ref="AA8:AA36" si="3">D8/F8</f>
        <v>#DIV/0!</v>
      </c>
      <c r="AB8" s="1571" t="e">
        <f t="shared" ref="AB8:AB36" si="4">D8/H8</f>
        <v>#DIV/0!</v>
      </c>
      <c r="AC8" s="1571" t="e">
        <f t="shared" ref="AC8:AC36" si="5">D8/J8</f>
        <v>#DIV/0!</v>
      </c>
    </row>
    <row r="9" spans="1:29" s="1220" customFormat="1" ht="15">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727" t="s">
        <v>534</v>
      </c>
      <c r="Q9" s="1151" t="str">
        <f t="shared" ref="Q9:Q14" si="6">B9</f>
        <v>用途</v>
      </c>
      <c r="R9" s="1568" t="s">
        <v>8</v>
      </c>
      <c r="S9" s="1569">
        <f t="shared" si="0"/>
        <v>100</v>
      </c>
      <c r="T9" s="1568" t="s">
        <v>8</v>
      </c>
      <c r="U9" s="1569">
        <f t="shared" si="1"/>
        <v>100</v>
      </c>
      <c r="V9" s="1568" t="s">
        <v>8</v>
      </c>
      <c r="W9" s="1569">
        <f t="shared" si="2"/>
        <v>100</v>
      </c>
      <c r="X9" s="1570"/>
      <c r="Y9" s="3684"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727"/>
      <c r="Q10" s="1151" t="str">
        <f t="shared" si="6"/>
        <v>土地使用年限（年）</v>
      </c>
      <c r="R10" s="1568" t="s">
        <v>8</v>
      </c>
      <c r="S10" s="1569">
        <f t="shared" si="0"/>
        <v>100</v>
      </c>
      <c r="T10" s="1568" t="s">
        <v>8</v>
      </c>
      <c r="U10" s="1569">
        <f t="shared" si="1"/>
        <v>100</v>
      </c>
      <c r="V10" s="1568" t="s">
        <v>8</v>
      </c>
      <c r="W10" s="1569">
        <f t="shared" si="2"/>
        <v>100</v>
      </c>
      <c r="X10" s="1570"/>
      <c r="Y10" s="3684"/>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727"/>
      <c r="Q11" s="1151">
        <f t="shared" si="6"/>
        <v>111</v>
      </c>
      <c r="R11" s="1568" t="s">
        <v>8</v>
      </c>
      <c r="S11" s="1569">
        <f t="shared" si="0"/>
        <v>100</v>
      </c>
      <c r="T11" s="1568" t="s">
        <v>8</v>
      </c>
      <c r="U11" s="1569">
        <f t="shared" si="1"/>
        <v>100</v>
      </c>
      <c r="V11" s="1568" t="s">
        <v>8</v>
      </c>
      <c r="W11" s="1569">
        <f t="shared" si="2"/>
        <v>100</v>
      </c>
      <c r="X11" s="1570"/>
      <c r="Y11" s="3684"/>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727"/>
      <c r="Q12" s="1151">
        <f t="shared" si="6"/>
        <v>111</v>
      </c>
      <c r="R12" s="1568" t="s">
        <v>8</v>
      </c>
      <c r="S12" s="1569">
        <f t="shared" si="0"/>
        <v>100</v>
      </c>
      <c r="T12" s="1568" t="s">
        <v>8</v>
      </c>
      <c r="U12" s="1569">
        <f t="shared" si="1"/>
        <v>100</v>
      </c>
      <c r="V12" s="1568" t="s">
        <v>8</v>
      </c>
      <c r="W12" s="1569">
        <f t="shared" si="2"/>
        <v>100</v>
      </c>
      <c r="X12" s="1570"/>
      <c r="Y12" s="3684"/>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727"/>
      <c r="Q13" s="1151">
        <f t="shared" si="6"/>
        <v>111</v>
      </c>
      <c r="R13" s="1568" t="s">
        <v>8</v>
      </c>
      <c r="S13" s="1569">
        <f t="shared" si="0"/>
        <v>100</v>
      </c>
      <c r="T13" s="1568" t="s">
        <v>8</v>
      </c>
      <c r="U13" s="1569">
        <f t="shared" si="1"/>
        <v>100</v>
      </c>
      <c r="V13" s="1568" t="s">
        <v>8</v>
      </c>
      <c r="W13" s="1569">
        <f t="shared" si="2"/>
        <v>100</v>
      </c>
      <c r="X13" s="1570"/>
      <c r="Y13" s="3684"/>
      <c r="Z13" s="1150">
        <f t="shared" si="7"/>
        <v>111</v>
      </c>
      <c r="AA13" s="1571">
        <f t="shared" si="3"/>
        <v>1</v>
      </c>
      <c r="AB13" s="1571">
        <f t="shared" si="4"/>
        <v>1</v>
      </c>
      <c r="AC13" s="1571">
        <f t="shared" si="5"/>
        <v>1</v>
      </c>
    </row>
    <row r="14" spans="1:29" ht="85.5">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729" t="s">
        <v>539</v>
      </c>
      <c r="Q14" s="1572" t="str">
        <f t="shared" si="6"/>
        <v>交通便捷度</v>
      </c>
      <c r="R14" s="1573" t="s">
        <v>8</v>
      </c>
      <c r="S14" s="1574">
        <f t="shared" si="0"/>
        <v>100</v>
      </c>
      <c r="T14" s="1573" t="s">
        <v>8</v>
      </c>
      <c r="U14" s="1574">
        <f t="shared" si="1"/>
        <v>100</v>
      </c>
      <c r="V14" s="1573" t="s">
        <v>8</v>
      </c>
      <c r="W14" s="1574">
        <f t="shared" si="2"/>
        <v>100</v>
      </c>
      <c r="X14" s="1567"/>
      <c r="Y14" s="3729"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730"/>
      <c r="Q15" s="1572"/>
      <c r="R15" s="1573"/>
      <c r="S15" s="1574"/>
      <c r="T15" s="1573"/>
      <c r="U15" s="1574"/>
      <c r="V15" s="1573"/>
      <c r="W15" s="1574"/>
      <c r="X15" s="1567"/>
      <c r="Y15" s="3730"/>
      <c r="Z15" s="1575"/>
      <c r="AA15" s="1576">
        <v>1</v>
      </c>
      <c r="AB15" s="1576">
        <v>1</v>
      </c>
      <c r="AC15" s="1576">
        <v>1</v>
      </c>
    </row>
    <row r="16" spans="1:29" ht="42.75">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730"/>
      <c r="Q16" s="1572" t="str">
        <f>B16</f>
        <v>公共配套设施</v>
      </c>
      <c r="R16" s="1573" t="s">
        <v>8</v>
      </c>
      <c r="S16" s="1574">
        <f>F16</f>
        <v>100</v>
      </c>
      <c r="T16" s="1573" t="s">
        <v>8</v>
      </c>
      <c r="U16" s="1574">
        <f>H16</f>
        <v>100</v>
      </c>
      <c r="V16" s="1573" t="s">
        <v>8</v>
      </c>
      <c r="W16" s="1574">
        <f>J16</f>
        <v>100</v>
      </c>
      <c r="X16" s="1567"/>
      <c r="Y16" s="373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730"/>
      <c r="Q17" s="1572"/>
      <c r="R17" s="1573"/>
      <c r="S17" s="1574"/>
      <c r="T17" s="1573"/>
      <c r="U17" s="1574"/>
      <c r="V17" s="1573"/>
      <c r="W17" s="1574"/>
      <c r="X17" s="1567"/>
      <c r="Y17" s="3730"/>
      <c r="Z17" s="1575"/>
      <c r="AA17" s="1576">
        <v>1</v>
      </c>
      <c r="AB17" s="1576">
        <v>1</v>
      </c>
      <c r="AC17" s="1576">
        <v>1</v>
      </c>
    </row>
    <row r="18" spans="1:29" ht="28.5">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730"/>
      <c r="Q18" s="2604" t="str">
        <f>B18</f>
        <v>基础设施水平</v>
      </c>
      <c r="R18" s="1573" t="s">
        <v>8</v>
      </c>
      <c r="S18" s="1574">
        <f>F18</f>
        <v>100</v>
      </c>
      <c r="T18" s="1573" t="s">
        <v>8</v>
      </c>
      <c r="U18" s="1574">
        <f>H18</f>
        <v>100</v>
      </c>
      <c r="V18" s="1573" t="s">
        <v>8</v>
      </c>
      <c r="W18" s="1574">
        <f>J18</f>
        <v>100</v>
      </c>
      <c r="X18" s="2606"/>
      <c r="Y18" s="3730"/>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730"/>
      <c r="Q19" s="2604"/>
      <c r="R19" s="1573"/>
      <c r="S19" s="1574"/>
      <c r="T19" s="1573"/>
      <c r="U19" s="1574"/>
      <c r="V19" s="1573"/>
      <c r="W19" s="1574"/>
      <c r="X19" s="2606"/>
      <c r="Y19" s="3730"/>
      <c r="Z19" s="2605"/>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730"/>
      <c r="Q20" s="1572" t="str">
        <f>B20</f>
        <v>自然及人文环境</v>
      </c>
      <c r="R20" s="1573" t="s">
        <v>8</v>
      </c>
      <c r="S20" s="1574">
        <f>F20</f>
        <v>100</v>
      </c>
      <c r="T20" s="1573" t="s">
        <v>8</v>
      </c>
      <c r="U20" s="1574">
        <f>H20</f>
        <v>100</v>
      </c>
      <c r="V20" s="1573" t="s">
        <v>8</v>
      </c>
      <c r="W20" s="1574">
        <f>J20</f>
        <v>100</v>
      </c>
      <c r="X20" s="1567"/>
      <c r="Y20" s="373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730"/>
      <c r="Q21" s="1572"/>
      <c r="R21" s="1573"/>
      <c r="S21" s="1574"/>
      <c r="T21" s="1573"/>
      <c r="U21" s="1574"/>
      <c r="V21" s="1573"/>
      <c r="W21" s="1574"/>
      <c r="X21" s="1567"/>
      <c r="Y21" s="3730"/>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30"/>
      <c r="Q22" s="1572" t="str">
        <f>B22</f>
        <v>楼层</v>
      </c>
      <c r="R22" s="1573" t="s">
        <v>8</v>
      </c>
      <c r="S22" s="1574">
        <f>F22</f>
        <v>100</v>
      </c>
      <c r="T22" s="1573" t="s">
        <v>8</v>
      </c>
      <c r="U22" s="1574">
        <f>H22</f>
        <v>100</v>
      </c>
      <c r="V22" s="1573" t="s">
        <v>8</v>
      </c>
      <c r="W22" s="1574">
        <f>J22</f>
        <v>100</v>
      </c>
      <c r="X22" s="1567"/>
      <c r="Y22" s="373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30"/>
      <c r="Q23" s="1572">
        <f>B23</f>
        <v>111</v>
      </c>
      <c r="R23" s="1573" t="s">
        <v>8</v>
      </c>
      <c r="S23" s="1574">
        <f>F23</f>
        <v>100</v>
      </c>
      <c r="T23" s="1573" t="s">
        <v>8</v>
      </c>
      <c r="U23" s="1574">
        <f>H23</f>
        <v>100</v>
      </c>
      <c r="V23" s="1573" t="s">
        <v>8</v>
      </c>
      <c r="W23" s="1574">
        <f>J23</f>
        <v>100</v>
      </c>
      <c r="X23" s="1567"/>
      <c r="Y23" s="373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30"/>
      <c r="Q24" s="1572">
        <f t="shared" ref="Q24:Q36" si="11">B24</f>
        <v>111</v>
      </c>
      <c r="R24" s="1573" t="s">
        <v>8</v>
      </c>
      <c r="S24" s="1574">
        <f>F24</f>
        <v>100</v>
      </c>
      <c r="T24" s="1573" t="s">
        <v>8</v>
      </c>
      <c r="U24" s="1574">
        <f>H24</f>
        <v>100</v>
      </c>
      <c r="V24" s="1573" t="s">
        <v>8</v>
      </c>
      <c r="W24" s="1574">
        <f>J24</f>
        <v>100</v>
      </c>
      <c r="X24" s="1567"/>
      <c r="Y24" s="373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730"/>
      <c r="Q25" s="1151">
        <f t="shared" si="11"/>
        <v>111</v>
      </c>
      <c r="R25" s="1568" t="s">
        <v>8</v>
      </c>
      <c r="S25" s="1569">
        <f>F25</f>
        <v>100</v>
      </c>
      <c r="T25" s="1568" t="s">
        <v>8</v>
      </c>
      <c r="U25" s="1569">
        <f>H25</f>
        <v>100</v>
      </c>
      <c r="V25" s="1568" t="s">
        <v>8</v>
      </c>
      <c r="W25" s="1569">
        <f>J25</f>
        <v>100</v>
      </c>
      <c r="X25" s="1570"/>
      <c r="Y25" s="3730"/>
      <c r="Z25" s="1150">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31"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32"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732"/>
      <c r="Q27" s="1605" t="str">
        <f t="shared" si="11"/>
        <v>项目停车位配比</v>
      </c>
      <c r="R27" s="1577" t="s">
        <v>8</v>
      </c>
      <c r="S27" s="1578">
        <f t="shared" si="12"/>
        <v>100</v>
      </c>
      <c r="T27" s="1577" t="s">
        <v>8</v>
      </c>
      <c r="U27" s="1578">
        <f t="shared" si="13"/>
        <v>100</v>
      </c>
      <c r="V27" s="1577" t="s">
        <v>8</v>
      </c>
      <c r="W27" s="1578">
        <f t="shared" si="14"/>
        <v>100</v>
      </c>
      <c r="X27" s="1579"/>
      <c r="Y27" s="3732"/>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32"/>
      <c r="Q28" s="1572" t="str">
        <f t="shared" si="11"/>
        <v>公共部分装修</v>
      </c>
      <c r="R28" s="1573" t="s">
        <v>8</v>
      </c>
      <c r="S28" s="1574">
        <f t="shared" si="12"/>
        <v>100</v>
      </c>
      <c r="T28" s="1573" t="s">
        <v>8</v>
      </c>
      <c r="U28" s="1574">
        <f t="shared" si="13"/>
        <v>100</v>
      </c>
      <c r="V28" s="1573" t="s">
        <v>8</v>
      </c>
      <c r="W28" s="1574">
        <f t="shared" si="14"/>
        <v>100</v>
      </c>
      <c r="X28" s="1567"/>
      <c r="Y28" s="3732"/>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732"/>
      <c r="Q29" s="1572" t="str">
        <f t="shared" si="11"/>
        <v>成新率</v>
      </c>
      <c r="R29" s="1573" t="s">
        <v>8</v>
      </c>
      <c r="S29" s="1574" t="e">
        <f t="shared" si="12"/>
        <v>#N/A</v>
      </c>
      <c r="T29" s="1573" t="s">
        <v>8</v>
      </c>
      <c r="U29" s="1574" t="e">
        <f t="shared" si="13"/>
        <v>#N/A</v>
      </c>
      <c r="V29" s="1573" t="s">
        <v>8</v>
      </c>
      <c r="W29" s="1574" t="e">
        <f t="shared" si="14"/>
        <v>#N/A</v>
      </c>
      <c r="X29" s="1567"/>
      <c r="Y29" s="3732"/>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732"/>
      <c r="Q30" s="1572" t="str">
        <f t="shared" si="11"/>
        <v>物业等级</v>
      </c>
      <c r="R30" s="1573" t="s">
        <v>8</v>
      </c>
      <c r="S30" s="1574">
        <f t="shared" si="12"/>
        <v>100</v>
      </c>
      <c r="T30" s="1573" t="s">
        <v>8</v>
      </c>
      <c r="U30" s="1574">
        <f t="shared" si="13"/>
        <v>100</v>
      </c>
      <c r="V30" s="1573" t="s">
        <v>8</v>
      </c>
      <c r="W30" s="1574">
        <f t="shared" si="14"/>
        <v>100</v>
      </c>
      <c r="X30" s="1567"/>
      <c r="Y30" s="3732"/>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732"/>
      <c r="Q31" s="1151" t="str">
        <f t="shared" si="11"/>
        <v>停车位面积</v>
      </c>
      <c r="R31" s="1568" t="s">
        <v>8</v>
      </c>
      <c r="S31" s="1569" t="e">
        <f t="shared" si="12"/>
        <v>#N/A</v>
      </c>
      <c r="T31" s="1568" t="s">
        <v>8</v>
      </c>
      <c r="U31" s="1569" t="e">
        <f t="shared" si="13"/>
        <v>#N/A</v>
      </c>
      <c r="V31" s="1568" t="s">
        <v>8</v>
      </c>
      <c r="W31" s="1569" t="e">
        <f t="shared" si="14"/>
        <v>#N/A</v>
      </c>
      <c r="X31" s="1570"/>
      <c r="Y31" s="3732"/>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32" t="s">
        <v>549</v>
      </c>
      <c r="Q32" s="1572" t="str">
        <f t="shared" si="11"/>
        <v>车位类型</v>
      </c>
      <c r="R32" s="1573" t="s">
        <v>8</v>
      </c>
      <c r="S32" s="1574">
        <f t="shared" si="12"/>
        <v>100</v>
      </c>
      <c r="T32" s="1573" t="s">
        <v>8</v>
      </c>
      <c r="U32" s="1574">
        <f t="shared" si="13"/>
        <v>100</v>
      </c>
      <c r="V32" s="1573" t="s">
        <v>8</v>
      </c>
      <c r="W32" s="1574">
        <f t="shared" si="14"/>
        <v>100</v>
      </c>
      <c r="X32" s="1567"/>
      <c r="Y32" s="3732"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32"/>
      <c r="Q33" s="1572" t="str">
        <f t="shared" si="11"/>
        <v>是否直接入户</v>
      </c>
      <c r="R33" s="1573" t="s">
        <v>8</v>
      </c>
      <c r="S33" s="1574">
        <f t="shared" si="12"/>
        <v>100</v>
      </c>
      <c r="T33" s="1573" t="s">
        <v>8</v>
      </c>
      <c r="U33" s="1574">
        <f t="shared" si="13"/>
        <v>100</v>
      </c>
      <c r="V33" s="1573" t="s">
        <v>8</v>
      </c>
      <c r="W33" s="1574">
        <f t="shared" si="14"/>
        <v>100</v>
      </c>
      <c r="X33" s="1567"/>
      <c r="Y33" s="373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32"/>
      <c r="Q34" s="1572">
        <f t="shared" si="11"/>
        <v>111</v>
      </c>
      <c r="R34" s="1573" t="s">
        <v>8</v>
      </c>
      <c r="S34" s="1574">
        <f t="shared" si="12"/>
        <v>100</v>
      </c>
      <c r="T34" s="1573" t="s">
        <v>8</v>
      </c>
      <c r="U34" s="1574">
        <f t="shared" si="13"/>
        <v>100</v>
      </c>
      <c r="V34" s="1573" t="s">
        <v>8</v>
      </c>
      <c r="W34" s="1574">
        <f t="shared" si="14"/>
        <v>100</v>
      </c>
      <c r="X34" s="1567"/>
      <c r="Y34" s="373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32"/>
      <c r="Q35" s="1605">
        <f t="shared" si="11"/>
        <v>111</v>
      </c>
      <c r="R35" s="1577" t="s">
        <v>8</v>
      </c>
      <c r="S35" s="1578">
        <f t="shared" si="12"/>
        <v>100</v>
      </c>
      <c r="T35" s="1577" t="s">
        <v>8</v>
      </c>
      <c r="U35" s="1578">
        <f t="shared" si="13"/>
        <v>100</v>
      </c>
      <c r="V35" s="1577" t="s">
        <v>8</v>
      </c>
      <c r="W35" s="1578">
        <f t="shared" si="14"/>
        <v>100</v>
      </c>
      <c r="X35" s="1579"/>
      <c r="Y35" s="373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32"/>
      <c r="Q36" s="1572">
        <f t="shared" si="11"/>
        <v>111</v>
      </c>
      <c r="R36" s="1573" t="s">
        <v>8</v>
      </c>
      <c r="S36" s="1574">
        <f t="shared" si="12"/>
        <v>100</v>
      </c>
      <c r="T36" s="1573" t="s">
        <v>8</v>
      </c>
      <c r="U36" s="1574">
        <f t="shared" si="13"/>
        <v>100</v>
      </c>
      <c r="V36" s="1573" t="s">
        <v>8</v>
      </c>
      <c r="W36" s="1574">
        <f t="shared" si="14"/>
        <v>100</v>
      </c>
      <c r="X36" s="1567"/>
      <c r="Y36" s="3732"/>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727" t="str">
        <f>A37</f>
        <v>成交单价</v>
      </c>
      <c r="Q37" s="3727"/>
      <c r="R37" s="3844">
        <f>E37</f>
        <v>0</v>
      </c>
      <c r="S37" s="3844"/>
      <c r="T37" s="3844">
        <f>G37</f>
        <v>0</v>
      </c>
      <c r="U37" s="3844"/>
      <c r="V37" s="3844">
        <f>I37</f>
        <v>0</v>
      </c>
      <c r="W37" s="3844"/>
      <c r="X37" s="1559"/>
      <c r="Y37" s="1581"/>
      <c r="Z37" s="1559"/>
      <c r="AA37" s="1559"/>
      <c r="AB37" s="1559"/>
      <c r="AC37" s="1559"/>
    </row>
    <row r="38" spans="1:29" ht="15.7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727" t="str">
        <f>A38</f>
        <v>比较价格（元/平方米）</v>
      </c>
      <c r="Q38" s="3727"/>
      <c r="R38" s="3844" t="e">
        <f>IF(F1="售价",ROUND(PRODUCT(R37,AA7:AA36),0),ROUND(PRODUCT(R37,AA7:AA36),1))</f>
        <v>#DIV/0!</v>
      </c>
      <c r="S38" s="3844"/>
      <c r="T38" s="3844" t="e">
        <f>IF(F1="售价",ROUND(PRODUCT(T37,AB7:AB36),0),ROUND(PRODUCT(T37,AB7:AB36),1))</f>
        <v>#DIV/0!</v>
      </c>
      <c r="U38" s="3844"/>
      <c r="V38" s="3844" t="e">
        <f>IF(F1="售价",ROUND(PRODUCT(V37,AC7:AC36),0),ROUND(PRODUCT(V37,AC7:AC36),1))</f>
        <v>#DIV/0!</v>
      </c>
      <c r="W38" s="3844"/>
      <c r="X38" s="1559"/>
      <c r="Y38" s="1559"/>
      <c r="Z38" s="1559"/>
      <c r="AA38" s="1559"/>
      <c r="AB38" s="1559"/>
      <c r="AC38" s="1559"/>
    </row>
    <row r="39" spans="1:29" ht="15.75" thickBot="1">
      <c r="A39" s="621" t="s">
        <v>2935</v>
      </c>
      <c r="B39" s="622"/>
      <c r="C39" s="2661" t="e">
        <f>R39</f>
        <v>#DIV/0!</v>
      </c>
      <c r="D39" s="2661"/>
      <c r="E39" s="2661"/>
      <c r="F39" s="2661"/>
      <c r="G39" s="2661"/>
      <c r="H39" s="2661"/>
      <c r="I39" s="2661"/>
      <c r="J39" s="2661"/>
      <c r="K39" s="1613"/>
      <c r="L39" s="2145"/>
      <c r="M39" s="2146"/>
      <c r="N39" s="2146"/>
      <c r="O39" s="2146"/>
      <c r="P39" s="3748" t="str">
        <f>A39</f>
        <v>估价对象XX用房的比较价格（楼面单价，元/平方米）</v>
      </c>
      <c r="Q39" s="3749"/>
      <c r="R39" s="3843" t="e">
        <f>IF(F1="售价",ROUND(AVERAGE(R38:V38),0),ROUND(AVERAGE(R38:V38),1))</f>
        <v>#DIV/0!</v>
      </c>
      <c r="S39" s="3843"/>
      <c r="T39" s="3843"/>
      <c r="U39" s="3843"/>
      <c r="V39" s="3843"/>
      <c r="W39" s="384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733" t="s">
        <v>797</v>
      </c>
      <c r="D4" s="3734"/>
      <c r="E4" s="3834" t="s">
        <v>798</v>
      </c>
      <c r="F4" s="3835"/>
      <c r="G4" s="3733" t="s">
        <v>799</v>
      </c>
      <c r="H4" s="3734"/>
      <c r="I4" s="3733" t="s">
        <v>800</v>
      </c>
      <c r="J4" s="3734"/>
      <c r="K4" s="514" t="s">
        <v>801</v>
      </c>
      <c r="L4" s="2134"/>
      <c r="M4" s="2135"/>
      <c r="N4" s="2135"/>
      <c r="O4" s="2135"/>
      <c r="P4" s="3735" t="s">
        <v>802</v>
      </c>
      <c r="Q4" s="3736"/>
      <c r="R4" s="3721" t="s">
        <v>798</v>
      </c>
      <c r="S4" s="3722"/>
      <c r="T4" s="3721" t="s">
        <v>799</v>
      </c>
      <c r="U4" s="3722"/>
      <c r="V4" s="3741" t="s">
        <v>800</v>
      </c>
      <c r="W4" s="3741"/>
      <c r="X4" s="1567"/>
      <c r="Y4" s="3721" t="s">
        <v>802</v>
      </c>
      <c r="Z4" s="3722"/>
      <c r="AA4" s="3716" t="s">
        <v>798</v>
      </c>
      <c r="AB4" s="3717" t="s">
        <v>799</v>
      </c>
      <c r="AC4" s="3716" t="s">
        <v>800</v>
      </c>
    </row>
    <row r="5" spans="1:29" ht="15">
      <c r="A5" s="515"/>
      <c r="B5" s="516"/>
      <c r="C5" s="3744" t="s">
        <v>2929</v>
      </c>
      <c r="D5" s="3745"/>
      <c r="E5" s="3842" t="s">
        <v>2930</v>
      </c>
      <c r="F5" s="3837"/>
      <c r="G5" s="3744" t="s">
        <v>2931</v>
      </c>
      <c r="H5" s="3745"/>
      <c r="I5" s="3744" t="s">
        <v>2932</v>
      </c>
      <c r="J5" s="3745"/>
      <c r="K5" s="514"/>
      <c r="L5" s="2134"/>
      <c r="M5" s="2135"/>
      <c r="N5" s="2135"/>
      <c r="O5" s="2135"/>
      <c r="P5" s="3737"/>
      <c r="Q5" s="3738"/>
      <c r="R5" s="3723"/>
      <c r="S5" s="3724"/>
      <c r="T5" s="3723"/>
      <c r="U5" s="3724"/>
      <c r="V5" s="3741"/>
      <c r="W5" s="3741"/>
      <c r="X5" s="1567"/>
      <c r="Y5" s="3723"/>
      <c r="Z5" s="3724"/>
      <c r="AA5" s="3717"/>
      <c r="AB5" s="3717"/>
      <c r="AC5" s="3717"/>
    </row>
    <row r="6" spans="1:29" ht="15.75" thickBot="1">
      <c r="A6" s="517"/>
      <c r="B6" s="518"/>
      <c r="C6" s="3742" t="s">
        <v>2933</v>
      </c>
      <c r="D6" s="3743"/>
      <c r="E6" s="3840" t="s">
        <v>2933</v>
      </c>
      <c r="F6" s="3841"/>
      <c r="G6" s="3742" t="s">
        <v>2933</v>
      </c>
      <c r="H6" s="3743"/>
      <c r="I6" s="3742" t="s">
        <v>2933</v>
      </c>
      <c r="J6" s="3743"/>
      <c r="K6" s="514" t="s">
        <v>527</v>
      </c>
      <c r="L6" s="2134"/>
      <c r="M6" s="2135"/>
      <c r="N6" s="2135"/>
      <c r="O6" s="2135"/>
      <c r="P6" s="3739"/>
      <c r="Q6" s="3740"/>
      <c r="R6" s="3723"/>
      <c r="S6" s="3724"/>
      <c r="T6" s="3725"/>
      <c r="U6" s="3726"/>
      <c r="V6" s="3741"/>
      <c r="W6" s="3741"/>
      <c r="X6" s="1567"/>
      <c r="Y6" s="3725"/>
      <c r="Z6" s="3726"/>
      <c r="AA6" s="3718"/>
      <c r="AB6" s="3718"/>
      <c r="AC6" s="3718"/>
    </row>
    <row r="7" spans="1:29" s="1220" customFormat="1" ht="15.75" thickBot="1">
      <c r="A7" s="2937"/>
      <c r="B7" s="2944" t="s">
        <v>528</v>
      </c>
      <c r="C7" s="519">
        <f>'数据-取费表'!B2</f>
        <v>43251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719" t="s">
        <v>529</v>
      </c>
      <c r="Q7" s="3728"/>
      <c r="R7" s="1568" t="s">
        <v>8</v>
      </c>
      <c r="S7" s="1569">
        <f t="shared" ref="S7:S14" si="0">F7</f>
        <v>0</v>
      </c>
      <c r="T7" s="1568" t="s">
        <v>8</v>
      </c>
      <c r="U7" s="1569">
        <f t="shared" ref="U7:U14" si="1">H7</f>
        <v>0</v>
      </c>
      <c r="V7" s="1568" t="s">
        <v>8</v>
      </c>
      <c r="W7" s="1569">
        <f t="shared" ref="W7:W14" si="2">J7</f>
        <v>0</v>
      </c>
      <c r="X7" s="1570"/>
      <c r="Y7" s="3719" t="s">
        <v>529</v>
      </c>
      <c r="Z7" s="3720"/>
      <c r="AA7" s="1571" t="e">
        <f>D7/F7</f>
        <v>#DIV/0!</v>
      </c>
      <c r="AB7" s="1571" t="e">
        <f>D7/H7</f>
        <v>#DIV/0!</v>
      </c>
      <c r="AC7" s="1571" t="e">
        <f>D7/J7</f>
        <v>#DIV/0!</v>
      </c>
    </row>
    <row r="8" spans="1:29" s="1220"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719" t="s">
        <v>532</v>
      </c>
      <c r="Q8" s="3720"/>
      <c r="R8" s="1568" t="s">
        <v>8</v>
      </c>
      <c r="S8" s="1569">
        <f t="shared" si="0"/>
        <v>0</v>
      </c>
      <c r="T8" s="1568" t="s">
        <v>8</v>
      </c>
      <c r="U8" s="1569">
        <f t="shared" si="1"/>
        <v>0</v>
      </c>
      <c r="V8" s="1568" t="s">
        <v>8</v>
      </c>
      <c r="W8" s="1569">
        <f t="shared" si="2"/>
        <v>0</v>
      </c>
      <c r="X8" s="1570"/>
      <c r="Y8" s="3719" t="s">
        <v>532</v>
      </c>
      <c r="Z8" s="3720"/>
      <c r="AA8" s="1571" t="e">
        <f t="shared" ref="AA8:AA34" si="3">D8/F8</f>
        <v>#DIV/0!</v>
      </c>
      <c r="AB8" s="1571" t="e">
        <f t="shared" ref="AB8:AB34" si="4">D8/H8</f>
        <v>#DIV/0!</v>
      </c>
      <c r="AC8" s="1571" t="e">
        <f t="shared" ref="AC8:AC34" si="5">D8/J8</f>
        <v>#DIV/0!</v>
      </c>
    </row>
    <row r="9" spans="1:29" s="1220"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727" t="s">
        <v>534</v>
      </c>
      <c r="Q9" s="1151" t="str">
        <f t="shared" ref="Q9:Q14" si="6">B9</f>
        <v>用途</v>
      </c>
      <c r="R9" s="1568" t="s">
        <v>8</v>
      </c>
      <c r="S9" s="1569">
        <f t="shared" si="0"/>
        <v>100</v>
      </c>
      <c r="T9" s="1568" t="s">
        <v>8</v>
      </c>
      <c r="U9" s="1569">
        <f t="shared" si="1"/>
        <v>100</v>
      </c>
      <c r="V9" s="1568" t="s">
        <v>8</v>
      </c>
      <c r="W9" s="1569">
        <f t="shared" si="2"/>
        <v>100</v>
      </c>
      <c r="X9" s="1570"/>
      <c r="Y9" s="3684"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727"/>
      <c r="Q10" s="1151" t="str">
        <f t="shared" si="6"/>
        <v>土地使用年限（年）</v>
      </c>
      <c r="R10" s="1568" t="s">
        <v>8</v>
      </c>
      <c r="S10" s="1569">
        <f t="shared" si="0"/>
        <v>100</v>
      </c>
      <c r="T10" s="1568" t="s">
        <v>8</v>
      </c>
      <c r="U10" s="1569">
        <f t="shared" si="1"/>
        <v>100</v>
      </c>
      <c r="V10" s="1568" t="s">
        <v>8</v>
      </c>
      <c r="W10" s="1569">
        <f t="shared" si="2"/>
        <v>100</v>
      </c>
      <c r="X10" s="1570"/>
      <c r="Y10" s="3684"/>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727"/>
      <c r="Q11" s="1151">
        <f t="shared" si="6"/>
        <v>111</v>
      </c>
      <c r="R11" s="1568" t="s">
        <v>8</v>
      </c>
      <c r="S11" s="1569">
        <f t="shared" si="0"/>
        <v>100</v>
      </c>
      <c r="T11" s="1568" t="s">
        <v>8</v>
      </c>
      <c r="U11" s="1569">
        <f t="shared" si="1"/>
        <v>100</v>
      </c>
      <c r="V11" s="1568" t="s">
        <v>8</v>
      </c>
      <c r="W11" s="1569">
        <f t="shared" si="2"/>
        <v>100</v>
      </c>
      <c r="X11" s="1570"/>
      <c r="Y11" s="3684"/>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727"/>
      <c r="Q12" s="1151">
        <f t="shared" si="6"/>
        <v>111</v>
      </c>
      <c r="R12" s="1568" t="s">
        <v>8</v>
      </c>
      <c r="S12" s="1569">
        <f t="shared" si="0"/>
        <v>100</v>
      </c>
      <c r="T12" s="1568" t="s">
        <v>8</v>
      </c>
      <c r="U12" s="1569">
        <f t="shared" si="1"/>
        <v>100</v>
      </c>
      <c r="V12" s="1568" t="s">
        <v>8</v>
      </c>
      <c r="W12" s="1569">
        <f t="shared" si="2"/>
        <v>100</v>
      </c>
      <c r="X12" s="1570"/>
      <c r="Y12" s="3684"/>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727"/>
      <c r="Q13" s="1151">
        <f t="shared" si="6"/>
        <v>111</v>
      </c>
      <c r="R13" s="1568" t="s">
        <v>8</v>
      </c>
      <c r="S13" s="1569">
        <f t="shared" si="0"/>
        <v>100</v>
      </c>
      <c r="T13" s="1568" t="s">
        <v>8</v>
      </c>
      <c r="U13" s="1569">
        <f t="shared" si="1"/>
        <v>100</v>
      </c>
      <c r="V13" s="1568" t="s">
        <v>8</v>
      </c>
      <c r="W13" s="1569">
        <f t="shared" si="2"/>
        <v>100</v>
      </c>
      <c r="X13" s="1570"/>
      <c r="Y13" s="3684"/>
      <c r="Z13" s="1150">
        <f t="shared" si="7"/>
        <v>111</v>
      </c>
      <c r="AA13" s="1571">
        <f t="shared" si="3"/>
        <v>1</v>
      </c>
      <c r="AB13" s="1571">
        <f t="shared" si="4"/>
        <v>1</v>
      </c>
      <c r="AC13" s="1571">
        <f t="shared" si="5"/>
        <v>1</v>
      </c>
    </row>
    <row r="14" spans="1:29" ht="85.5">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729" t="s">
        <v>539</v>
      </c>
      <c r="Q14" s="1572" t="str">
        <f t="shared" si="6"/>
        <v>交通便捷度</v>
      </c>
      <c r="R14" s="1573" t="s">
        <v>8</v>
      </c>
      <c r="S14" s="1574">
        <f t="shared" si="0"/>
        <v>100</v>
      </c>
      <c r="T14" s="1573" t="s">
        <v>8</v>
      </c>
      <c r="U14" s="1574">
        <f t="shared" si="1"/>
        <v>100</v>
      </c>
      <c r="V14" s="1573" t="s">
        <v>8</v>
      </c>
      <c r="W14" s="1574">
        <f t="shared" si="2"/>
        <v>100</v>
      </c>
      <c r="X14" s="1567"/>
      <c r="Y14" s="3729"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730"/>
      <c r="Q15" s="1572"/>
      <c r="R15" s="1573"/>
      <c r="S15" s="1574"/>
      <c r="T15" s="1573"/>
      <c r="U15" s="1574"/>
      <c r="V15" s="1573"/>
      <c r="W15" s="1574"/>
      <c r="X15" s="1567"/>
      <c r="Y15" s="3730"/>
      <c r="Z15" s="1575"/>
      <c r="AA15" s="1576">
        <v>1</v>
      </c>
      <c r="AB15" s="1576">
        <v>1</v>
      </c>
      <c r="AC15" s="1576">
        <v>1</v>
      </c>
    </row>
    <row r="16" spans="1:29" ht="42.75">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730"/>
      <c r="Q16" s="1572" t="str">
        <f>B16</f>
        <v>公共配套设施</v>
      </c>
      <c r="R16" s="1573" t="s">
        <v>8</v>
      </c>
      <c r="S16" s="1574">
        <f>F16</f>
        <v>100</v>
      </c>
      <c r="T16" s="1573" t="s">
        <v>8</v>
      </c>
      <c r="U16" s="1574">
        <f>H16</f>
        <v>100</v>
      </c>
      <c r="V16" s="1573" t="s">
        <v>8</v>
      </c>
      <c r="W16" s="1574">
        <f>J16</f>
        <v>100</v>
      </c>
      <c r="X16" s="1567"/>
      <c r="Y16" s="373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730"/>
      <c r="Q17" s="1572"/>
      <c r="R17" s="1573"/>
      <c r="S17" s="1574"/>
      <c r="T17" s="1573"/>
      <c r="U17" s="1574"/>
      <c r="V17" s="1573"/>
      <c r="W17" s="1574"/>
      <c r="X17" s="1567"/>
      <c r="Y17" s="3730"/>
      <c r="Z17" s="1575"/>
      <c r="AA17" s="1576">
        <v>1</v>
      </c>
      <c r="AB17" s="1576">
        <v>1</v>
      </c>
      <c r="AC17" s="1576">
        <v>1</v>
      </c>
    </row>
    <row r="18" spans="1:29" ht="28.5">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730"/>
      <c r="Q18" s="2604" t="str">
        <f>B18</f>
        <v>基础设施水平</v>
      </c>
      <c r="R18" s="1573" t="s">
        <v>8</v>
      </c>
      <c r="S18" s="1574">
        <f>F18</f>
        <v>100</v>
      </c>
      <c r="T18" s="1573" t="s">
        <v>8</v>
      </c>
      <c r="U18" s="1574">
        <f>H18</f>
        <v>100</v>
      </c>
      <c r="V18" s="1573" t="s">
        <v>8</v>
      </c>
      <c r="W18" s="1574">
        <f>J18</f>
        <v>100</v>
      </c>
      <c r="X18" s="2606"/>
      <c r="Y18" s="3730"/>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730"/>
      <c r="Q19" s="2604"/>
      <c r="R19" s="1573"/>
      <c r="S19" s="1574"/>
      <c r="T19" s="1573"/>
      <c r="U19" s="1574"/>
      <c r="V19" s="1573"/>
      <c r="W19" s="1574"/>
      <c r="X19" s="2606"/>
      <c r="Y19" s="3730"/>
      <c r="Z19" s="2605"/>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730"/>
      <c r="Q20" s="1572" t="str">
        <f>B20</f>
        <v>自然及人文环境</v>
      </c>
      <c r="R20" s="1573" t="s">
        <v>8</v>
      </c>
      <c r="S20" s="1574">
        <f>F20</f>
        <v>100</v>
      </c>
      <c r="T20" s="1573" t="s">
        <v>8</v>
      </c>
      <c r="U20" s="1574">
        <f>H20</f>
        <v>100</v>
      </c>
      <c r="V20" s="1573" t="s">
        <v>8</v>
      </c>
      <c r="W20" s="1574">
        <f>J20</f>
        <v>100</v>
      </c>
      <c r="X20" s="1567"/>
      <c r="Y20" s="373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730"/>
      <c r="Q21" s="1572"/>
      <c r="R21" s="1573"/>
      <c r="S21" s="1574"/>
      <c r="T21" s="1573"/>
      <c r="U21" s="1574"/>
      <c r="V21" s="1573"/>
      <c r="W21" s="1574"/>
      <c r="X21" s="1567"/>
      <c r="Y21" s="3730"/>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30"/>
      <c r="Q22" s="1572" t="str">
        <f>B22</f>
        <v>楼层</v>
      </c>
      <c r="R22" s="1573" t="s">
        <v>8</v>
      </c>
      <c r="S22" s="1574">
        <f>F22</f>
        <v>100</v>
      </c>
      <c r="T22" s="1573" t="s">
        <v>8</v>
      </c>
      <c r="U22" s="1574">
        <f>H22</f>
        <v>100</v>
      </c>
      <c r="V22" s="1573" t="s">
        <v>8</v>
      </c>
      <c r="W22" s="1574">
        <f>J22</f>
        <v>100</v>
      </c>
      <c r="X22" s="1567"/>
      <c r="Y22" s="373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30"/>
      <c r="Q23" s="1572">
        <f>B23</f>
        <v>111</v>
      </c>
      <c r="R23" s="1573" t="s">
        <v>8</v>
      </c>
      <c r="S23" s="1574">
        <f>F23</f>
        <v>100</v>
      </c>
      <c r="T23" s="1573" t="s">
        <v>8</v>
      </c>
      <c r="U23" s="1574">
        <f>H23</f>
        <v>100</v>
      </c>
      <c r="V23" s="1573" t="s">
        <v>8</v>
      </c>
      <c r="W23" s="1574">
        <f>J23</f>
        <v>100</v>
      </c>
      <c r="X23" s="1567"/>
      <c r="Y23" s="373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30"/>
      <c r="Q24" s="1572">
        <f t="shared" ref="Q24:Q34" si="11">B24</f>
        <v>111</v>
      </c>
      <c r="R24" s="1573" t="s">
        <v>8</v>
      </c>
      <c r="S24" s="1574">
        <f>F24</f>
        <v>100</v>
      </c>
      <c r="T24" s="1573" t="s">
        <v>8</v>
      </c>
      <c r="U24" s="1574">
        <f>H24</f>
        <v>100</v>
      </c>
      <c r="V24" s="1573" t="s">
        <v>8</v>
      </c>
      <c r="W24" s="1574">
        <f>J24</f>
        <v>100</v>
      </c>
      <c r="X24" s="1567"/>
      <c r="Y24" s="373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730"/>
      <c r="Q25" s="1151">
        <f t="shared" si="11"/>
        <v>111</v>
      </c>
      <c r="R25" s="1568" t="s">
        <v>8</v>
      </c>
      <c r="S25" s="1569">
        <f>F25</f>
        <v>100</v>
      </c>
      <c r="T25" s="1568" t="s">
        <v>8</v>
      </c>
      <c r="U25" s="1569">
        <f>H25</f>
        <v>100</v>
      </c>
      <c r="V25" s="1568" t="s">
        <v>8</v>
      </c>
      <c r="W25" s="1569">
        <f>J25</f>
        <v>100</v>
      </c>
      <c r="X25" s="1570"/>
      <c r="Y25" s="3730"/>
      <c r="Z25" s="1150">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731"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32"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732"/>
      <c r="Q27" s="1605" t="str">
        <f t="shared" si="11"/>
        <v>成新率</v>
      </c>
      <c r="R27" s="1577" t="s">
        <v>8</v>
      </c>
      <c r="S27" s="1578" t="e">
        <f t="shared" si="12"/>
        <v>#N/A</v>
      </c>
      <c r="T27" s="1577" t="s">
        <v>8</v>
      </c>
      <c r="U27" s="1578" t="e">
        <f t="shared" si="13"/>
        <v>#N/A</v>
      </c>
      <c r="V27" s="1577" t="s">
        <v>8</v>
      </c>
      <c r="W27" s="1578" t="e">
        <f t="shared" si="14"/>
        <v>#N/A</v>
      </c>
      <c r="X27" s="1579"/>
      <c r="Y27" s="3732"/>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32"/>
      <c r="Q28" s="1572" t="str">
        <f t="shared" si="11"/>
        <v>物业等级</v>
      </c>
      <c r="R28" s="1573" t="s">
        <v>8</v>
      </c>
      <c r="S28" s="1574">
        <f t="shared" si="12"/>
        <v>100</v>
      </c>
      <c r="T28" s="1573" t="s">
        <v>8</v>
      </c>
      <c r="U28" s="1574">
        <f t="shared" si="13"/>
        <v>100</v>
      </c>
      <c r="V28" s="1573" t="s">
        <v>8</v>
      </c>
      <c r="W28" s="1574">
        <f t="shared" si="14"/>
        <v>100</v>
      </c>
      <c r="X28" s="1567"/>
      <c r="Y28" s="3732"/>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732"/>
      <c r="Q29" s="1572" t="str">
        <f t="shared" si="11"/>
        <v>有无电梯</v>
      </c>
      <c r="R29" s="1573" t="s">
        <v>8</v>
      </c>
      <c r="S29" s="1574">
        <f t="shared" si="12"/>
        <v>100</v>
      </c>
      <c r="T29" s="1573" t="s">
        <v>8</v>
      </c>
      <c r="U29" s="1574">
        <f t="shared" si="13"/>
        <v>100</v>
      </c>
      <c r="V29" s="1573" t="s">
        <v>8</v>
      </c>
      <c r="W29" s="1574">
        <f t="shared" si="14"/>
        <v>100</v>
      </c>
      <c r="X29" s="1567"/>
      <c r="Y29" s="3732"/>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732"/>
      <c r="Q30" s="1572" t="str">
        <f t="shared" si="11"/>
        <v>建筑面积</v>
      </c>
      <c r="R30" s="1573" t="s">
        <v>8</v>
      </c>
      <c r="S30" s="1574" t="e">
        <f t="shared" si="12"/>
        <v>#N/A</v>
      </c>
      <c r="T30" s="1573" t="s">
        <v>8</v>
      </c>
      <c r="U30" s="1574" t="e">
        <f t="shared" si="13"/>
        <v>#N/A</v>
      </c>
      <c r="V30" s="1573" t="s">
        <v>8</v>
      </c>
      <c r="W30" s="1574" t="e">
        <f t="shared" si="14"/>
        <v>#N/A</v>
      </c>
      <c r="X30" s="1567"/>
      <c r="Y30" s="3732"/>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732"/>
      <c r="Q31" s="1151" t="str">
        <f t="shared" si="11"/>
        <v>是否封闭</v>
      </c>
      <c r="R31" s="1568" t="s">
        <v>8</v>
      </c>
      <c r="S31" s="1569">
        <f t="shared" si="12"/>
        <v>100</v>
      </c>
      <c r="T31" s="1568" t="s">
        <v>8</v>
      </c>
      <c r="U31" s="1569">
        <f t="shared" si="13"/>
        <v>100</v>
      </c>
      <c r="V31" s="1568" t="s">
        <v>8</v>
      </c>
      <c r="W31" s="1569">
        <f t="shared" si="14"/>
        <v>100</v>
      </c>
      <c r="X31" s="1570"/>
      <c r="Y31" s="373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732" t="s">
        <v>549</v>
      </c>
      <c r="Q32" s="1572">
        <f t="shared" si="11"/>
        <v>111</v>
      </c>
      <c r="R32" s="1573" t="s">
        <v>8</v>
      </c>
      <c r="S32" s="1574">
        <f t="shared" si="12"/>
        <v>100</v>
      </c>
      <c r="T32" s="1573" t="s">
        <v>8</v>
      </c>
      <c r="U32" s="1574">
        <f t="shared" si="13"/>
        <v>100</v>
      </c>
      <c r="V32" s="1573" t="s">
        <v>8</v>
      </c>
      <c r="W32" s="1574">
        <f t="shared" si="14"/>
        <v>100</v>
      </c>
      <c r="X32" s="1567"/>
      <c r="Y32" s="3732"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732"/>
      <c r="Q33" s="1572">
        <f t="shared" si="11"/>
        <v>111</v>
      </c>
      <c r="R33" s="1573" t="s">
        <v>8</v>
      </c>
      <c r="S33" s="1574">
        <f t="shared" si="12"/>
        <v>100</v>
      </c>
      <c r="T33" s="1573" t="s">
        <v>8</v>
      </c>
      <c r="U33" s="1574">
        <f t="shared" si="13"/>
        <v>100</v>
      </c>
      <c r="V33" s="1573" t="s">
        <v>8</v>
      </c>
      <c r="W33" s="1574">
        <f t="shared" si="14"/>
        <v>100</v>
      </c>
      <c r="X33" s="1567"/>
      <c r="Y33" s="373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732"/>
      <c r="Q34" s="1572">
        <f t="shared" si="11"/>
        <v>111</v>
      </c>
      <c r="R34" s="1573" t="s">
        <v>8</v>
      </c>
      <c r="S34" s="1574">
        <f t="shared" si="12"/>
        <v>100</v>
      </c>
      <c r="T34" s="1573" t="s">
        <v>8</v>
      </c>
      <c r="U34" s="1574">
        <f t="shared" si="13"/>
        <v>100</v>
      </c>
      <c r="V34" s="1573" t="s">
        <v>8</v>
      </c>
      <c r="W34" s="1574">
        <f t="shared" si="14"/>
        <v>100</v>
      </c>
      <c r="X34" s="1567"/>
      <c r="Y34" s="3732"/>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727" t="str">
        <f>A35</f>
        <v>成交单价（元/平方米）</v>
      </c>
      <c r="Q35" s="3727"/>
      <c r="R35" s="3844">
        <f>E35</f>
        <v>0</v>
      </c>
      <c r="S35" s="3844"/>
      <c r="T35" s="3844">
        <f>G35</f>
        <v>0</v>
      </c>
      <c r="U35" s="3844"/>
      <c r="V35" s="3844">
        <f>I35</f>
        <v>0</v>
      </c>
      <c r="W35" s="3844"/>
      <c r="X35" s="1559"/>
      <c r="Y35" s="1581"/>
      <c r="Z35" s="1559"/>
      <c r="AA35" s="1559"/>
      <c r="AB35" s="1559"/>
      <c r="AC35" s="1559"/>
    </row>
    <row r="36" spans="1:29" ht="15.7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727" t="str">
        <f>A36</f>
        <v>比较价格（元/平方米）</v>
      </c>
      <c r="Q36" s="3727"/>
      <c r="R36" s="3844" t="e">
        <f>IF(F1="售价",ROUND(PRODUCT(R35,AA7:AA34),0),ROUND(PRODUCT(R35,AA7:AA34),1))</f>
        <v>#DIV/0!</v>
      </c>
      <c r="S36" s="3844"/>
      <c r="T36" s="3844" t="e">
        <f>IF(F1="售价",ROUND(PRODUCT(T35,AB7:AB34),0),ROUND(PRODUCT(T35,AB7:AB34),1))</f>
        <v>#DIV/0!</v>
      </c>
      <c r="U36" s="3844"/>
      <c r="V36" s="3844" t="e">
        <f>IF(F1="售价",ROUND(PRODUCT(V35,AC7:AC34),0),ROUND(PRODUCT(V35,AC7:AC34),1))</f>
        <v>#DIV/0!</v>
      </c>
      <c r="W36" s="3844"/>
      <c r="X36" s="1559"/>
      <c r="Y36" s="1559"/>
      <c r="Z36" s="1559"/>
      <c r="AA36" s="1559"/>
      <c r="AB36" s="1559"/>
      <c r="AC36" s="1559"/>
    </row>
    <row r="37" spans="1:29" ht="15.75" thickBot="1">
      <c r="A37" s="621" t="s">
        <v>2935</v>
      </c>
      <c r="B37" s="622"/>
      <c r="C37" s="2661" t="e">
        <f>R37</f>
        <v>#DIV/0!</v>
      </c>
      <c r="D37" s="2661"/>
      <c r="E37" s="2661"/>
      <c r="F37" s="2661"/>
      <c r="G37" s="2661"/>
      <c r="H37" s="2661"/>
      <c r="I37" s="2661"/>
      <c r="J37" s="2661"/>
      <c r="K37" s="1613"/>
      <c r="L37" s="2145"/>
      <c r="M37" s="2146"/>
      <c r="N37" s="2146"/>
      <c r="O37" s="2146"/>
      <c r="P37" s="3748" t="str">
        <f>A37</f>
        <v>估价对象XX用房的比较价格（楼面单价，元/平方米）</v>
      </c>
      <c r="Q37" s="3749"/>
      <c r="R37" s="3843" t="e">
        <f>IF(F1="售价",ROUND(AVERAGE(R36:V36),0),ROUND(AVERAGE(R36:V36),1))</f>
        <v>#DIV/0!</v>
      </c>
      <c r="S37" s="3843"/>
      <c r="T37" s="3843"/>
      <c r="U37" s="3843"/>
      <c r="V37" s="3843"/>
      <c r="W37" s="384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528</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853" t="s">
        <v>2306</v>
      </c>
      <c r="D1" s="3854"/>
      <c r="E1" s="3854"/>
      <c r="F1" s="3854"/>
      <c r="G1" s="3854"/>
      <c r="H1" s="3854"/>
      <c r="I1" s="3854"/>
      <c r="J1" s="3854"/>
      <c r="K1" s="3854"/>
      <c r="L1" s="3854"/>
      <c r="M1" s="3854"/>
      <c r="N1" s="3854"/>
      <c r="O1" s="3854"/>
      <c r="P1" s="3854"/>
      <c r="Q1" s="3854"/>
      <c r="R1" s="3854"/>
      <c r="S1" s="3855"/>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850" t="s">
        <v>20</v>
      </c>
      <c r="D22" s="3851"/>
      <c r="E22" s="3851"/>
      <c r="F22" s="3851"/>
      <c r="G22" s="3851"/>
      <c r="H22" s="3851"/>
      <c r="I22" s="3851"/>
      <c r="J22" s="3851"/>
      <c r="K22" s="3851"/>
      <c r="L22" s="3851"/>
      <c r="M22" s="3851"/>
      <c r="N22" s="3851"/>
      <c r="O22" s="3851"/>
      <c r="P22" s="3851"/>
      <c r="Q22" s="3852"/>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0" t="s">
        <v>2040</v>
      </c>
      <c r="B1" s="3550"/>
      <c r="C1" s="3550"/>
      <c r="D1" s="3550"/>
      <c r="E1" s="3550"/>
      <c r="F1" s="3550"/>
      <c r="G1" s="3550"/>
      <c r="H1" s="3550"/>
      <c r="I1" s="3550"/>
      <c r="J1" s="3550"/>
      <c r="K1" s="3550"/>
      <c r="L1" s="3550"/>
      <c r="M1" s="3550"/>
      <c r="N1" s="3550"/>
      <c r="O1" s="3550"/>
      <c r="P1" s="3550"/>
      <c r="Q1" s="3550"/>
      <c r="R1" s="3550"/>
    </row>
    <row r="2" spans="1:18">
      <c r="A2" s="1808" t="s">
        <v>2042</v>
      </c>
      <c r="B2" s="1808"/>
      <c r="C2" s="1808"/>
      <c r="D2" s="1808"/>
      <c r="E2" s="1808"/>
      <c r="F2" s="1808"/>
      <c r="G2" s="1808"/>
      <c r="H2" s="1808"/>
      <c r="I2" s="1809"/>
      <c r="J2" s="1809"/>
      <c r="K2" s="1810" t="str">
        <f>"估价期日："&amp;TEXT(项目基本情况!D3,"yyyy年m月d日;;")</f>
        <v>估价期日：2018年5月31日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51" t="s">
        <v>2031</v>
      </c>
      <c r="B3" s="3551" t="s">
        <v>2734</v>
      </c>
      <c r="C3" s="3552" t="s">
        <v>2032</v>
      </c>
      <c r="D3" s="3551" t="s">
        <v>2738</v>
      </c>
      <c r="E3" s="3554" t="s">
        <v>2033</v>
      </c>
      <c r="F3" s="3554"/>
      <c r="G3" s="3554"/>
      <c r="H3" s="3554" t="s">
        <v>2034</v>
      </c>
      <c r="I3" s="3554"/>
      <c r="J3" s="3554"/>
      <c r="K3" s="3552" t="s">
        <v>2035</v>
      </c>
      <c r="L3" s="3552" t="s">
        <v>2036</v>
      </c>
      <c r="M3" s="3551" t="s">
        <v>2735</v>
      </c>
      <c r="N3" s="3553" t="str">
        <f>"（分摊）"&amp;项目基本情况!B16&amp;"国有建设用地使用权面积/㎡"</f>
        <v>（分摊）出让国有建设用地使用权面积/㎡</v>
      </c>
      <c r="O3" s="3551" t="s">
        <v>2065</v>
      </c>
      <c r="P3" s="3552" t="s">
        <v>2045</v>
      </c>
      <c r="Q3" s="3552" t="s">
        <v>2066</v>
      </c>
      <c r="R3" s="3552" t="s">
        <v>2037</v>
      </c>
    </row>
    <row r="4" spans="1:18" ht="36.75" customHeight="1">
      <c r="A4" s="3551"/>
      <c r="B4" s="3551"/>
      <c r="C4" s="3552"/>
      <c r="D4" s="3551"/>
      <c r="E4" s="2674" t="s">
        <v>2044</v>
      </c>
      <c r="F4" s="2674" t="s">
        <v>2747</v>
      </c>
      <c r="G4" s="2674" t="s">
        <v>2038</v>
      </c>
      <c r="H4" s="2674" t="s">
        <v>2039</v>
      </c>
      <c r="I4" s="2674" t="s">
        <v>2748</v>
      </c>
      <c r="J4" s="2674" t="s">
        <v>2038</v>
      </c>
      <c r="K4" s="3552"/>
      <c r="L4" s="3552"/>
      <c r="M4" s="3551"/>
      <c r="N4" s="3553"/>
      <c r="O4" s="3551"/>
      <c r="P4" s="3552"/>
      <c r="Q4" s="3552"/>
      <c r="R4" s="3552"/>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182153.37</v>
      </c>
      <c r="O5" s="1811">
        <f>项目基本情况!C21</f>
        <v>60473.499999999985</v>
      </c>
      <c r="P5" s="1811">
        <f ca="1">结果表!E42</f>
        <v>8097</v>
      </c>
      <c r="Q5" s="1811">
        <f ca="1">结果表!D42</f>
        <v>24391</v>
      </c>
      <c r="R5" s="1812">
        <f ca="1">结果表!C42</f>
        <v>147498</v>
      </c>
    </row>
    <row r="6" spans="1:18">
      <c r="A6" s="3547" t="str">
        <f>IF(项目基本情况!B9="市场价格","——","抵押价格")</f>
        <v>——</v>
      </c>
      <c r="B6" s="3548"/>
      <c r="C6" s="3548"/>
      <c r="D6" s="3548"/>
      <c r="E6" s="3548"/>
      <c r="F6" s="3548"/>
      <c r="G6" s="3548"/>
      <c r="H6" s="3548"/>
      <c r="I6" s="3548"/>
      <c r="J6" s="3548"/>
      <c r="K6" s="3548"/>
      <c r="L6" s="3548"/>
      <c r="M6" s="3548"/>
      <c r="N6" s="3548"/>
      <c r="O6" s="3548"/>
      <c r="P6" s="3548"/>
      <c r="Q6" s="3549"/>
      <c r="R6" s="1813" t="str">
        <f>结果表!O39</f>
        <v>——</v>
      </c>
    </row>
    <row r="7" spans="1:18">
      <c r="A7" s="3547" t="str">
        <f>IF(项目基本情况!B9="市场价格","——",IF(项目基本情况!E8="已注销及未注销","抵押担保权已注销时的抵押价格","——"))</f>
        <v>——</v>
      </c>
      <c r="B7" s="3548"/>
      <c r="C7" s="3548"/>
      <c r="D7" s="3548"/>
      <c r="E7" s="3548"/>
      <c r="F7" s="3548"/>
      <c r="G7" s="3548"/>
      <c r="H7" s="3548"/>
      <c r="I7" s="3548"/>
      <c r="J7" s="3548"/>
      <c r="K7" s="3548"/>
      <c r="L7" s="3548"/>
      <c r="M7" s="3548"/>
      <c r="N7" s="3548"/>
      <c r="O7" s="3548"/>
      <c r="P7" s="3548"/>
      <c r="Q7" s="3549"/>
      <c r="R7" s="1813" t="str">
        <f>结果表!O40</f>
        <v>——</v>
      </c>
    </row>
    <row r="8" spans="1:18">
      <c r="A8" s="3547" t="str">
        <f>IF(项目基本情况!B9="市场价格","——",项目基本情况!E9)</f>
        <v>——</v>
      </c>
      <c r="B8" s="3548"/>
      <c r="C8" s="3548"/>
      <c r="D8" s="3548"/>
      <c r="E8" s="3548"/>
      <c r="F8" s="3548"/>
      <c r="G8" s="3548"/>
      <c r="H8" s="3548"/>
      <c r="I8" s="3548"/>
      <c r="J8" s="3548"/>
      <c r="K8" s="3548"/>
      <c r="L8" s="3548"/>
      <c r="M8" s="3548"/>
      <c r="N8" s="3548"/>
      <c r="O8" s="3548"/>
      <c r="P8" s="3548"/>
      <c r="Q8" s="3549"/>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41"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C17" sqref="C17:C23"/>
    </sheetView>
  </sheetViews>
  <sheetFormatPr defaultColWidth="8.375" defaultRowHeight="12.75"/>
  <cols>
    <col min="1" max="1" width="13.62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12163</v>
      </c>
      <c r="C2" s="2109"/>
      <c r="D2" s="2109"/>
      <c r="E2" s="2109"/>
      <c r="F2" s="2109"/>
      <c r="G2" s="2109"/>
    </row>
    <row r="3" spans="1:25" s="2060" customFormat="1" ht="18" customHeight="1">
      <c r="A3" s="1379" t="s">
        <v>1685</v>
      </c>
      <c r="B3" s="425">
        <f ca="1">ROUND(B2*10000/'数据-汇总表'!E3,0)</f>
        <v>2011</v>
      </c>
      <c r="C3" s="2109"/>
      <c r="D3" s="2109"/>
      <c r="E3" s="2109"/>
      <c r="F3" s="2109"/>
      <c r="G3" s="2109"/>
    </row>
    <row r="4" spans="1:25" s="2060" customFormat="1" ht="18" customHeight="1">
      <c r="A4" s="426" t="s">
        <v>467</v>
      </c>
      <c r="B4" s="427">
        <f ca="1">ROUND(B2*10000/'数据-汇总表'!D3,0)</f>
        <v>668</v>
      </c>
      <c r="C4" s="2062"/>
      <c r="D4" s="2109"/>
      <c r="E4" s="2109"/>
      <c r="F4" s="2109"/>
      <c r="G4" s="2109"/>
    </row>
    <row r="5" spans="1:25" s="2060" customFormat="1" ht="18" customHeight="1" thickBot="1">
      <c r="A5" s="429"/>
      <c r="B5" s="430">
        <f ca="1">ROUND(B2/('数据-汇总表'!D3/666.67),0)</f>
        <v>45</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9831</v>
      </c>
      <c r="D7" s="749"/>
      <c r="E7" s="750"/>
      <c r="F7" s="750"/>
      <c r="G7" s="2504" t="s">
        <v>3138</v>
      </c>
    </row>
    <row r="8" spans="1:25" s="2184" customFormat="1" ht="13.5" customHeight="1">
      <c r="A8" s="2494" t="s">
        <v>2443</v>
      </c>
      <c r="B8" s="2497" t="s">
        <v>2445</v>
      </c>
      <c r="C8" s="2498">
        <f>ROUND(9036*'结果一览表 (基)'!F5/10000,0)</f>
        <v>9831</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956</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1376</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12163</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9">
        <v>0</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12163</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v>0</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C21</f>
        <v>12163</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formatCells="0" formatColumns="0" formatRows="0"/>
  <phoneticPr fontId="23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
  <sheetViews>
    <sheetView topLeftCell="P1" workbookViewId="0">
      <selection activeCell="AB18" sqref="AB18"/>
    </sheetView>
  </sheetViews>
  <sheetFormatPr defaultRowHeight="13.5"/>
  <cols>
    <col min="1" max="1" width="5" style="3399" customWidth="1"/>
    <col min="2" max="2" width="9" style="3399"/>
    <col min="3" max="3" width="22.625" style="3399" customWidth="1"/>
    <col min="4" max="10" width="9" style="3399"/>
    <col min="11" max="11" width="16.25" style="3399" customWidth="1"/>
    <col min="12" max="15" width="9" style="3399"/>
    <col min="16" max="16" width="11.5" style="3399" customWidth="1"/>
    <col min="17" max="17" width="9" style="3399"/>
    <col min="18" max="18" width="12.375" style="3399" customWidth="1"/>
    <col min="19" max="20" width="9" style="3399"/>
    <col min="21" max="21" width="11.25" style="3399" customWidth="1"/>
    <col min="22" max="22" width="11" style="3399" customWidth="1"/>
    <col min="23" max="23" width="11.875" style="3399" customWidth="1"/>
    <col min="24" max="27" width="9" style="3399"/>
    <col min="28" max="28" width="10.25" style="3399" bestFit="1" customWidth="1"/>
    <col min="29" max="16384" width="9" style="3399"/>
  </cols>
  <sheetData>
    <row r="1" spans="1:32" s="3358" customFormat="1" ht="21.75" customHeight="1">
      <c r="B1" s="3858" t="s">
        <v>3359</v>
      </c>
      <c r="C1" s="3858" t="s">
        <v>3360</v>
      </c>
      <c r="D1" s="3858" t="s">
        <v>3361</v>
      </c>
      <c r="E1" s="3858" t="s">
        <v>3362</v>
      </c>
      <c r="F1" s="3858" t="s">
        <v>3363</v>
      </c>
      <c r="G1" s="3858" t="s">
        <v>3364</v>
      </c>
      <c r="H1" s="3861" t="s">
        <v>3365</v>
      </c>
      <c r="I1" s="3862"/>
      <c r="J1" s="3863" t="s">
        <v>3366</v>
      </c>
      <c r="K1" s="3863" t="s">
        <v>3367</v>
      </c>
      <c r="L1" s="3858" t="s">
        <v>3368</v>
      </c>
      <c r="M1" s="3865" t="s">
        <v>3369</v>
      </c>
      <c r="N1" s="3866"/>
      <c r="O1" s="3866"/>
      <c r="P1" s="3866"/>
      <c r="Q1" s="3866"/>
      <c r="R1" s="3866"/>
      <c r="S1" s="3866"/>
      <c r="T1" s="3867"/>
      <c r="U1" s="3856" t="s">
        <v>3370</v>
      </c>
      <c r="V1" s="3858" t="s">
        <v>3371</v>
      </c>
      <c r="W1" s="3858" t="s">
        <v>3372</v>
      </c>
      <c r="X1" s="3858" t="s">
        <v>3373</v>
      </c>
      <c r="Y1" s="3868" t="s">
        <v>3374</v>
      </c>
      <c r="Z1" s="3858" t="s">
        <v>3375</v>
      </c>
      <c r="AA1" s="3858" t="s">
        <v>3376</v>
      </c>
      <c r="AB1" s="3856" t="s">
        <v>3524</v>
      </c>
    </row>
    <row r="2" spans="1:32" s="3358" customFormat="1" ht="56.25">
      <c r="B2" s="3859"/>
      <c r="C2" s="3860"/>
      <c r="D2" s="3860"/>
      <c r="E2" s="3860"/>
      <c r="F2" s="3860"/>
      <c r="G2" s="3860"/>
      <c r="H2" s="3359" t="s">
        <v>3377</v>
      </c>
      <c r="I2" s="3359" t="s">
        <v>3378</v>
      </c>
      <c r="J2" s="3864"/>
      <c r="K2" s="3864"/>
      <c r="L2" s="3859"/>
      <c r="M2" s="3359" t="s">
        <v>3379</v>
      </c>
      <c r="N2" s="3359" t="s">
        <v>3380</v>
      </c>
      <c r="O2" s="3360" t="s">
        <v>3523</v>
      </c>
      <c r="P2" s="3359" t="s">
        <v>3381</v>
      </c>
      <c r="Q2" s="3359" t="s">
        <v>3382</v>
      </c>
      <c r="R2" s="3359" t="s">
        <v>3383</v>
      </c>
      <c r="S2" s="3359" t="s">
        <v>3384</v>
      </c>
      <c r="T2" s="3361" t="s">
        <v>3368</v>
      </c>
      <c r="U2" s="3857"/>
      <c r="V2" s="3860"/>
      <c r="W2" s="3860"/>
      <c r="X2" s="3860"/>
      <c r="Y2" s="3868"/>
      <c r="Z2" s="3860"/>
      <c r="AA2" s="3860"/>
      <c r="AB2" s="3857"/>
    </row>
    <row r="3" spans="1:32" s="3362" customFormat="1" ht="58.5" customHeight="1">
      <c r="A3" s="3362" t="s">
        <v>3385</v>
      </c>
      <c r="B3" s="3363">
        <v>2015</v>
      </c>
      <c r="C3" s="3364" t="s">
        <v>3386</v>
      </c>
      <c r="D3" s="3364" t="s">
        <v>3387</v>
      </c>
      <c r="E3" s="3364" t="s">
        <v>3388</v>
      </c>
      <c r="F3" s="3364" t="s">
        <v>3389</v>
      </c>
      <c r="G3" s="3364" t="s">
        <v>3390</v>
      </c>
      <c r="H3" s="3364">
        <v>10.06</v>
      </c>
      <c r="I3" s="3364">
        <v>6.56</v>
      </c>
      <c r="J3" s="3364">
        <v>19.37</v>
      </c>
      <c r="K3" s="3364">
        <v>360883.63</v>
      </c>
      <c r="L3" s="3365" t="s">
        <v>3391</v>
      </c>
      <c r="M3" s="3366" t="s">
        <v>3392</v>
      </c>
      <c r="N3" s="3366" t="s">
        <v>3393</v>
      </c>
      <c r="O3" s="3366">
        <v>98.7</v>
      </c>
      <c r="P3" s="3366">
        <v>1318636.3400000001</v>
      </c>
      <c r="Q3" s="3364">
        <f t="shared" ref="Q3:Q9" si="0">P3/O3</f>
        <v>13360.043971631207</v>
      </c>
      <c r="R3" s="3366">
        <v>976555.7</v>
      </c>
      <c r="S3" s="3364">
        <f t="shared" ref="S3:S9" si="1">R3/O3</f>
        <v>9894.1813576494424</v>
      </c>
      <c r="T3" s="3367" t="s">
        <v>3394</v>
      </c>
      <c r="U3" s="3364">
        <f t="shared" ref="U3:U9" si="2">SUM(V3:Y3)</f>
        <v>976555.7</v>
      </c>
      <c r="V3" s="3364">
        <v>158871.53</v>
      </c>
      <c r="W3" s="3366">
        <v>780998.98</v>
      </c>
      <c r="X3" s="3366">
        <v>36685.19</v>
      </c>
      <c r="Y3" s="3366"/>
      <c r="Z3" s="3368">
        <f>V3/O3</f>
        <v>1609.64062816616</v>
      </c>
      <c r="AA3" s="3368">
        <f>W3/O3</f>
        <v>7912.8569402228968</v>
      </c>
      <c r="AB3" s="3369">
        <f>U3/O3</f>
        <v>9894.1813576494424</v>
      </c>
      <c r="AD3" s="3362">
        <v>9894.18</v>
      </c>
      <c r="AF3" s="3362">
        <v>660</v>
      </c>
    </row>
    <row r="4" spans="1:32" s="3370" customFormat="1" ht="61.5" customHeight="1">
      <c r="B4" s="3371">
        <v>2015</v>
      </c>
      <c r="C4" s="3372" t="s">
        <v>3395</v>
      </c>
      <c r="D4" s="3372" t="s">
        <v>3396</v>
      </c>
      <c r="E4" s="3372" t="s">
        <v>3397</v>
      </c>
      <c r="F4" s="3372" t="s">
        <v>3398</v>
      </c>
      <c r="G4" s="3372" t="s">
        <v>3399</v>
      </c>
      <c r="H4" s="3372">
        <v>3.8881000000000001</v>
      </c>
      <c r="I4" s="3372">
        <v>2.6985000000000001</v>
      </c>
      <c r="J4" s="3372">
        <v>13.4925</v>
      </c>
      <c r="K4" s="3372">
        <v>38207.550000000003</v>
      </c>
      <c r="L4" s="3373" t="s">
        <v>3400</v>
      </c>
      <c r="M4" s="3372" t="s">
        <v>3401</v>
      </c>
      <c r="N4" s="3372" t="s">
        <v>3402</v>
      </c>
      <c r="O4" s="3372">
        <v>3.89</v>
      </c>
      <c r="P4" s="3372">
        <v>38207.550000000003</v>
      </c>
      <c r="Q4" s="3372">
        <f t="shared" si="0"/>
        <v>9821.9922879177375</v>
      </c>
      <c r="R4" s="3372">
        <v>23028.04</v>
      </c>
      <c r="S4" s="3372">
        <f t="shared" si="1"/>
        <v>5919.8046272493575</v>
      </c>
      <c r="T4" s="3374" t="s">
        <v>3403</v>
      </c>
      <c r="U4" s="3372">
        <f t="shared" si="2"/>
        <v>23028.04</v>
      </c>
      <c r="V4" s="3372">
        <v>683.02</v>
      </c>
      <c r="W4" s="3372">
        <v>22345.02</v>
      </c>
      <c r="X4" s="3372"/>
      <c r="Y4" s="3372"/>
      <c r="Z4" s="3375">
        <f t="shared" ref="Z4:Z9" si="3">V4/O4</f>
        <v>175.5835475578406</v>
      </c>
      <c r="AA4" s="3375">
        <f t="shared" ref="AA4:AA9" si="4">W4/O4</f>
        <v>5744.2210796915169</v>
      </c>
      <c r="AB4" s="3376">
        <f t="shared" ref="AB4:AB9" si="5">U4/O4</f>
        <v>5919.8046272493575</v>
      </c>
      <c r="AE4" s="3370">
        <v>5919.8046272493575</v>
      </c>
    </row>
    <row r="5" spans="1:32" s="3377" customFormat="1" ht="58.5" customHeight="1">
      <c r="A5" s="3377" t="s">
        <v>3404</v>
      </c>
      <c r="B5" s="3378">
        <v>2015</v>
      </c>
      <c r="C5" s="3379" t="s">
        <v>3405</v>
      </c>
      <c r="D5" s="3379" t="s">
        <v>3406</v>
      </c>
      <c r="E5" s="3379" t="s">
        <v>3407</v>
      </c>
      <c r="F5" s="3379" t="s">
        <v>3408</v>
      </c>
      <c r="G5" s="3379" t="s">
        <v>3409</v>
      </c>
      <c r="H5" s="3379">
        <v>24.27</v>
      </c>
      <c r="I5" s="3379">
        <v>24.27</v>
      </c>
      <c r="J5" s="3379">
        <v>47.94</v>
      </c>
      <c r="K5" s="3379">
        <v>773077.49</v>
      </c>
      <c r="L5" s="3380" t="s">
        <v>3410</v>
      </c>
      <c r="M5" s="3379" t="s">
        <v>3411</v>
      </c>
      <c r="N5" s="3381" t="s">
        <v>3412</v>
      </c>
      <c r="O5" s="3382" t="s">
        <v>3413</v>
      </c>
      <c r="P5" s="3379">
        <v>1760613.68</v>
      </c>
      <c r="Q5" s="3379" t="e">
        <f t="shared" si="0"/>
        <v>#VALUE!</v>
      </c>
      <c r="R5" s="3379">
        <v>1341321.8999999999</v>
      </c>
      <c r="S5" s="3379">
        <f>R5/653.95</f>
        <v>2051.1077299487724</v>
      </c>
      <c r="T5" s="3383" t="s">
        <v>3414</v>
      </c>
      <c r="U5" s="3382">
        <f>SUM(V5:Y5)</f>
        <v>1341321.8999999999</v>
      </c>
      <c r="V5" s="3379">
        <v>243024.04</v>
      </c>
      <c r="W5" s="3379">
        <v>1017473.19</v>
      </c>
      <c r="X5" s="3379"/>
      <c r="Y5" s="3379">
        <v>80824.67</v>
      </c>
      <c r="Z5" s="3384">
        <f>V5/653.95</f>
        <v>371.62480311950452</v>
      </c>
      <c r="AA5" s="3384">
        <f>W5/653.95</f>
        <v>1555.8883553788514</v>
      </c>
      <c r="AB5" s="3385">
        <f>U5/653.95</f>
        <v>2051.1077299487724</v>
      </c>
      <c r="AD5" s="3377">
        <v>2051.11</v>
      </c>
      <c r="AF5" s="3377">
        <v>137</v>
      </c>
    </row>
    <row r="6" spans="1:32" s="3386" customFormat="1" ht="54" customHeight="1">
      <c r="B6" s="3387">
        <v>2016</v>
      </c>
      <c r="C6" s="3388" t="s">
        <v>3415</v>
      </c>
      <c r="D6" s="3388" t="s">
        <v>3416</v>
      </c>
      <c r="E6" s="3388" t="s">
        <v>3407</v>
      </c>
      <c r="F6" s="3388" t="s">
        <v>3417</v>
      </c>
      <c r="G6" s="3388" t="s">
        <v>3418</v>
      </c>
      <c r="H6" s="3388">
        <v>23.43</v>
      </c>
      <c r="I6" s="3388">
        <v>9.76</v>
      </c>
      <c r="J6" s="3388">
        <v>52</v>
      </c>
      <c r="K6" s="3388">
        <v>458739.84</v>
      </c>
      <c r="L6" s="3389" t="s">
        <v>3419</v>
      </c>
      <c r="M6" s="3388" t="s">
        <v>3420</v>
      </c>
      <c r="N6" s="3390" t="s">
        <v>3421</v>
      </c>
      <c r="O6" s="3382">
        <v>93.71</v>
      </c>
      <c r="P6" s="3388">
        <v>1455282.08</v>
      </c>
      <c r="Q6" s="3388">
        <f t="shared" si="0"/>
        <v>15529.634830861169</v>
      </c>
      <c r="R6" s="3388">
        <v>1017422.86</v>
      </c>
      <c r="S6" s="3388">
        <f t="shared" si="1"/>
        <v>10857.142887632057</v>
      </c>
      <c r="T6" s="3391" t="s">
        <v>3414</v>
      </c>
      <c r="U6" s="3382">
        <f t="shared" si="2"/>
        <v>1017422.86</v>
      </c>
      <c r="V6" s="3388">
        <v>235824.42</v>
      </c>
      <c r="W6" s="3388">
        <v>781598.44</v>
      </c>
      <c r="X6" s="3388"/>
      <c r="Y6" s="3388"/>
      <c r="Z6" s="3392">
        <f t="shared" si="3"/>
        <v>2516.5342012592041</v>
      </c>
      <c r="AA6" s="3392">
        <f t="shared" si="4"/>
        <v>8340.6086863728524</v>
      </c>
      <c r="AB6" s="3369">
        <f t="shared" si="5"/>
        <v>10857.142887632057</v>
      </c>
    </row>
    <row r="7" spans="1:32" s="3386" customFormat="1" ht="37.5" customHeight="1">
      <c r="B7" s="3387">
        <v>2016</v>
      </c>
      <c r="C7" s="3388" t="s">
        <v>3422</v>
      </c>
      <c r="D7" s="3388" t="s">
        <v>3423</v>
      </c>
      <c r="E7" s="3388" t="s">
        <v>3407</v>
      </c>
      <c r="F7" s="3388" t="s">
        <v>3424</v>
      </c>
      <c r="G7" s="3390" t="s">
        <v>3425</v>
      </c>
      <c r="H7" s="3388">
        <v>42.48</v>
      </c>
      <c r="I7" s="3388">
        <v>22.79</v>
      </c>
      <c r="J7" s="3388">
        <v>24.73</v>
      </c>
      <c r="K7" s="3388">
        <v>74295.679999999993</v>
      </c>
      <c r="L7" s="3389" t="s">
        <v>3426</v>
      </c>
      <c r="M7" s="3393" t="s">
        <v>3427</v>
      </c>
      <c r="N7" s="3390" t="s">
        <v>3421</v>
      </c>
      <c r="O7" s="3382">
        <v>42.48</v>
      </c>
      <c r="P7" s="3393">
        <v>74295.679999999993</v>
      </c>
      <c r="Q7" s="3388">
        <f t="shared" si="0"/>
        <v>1748.9566854990583</v>
      </c>
      <c r="R7" s="3393">
        <v>45977.73</v>
      </c>
      <c r="S7" s="3388">
        <f t="shared" si="1"/>
        <v>1082.3382768361585</v>
      </c>
      <c r="T7" s="3391" t="s">
        <v>3414</v>
      </c>
      <c r="U7" s="3382">
        <f t="shared" si="2"/>
        <v>45977.73</v>
      </c>
      <c r="V7" s="3388">
        <v>11017.93</v>
      </c>
      <c r="W7" s="3393">
        <v>34959.800000000003</v>
      </c>
      <c r="X7" s="3393"/>
      <c r="Y7" s="3393"/>
      <c r="Z7" s="3392">
        <f t="shared" si="3"/>
        <v>259.36746704331455</v>
      </c>
      <c r="AA7" s="3392">
        <f t="shared" si="4"/>
        <v>822.97080979284385</v>
      </c>
      <c r="AB7" s="3369">
        <f t="shared" si="5"/>
        <v>1082.3382768361585</v>
      </c>
    </row>
    <row r="8" spans="1:32" s="3362" customFormat="1" ht="37.5" customHeight="1">
      <c r="B8" s="3394">
        <v>2016</v>
      </c>
      <c r="C8" s="3364" t="s">
        <v>3428</v>
      </c>
      <c r="D8" s="3364" t="s">
        <v>3429</v>
      </c>
      <c r="E8" s="3364" t="s">
        <v>3407</v>
      </c>
      <c r="F8" s="3364" t="s">
        <v>3430</v>
      </c>
      <c r="G8" s="3364" t="s">
        <v>3431</v>
      </c>
      <c r="H8" s="3364">
        <v>17.920000000000002</v>
      </c>
      <c r="I8" s="3364">
        <v>5.19</v>
      </c>
      <c r="J8" s="3364">
        <v>15.57</v>
      </c>
      <c r="K8" s="3364">
        <v>402756.93</v>
      </c>
      <c r="L8" s="3395" t="s">
        <v>3432</v>
      </c>
      <c r="M8" s="3364" t="s">
        <v>3433</v>
      </c>
      <c r="N8" s="3366" t="s">
        <v>3421</v>
      </c>
      <c r="O8" s="3382" t="s">
        <v>3434</v>
      </c>
      <c r="P8" s="3364">
        <v>1427032.95</v>
      </c>
      <c r="Q8" s="3364" t="e">
        <f t="shared" si="0"/>
        <v>#VALUE!</v>
      </c>
      <c r="R8" s="3364">
        <v>1157118.46</v>
      </c>
      <c r="S8" s="3364">
        <f>R8/234.67</f>
        <v>4930.832488174884</v>
      </c>
      <c r="T8" s="3395" t="s">
        <v>3414</v>
      </c>
      <c r="U8" s="3382">
        <f t="shared" si="2"/>
        <v>1157118.46</v>
      </c>
      <c r="V8" s="3364">
        <v>104764.39</v>
      </c>
      <c r="W8" s="3364">
        <v>1052354.07</v>
      </c>
      <c r="X8" s="3364"/>
      <c r="Y8" s="3364"/>
      <c r="Z8" s="3368">
        <f>V8/234.67</f>
        <v>446.43282055652622</v>
      </c>
      <c r="AA8" s="3368">
        <f>W8/234.67</f>
        <v>4484.3996676183579</v>
      </c>
      <c r="AB8" s="3396">
        <f>U8/234.67</f>
        <v>4930.832488174884</v>
      </c>
      <c r="AE8" s="3362">
        <v>4930.832488174884</v>
      </c>
    </row>
    <row r="9" spans="1:32" s="3377" customFormat="1" ht="54" customHeight="1">
      <c r="A9" s="3377" t="s">
        <v>3435</v>
      </c>
      <c r="B9" s="3397">
        <v>2016</v>
      </c>
      <c r="C9" s="3379" t="s">
        <v>3436</v>
      </c>
      <c r="D9" s="3379" t="s">
        <v>3437</v>
      </c>
      <c r="E9" s="3379" t="s">
        <v>3407</v>
      </c>
      <c r="F9" s="3379" t="s">
        <v>3438</v>
      </c>
      <c r="G9" s="3379" t="s">
        <v>3439</v>
      </c>
      <c r="H9" s="3379">
        <v>18.43</v>
      </c>
      <c r="I9" s="3379">
        <v>5.5</v>
      </c>
      <c r="J9" s="3379">
        <v>10.029999999999999</v>
      </c>
      <c r="K9" s="3379">
        <v>98018.04</v>
      </c>
      <c r="L9" s="3398" t="s">
        <v>3440</v>
      </c>
      <c r="M9" s="3379" t="s">
        <v>3441</v>
      </c>
      <c r="N9" s="3381" t="s">
        <v>3421</v>
      </c>
      <c r="O9" s="3382">
        <v>50.75</v>
      </c>
      <c r="P9" s="3379">
        <v>368438.01</v>
      </c>
      <c r="Q9" s="3379">
        <f t="shared" si="0"/>
        <v>7259.8622660098526</v>
      </c>
      <c r="R9" s="3379">
        <v>285664.32</v>
      </c>
      <c r="S9" s="3379">
        <f t="shared" si="1"/>
        <v>5628.8535960591134</v>
      </c>
      <c r="T9" s="3383" t="s">
        <v>3414</v>
      </c>
      <c r="U9" s="3382">
        <f t="shared" si="2"/>
        <v>285664.32</v>
      </c>
      <c r="V9" s="3379">
        <v>27401.06</v>
      </c>
      <c r="W9" s="3379">
        <v>258263.26</v>
      </c>
      <c r="X9" s="3379"/>
      <c r="Y9" s="3379"/>
      <c r="Z9" s="3384">
        <f t="shared" si="3"/>
        <v>539.92236453201974</v>
      </c>
      <c r="AA9" s="3384">
        <f t="shared" si="4"/>
        <v>5088.9312315270936</v>
      </c>
      <c r="AB9" s="3396">
        <f t="shared" si="5"/>
        <v>5628.8535960591134</v>
      </c>
      <c r="AD9" s="3377">
        <v>5628.85</v>
      </c>
      <c r="AE9" s="3377">
        <v>5628.85</v>
      </c>
      <c r="AF9" s="3377">
        <v>375</v>
      </c>
    </row>
    <row r="10" spans="1:32">
      <c r="B10" s="3399">
        <v>2017</v>
      </c>
      <c r="H10" s="3399">
        <v>15.28</v>
      </c>
      <c r="I10" s="3399">
        <v>4.4000000000000004</v>
      </c>
      <c r="K10" s="3399">
        <v>173155.75</v>
      </c>
      <c r="V10" s="3399">
        <v>0</v>
      </c>
    </row>
    <row r="11" spans="1:32" s="3447" customFormat="1" ht="42" customHeight="1">
      <c r="C11" s="3379" t="s">
        <v>3567</v>
      </c>
      <c r="O11" s="3447">
        <v>54.943399999999997</v>
      </c>
      <c r="U11" s="3447">
        <v>148296.41099999999</v>
      </c>
      <c r="Z11" s="3448"/>
      <c r="AA11" s="3449"/>
      <c r="AB11" s="3447">
        <f>U11/O11</f>
        <v>2699.0759763684082</v>
      </c>
      <c r="AC11" s="3450" t="s">
        <v>3521</v>
      </c>
      <c r="AD11" s="3447">
        <f>(AD3+AD5+AD9)/3</f>
        <v>5858.0466666666662</v>
      </c>
    </row>
    <row r="12" spans="1:32" s="3447" customFormat="1" ht="38.25" customHeight="1">
      <c r="C12" s="3379" t="s">
        <v>3522</v>
      </c>
      <c r="O12" s="3447">
        <v>63.74803</v>
      </c>
      <c r="U12" s="3447">
        <v>271577.27</v>
      </c>
      <c r="AB12" s="3447">
        <f t="shared" ref="AB12:AB13" si="6">U12/O12</f>
        <v>4260.1672553645976</v>
      </c>
      <c r="AD12" s="3447">
        <f>AD11*666.67/10000</f>
        <v>390.53839712666661</v>
      </c>
    </row>
    <row r="13" spans="1:32" s="3447" customFormat="1" ht="51.75" customHeight="1">
      <c r="C13" s="3379" t="s">
        <v>3568</v>
      </c>
      <c r="O13" s="3447">
        <v>15.28</v>
      </c>
      <c r="S13" s="3451"/>
      <c r="U13" s="3447">
        <v>166568.48000000001</v>
      </c>
      <c r="AB13" s="3447">
        <f t="shared" si="6"/>
        <v>10901.078534031414</v>
      </c>
    </row>
    <row r="14" spans="1:32">
      <c r="Z14" s="3399">
        <v>5919.8</v>
      </c>
      <c r="AA14" s="3399">
        <v>9894</v>
      </c>
      <c r="AB14" s="3399">
        <v>9894.18</v>
      </c>
      <c r="AD14" s="3399">
        <v>9894.18</v>
      </c>
    </row>
    <row r="15" spans="1:32">
      <c r="T15" s="3399">
        <v>366</v>
      </c>
      <c r="U15" s="3399">
        <f>366/666.66*10000</f>
        <v>5490.0549005490066</v>
      </c>
      <c r="Z15" s="3399">
        <v>4930.83</v>
      </c>
      <c r="AA15" s="3399">
        <v>5919</v>
      </c>
      <c r="AB15" s="3399">
        <v>4930.83</v>
      </c>
      <c r="AD15" s="3399">
        <v>5919.8</v>
      </c>
    </row>
    <row r="16" spans="1:32">
      <c r="T16" s="3399">
        <v>387</v>
      </c>
      <c r="U16" s="3399">
        <f>T16/666.66*10000</f>
        <v>5805.0580505805065</v>
      </c>
      <c r="Z16" s="3399">
        <v>5628.85</v>
      </c>
      <c r="AA16" s="3399">
        <v>5628</v>
      </c>
      <c r="AB16" s="3399">
        <v>5628.85</v>
      </c>
      <c r="AD16" s="3399">
        <v>5628.85</v>
      </c>
    </row>
    <row r="17" spans="4:32">
      <c r="T17" s="3399">
        <v>390</v>
      </c>
      <c r="U17" s="3399">
        <f>390/666.66*10000</f>
        <v>5850.0585005850062</v>
      </c>
      <c r="Z17" s="3400">
        <f>ROUND((Z14+AB8+AB9)/3,0)</f>
        <v>5493</v>
      </c>
      <c r="AD17" s="3399">
        <v>7147</v>
      </c>
    </row>
    <row r="18" spans="4:32">
      <c r="AB18" s="3399">
        <f>ROUND((AB11+AB12+AB13)/3,0)</f>
        <v>5953</v>
      </c>
    </row>
    <row r="20" spans="4:32">
      <c r="AF20" s="3399">
        <v>3975</v>
      </c>
    </row>
    <row r="26" spans="4:32" ht="57" customHeight="1">
      <c r="D26" s="3475" t="s">
        <v>3570</v>
      </c>
      <c r="E26" s="3475" t="s">
        <v>3569</v>
      </c>
      <c r="F26" s="3474" t="s">
        <v>3523</v>
      </c>
      <c r="G26" s="3476" t="s">
        <v>3574</v>
      </c>
    </row>
    <row r="27" spans="4:32" ht="72">
      <c r="D27" s="3475" t="s">
        <v>3571</v>
      </c>
      <c r="E27" s="3473" t="s">
        <v>3567</v>
      </c>
      <c r="F27" s="3475">
        <v>54.943399999999997</v>
      </c>
      <c r="G27" s="3475">
        <v>2699.0759763684082</v>
      </c>
    </row>
    <row r="28" spans="4:32" ht="72">
      <c r="D28" s="3475" t="s">
        <v>3572</v>
      </c>
      <c r="E28" s="3473" t="s">
        <v>3522</v>
      </c>
      <c r="F28" s="3475">
        <v>63.74803</v>
      </c>
      <c r="G28" s="3475">
        <v>4260.1672553645976</v>
      </c>
    </row>
    <row r="29" spans="4:32" ht="48">
      <c r="D29" s="3475" t="s">
        <v>3573</v>
      </c>
      <c r="E29" s="3473" t="s">
        <v>3568</v>
      </c>
      <c r="F29" s="3475">
        <v>15.28</v>
      </c>
      <c r="G29" s="3475">
        <v>10901.078534031414</v>
      </c>
    </row>
  </sheetData>
  <mergeCells count="19">
    <mergeCell ref="AB1:AB2"/>
    <mergeCell ref="V1:V2"/>
    <mergeCell ref="W1:W2"/>
    <mergeCell ref="X1:X2"/>
    <mergeCell ref="Y1:Y2"/>
    <mergeCell ref="Z1:Z2"/>
    <mergeCell ref="AA1:AA2"/>
    <mergeCell ref="U1:U2"/>
    <mergeCell ref="B1:B2"/>
    <mergeCell ref="C1:C2"/>
    <mergeCell ref="D1:D2"/>
    <mergeCell ref="E1:E2"/>
    <mergeCell ref="F1:F2"/>
    <mergeCell ref="G1:G2"/>
    <mergeCell ref="H1:I1"/>
    <mergeCell ref="J1:J2"/>
    <mergeCell ref="K1:K2"/>
    <mergeCell ref="L1:L2"/>
    <mergeCell ref="M1:T1"/>
  </mergeCells>
  <phoneticPr fontId="281" type="noConversion"/>
  <pageMargins left="0.70866141732283472" right="0.70866141732283472" top="0.74803149606299213" bottom="0.74803149606299213" header="0.31496062992125984" footer="0.31496062992125984"/>
  <pageSetup paperSize="9" scale="9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V35" sqref="V3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871" t="s">
        <v>2579</v>
      </c>
      <c r="C1" s="3871"/>
      <c r="D1" s="3871"/>
      <c r="E1" s="3871"/>
      <c r="F1" s="3871"/>
      <c r="G1" s="3870" t="s">
        <v>2580</v>
      </c>
      <c r="H1" s="3870"/>
      <c r="I1" s="3870"/>
      <c r="J1" s="3870"/>
      <c r="K1" s="3870"/>
      <c r="L1" s="3870"/>
      <c r="N1" s="3870" t="s">
        <v>2581</v>
      </c>
      <c r="O1" s="3870"/>
      <c r="P1" s="3870"/>
      <c r="Q1" s="3870"/>
      <c r="R1" s="2679"/>
      <c r="S1" s="3870" t="s">
        <v>2582</v>
      </c>
      <c r="T1" s="3870"/>
      <c r="U1" s="3870"/>
      <c r="V1" s="3870"/>
      <c r="X1" s="3869" t="s">
        <v>2642</v>
      </c>
      <c r="Y1" s="3870"/>
      <c r="Z1" s="3870"/>
      <c r="AA1" s="3870"/>
      <c r="AB1" s="3870"/>
      <c r="AD1" s="3869" t="s">
        <v>2646</v>
      </c>
      <c r="AE1" s="3870"/>
      <c r="AF1" s="3870"/>
      <c r="AG1" s="3870"/>
      <c r="AH1" s="3870"/>
    </row>
    <row r="2" spans="1:34" s="2781" customFormat="1" ht="14.25" thickBot="1">
      <c r="B2" s="2789" t="s">
        <v>2583</v>
      </c>
      <c r="C2" s="2789" t="s">
        <v>2644</v>
      </c>
      <c r="D2" s="2782" t="s">
        <v>1644</v>
      </c>
      <c r="E2" s="2782" t="s">
        <v>1951</v>
      </c>
      <c r="F2" s="2789" t="s">
        <v>2645</v>
      </c>
      <c r="G2" s="2785"/>
      <c r="H2" s="2784"/>
      <c r="I2" s="2789" t="s">
        <v>2957</v>
      </c>
      <c r="J2" s="2782" t="s">
        <v>2959</v>
      </c>
      <c r="K2" s="2782" t="s">
        <v>2960</v>
      </c>
      <c r="L2" s="2789" t="s">
        <v>2961</v>
      </c>
      <c r="N2" s="2789" t="s">
        <v>2583</v>
      </c>
      <c r="O2" s="2782" t="s">
        <v>2958</v>
      </c>
      <c r="P2" s="2782" t="s">
        <v>1951</v>
      </c>
      <c r="Q2" s="2789" t="s">
        <v>2645</v>
      </c>
      <c r="R2" s="2783"/>
      <c r="S2" s="2789" t="s">
        <v>2583</v>
      </c>
      <c r="T2" s="2782" t="s">
        <v>2958</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2" customFormat="1" ht="14.25">
      <c r="A3" s="3174" t="s">
        <v>2970</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4" customFormat="1" ht="14.25">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2977</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0">
        <v>2</v>
      </c>
      <c r="I5" s="3156">
        <v>0</v>
      </c>
      <c r="J5" s="3156">
        <v>0</v>
      </c>
      <c r="K5" s="3156">
        <v>0</v>
      </c>
      <c r="L5" s="3156">
        <v>0</v>
      </c>
      <c r="N5" s="2787">
        <f t="shared" ref="N5" si="6">I5/100</f>
        <v>0</v>
      </c>
      <c r="O5" s="2787">
        <f t="shared" ref="O5" si="7">J5/100</f>
        <v>0</v>
      </c>
      <c r="P5" s="2787">
        <f t="shared" ref="P5" si="8">K5/100</f>
        <v>0</v>
      </c>
      <c r="Q5" s="2787">
        <f t="shared" ref="Q5" si="9">L5/100</f>
        <v>0</v>
      </c>
      <c r="R5" s="3142"/>
      <c r="S5" s="3143"/>
      <c r="T5" s="3142"/>
      <c r="U5" s="3142"/>
      <c r="V5" s="3142"/>
      <c r="W5" s="3172" t="s">
        <v>2971</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6" customFormat="1" ht="13.5" thickBot="1">
      <c r="A6" s="2680" t="s">
        <v>2978</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1">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2968</v>
      </c>
      <c r="B7" s="3176">
        <v>439</v>
      </c>
      <c r="C7" s="3176">
        <v>327</v>
      </c>
      <c r="D7" s="3176">
        <f t="shared" si="13"/>
        <v>327</v>
      </c>
      <c r="E7" s="3176">
        <v>627</v>
      </c>
      <c r="F7" s="3177">
        <v>283</v>
      </c>
      <c r="G7" s="3159">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2972</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1"/>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0"/>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1"/>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878">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873"/>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3873"/>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3874"/>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3872">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873"/>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3873"/>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3874"/>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3872">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873"/>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3873"/>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3874"/>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2586</v>
      </c>
      <c r="B23" s="2686">
        <v>299</v>
      </c>
      <c r="C23" s="2686">
        <v>252</v>
      </c>
      <c r="D23" s="2686">
        <f t="shared" si="35"/>
        <v>252</v>
      </c>
      <c r="E23" s="2686">
        <v>409</v>
      </c>
      <c r="F23" s="2687">
        <v>227</v>
      </c>
      <c r="G23" s="3875">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876"/>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3876"/>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3877"/>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2590</v>
      </c>
      <c r="B27" s="2724">
        <v>278</v>
      </c>
      <c r="C27" s="2724">
        <v>234</v>
      </c>
      <c r="D27" s="2724">
        <f t="shared" si="35"/>
        <v>234</v>
      </c>
      <c r="E27" s="2724">
        <v>379</v>
      </c>
      <c r="F27" s="2725">
        <v>220</v>
      </c>
      <c r="G27" s="3872">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3873"/>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3873"/>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2593</v>
      </c>
      <c r="B30" s="2694">
        <f>B29/(1+N29)</f>
        <v>275.19025476197027</v>
      </c>
      <c r="C30" s="2726">
        <v>232</v>
      </c>
      <c r="D30" s="2726">
        <f t="shared" si="35"/>
        <v>232</v>
      </c>
      <c r="E30" s="2694">
        <f t="shared" si="46"/>
        <v>375.65990977608692</v>
      </c>
      <c r="F30" s="2694">
        <f t="shared" si="46"/>
        <v>214.12518283971252</v>
      </c>
      <c r="G30" s="3874"/>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2594</v>
      </c>
      <c r="B31" s="2686">
        <v>275</v>
      </c>
      <c r="C31" s="2686">
        <v>232</v>
      </c>
      <c r="D31" s="2686">
        <f t="shared" si="35"/>
        <v>232</v>
      </c>
      <c r="E31" s="2686">
        <v>376</v>
      </c>
      <c r="F31" s="2687">
        <v>213</v>
      </c>
      <c r="G31" s="3872">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873">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3873">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3874">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2598</v>
      </c>
      <c r="B35" s="2686">
        <v>269</v>
      </c>
      <c r="C35" s="2686">
        <v>221</v>
      </c>
      <c r="D35" s="2686">
        <f t="shared" si="35"/>
        <v>221</v>
      </c>
      <c r="E35" s="2686">
        <v>373</v>
      </c>
      <c r="F35" s="2687">
        <v>196</v>
      </c>
      <c r="G35" s="3872">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873">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3873">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3874">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2602</v>
      </c>
      <c r="B39" s="2686">
        <v>220</v>
      </c>
      <c r="C39" s="2686">
        <v>187</v>
      </c>
      <c r="D39" s="2686">
        <f t="shared" si="35"/>
        <v>187</v>
      </c>
      <c r="E39" s="2686">
        <v>301</v>
      </c>
      <c r="F39" s="2687">
        <v>168</v>
      </c>
      <c r="G39" s="3872">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873">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3873">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3874">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2606</v>
      </c>
      <c r="B43" s="2724">
        <v>214</v>
      </c>
      <c r="C43" s="2724">
        <v>188</v>
      </c>
      <c r="D43" s="2724">
        <f t="shared" si="35"/>
        <v>188</v>
      </c>
      <c r="E43" s="2724">
        <v>289</v>
      </c>
      <c r="F43" s="2725">
        <v>166</v>
      </c>
      <c r="G43" s="3872">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873">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3873">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3874">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2610</v>
      </c>
      <c r="B47" s="2686">
        <v>188</v>
      </c>
      <c r="C47" s="2686">
        <v>165</v>
      </c>
      <c r="D47" s="2686">
        <f t="shared" si="35"/>
        <v>165</v>
      </c>
      <c r="E47" s="2686">
        <v>254</v>
      </c>
      <c r="F47" s="2687">
        <v>148</v>
      </c>
      <c r="G47" s="3872">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873">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3873">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3874">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2614</v>
      </c>
      <c r="B51" s="2708">
        <v>159</v>
      </c>
      <c r="C51" s="2708">
        <v>141</v>
      </c>
      <c r="D51" s="2708">
        <f t="shared" si="35"/>
        <v>141</v>
      </c>
      <c r="E51" s="2708">
        <v>195</v>
      </c>
      <c r="F51" s="2709">
        <v>122</v>
      </c>
      <c r="G51" s="3872">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873">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3873">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3874">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2618</v>
      </c>
      <c r="B55" s="2708">
        <v>138</v>
      </c>
      <c r="C55" s="2708">
        <v>131</v>
      </c>
      <c r="D55" s="2708">
        <f t="shared" si="35"/>
        <v>131</v>
      </c>
      <c r="E55" s="2708">
        <v>155</v>
      </c>
      <c r="F55" s="2709">
        <v>114</v>
      </c>
      <c r="G55" s="3872">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873">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3873">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3874">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2622</v>
      </c>
      <c r="B59" s="2724">
        <v>121</v>
      </c>
      <c r="C59" s="2724">
        <v>122</v>
      </c>
      <c r="D59" s="2724">
        <f t="shared" si="35"/>
        <v>122</v>
      </c>
      <c r="E59" s="2724">
        <v>124</v>
      </c>
      <c r="F59" s="2725">
        <v>107</v>
      </c>
      <c r="G59" s="3872">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873">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3873">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2625</v>
      </c>
      <c r="B62" s="2727">
        <f t="shared" si="69"/>
        <v>112.48648648648648</v>
      </c>
      <c r="C62" s="2727">
        <f t="shared" si="69"/>
        <v>115.21212121212122</v>
      </c>
      <c r="D62" s="2727">
        <f t="shared" si="35"/>
        <v>115.21212121212122</v>
      </c>
      <c r="E62" s="2727">
        <f t="shared" si="70"/>
        <v>110.4024024024024</v>
      </c>
      <c r="F62" s="2727">
        <f t="shared" si="70"/>
        <v>104</v>
      </c>
      <c r="G62" s="3874">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2626</v>
      </c>
      <c r="B63" s="2745">
        <v>111</v>
      </c>
      <c r="C63" s="2745">
        <v>114</v>
      </c>
      <c r="D63" s="2745">
        <f t="shared" si="35"/>
        <v>114</v>
      </c>
      <c r="E63" s="2745">
        <v>108</v>
      </c>
      <c r="F63" s="2746">
        <v>104</v>
      </c>
      <c r="G63" s="3872">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3873">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3873">
        <v>2003</v>
      </c>
      <c r="H65" s="2685">
        <v>2</v>
      </c>
      <c r="I65" s="2747"/>
      <c r="J65" s="2747"/>
      <c r="K65" s="2747"/>
      <c r="L65" s="2747"/>
      <c r="X65" s="2739"/>
      <c r="Y65" s="2739"/>
      <c r="Z65" s="2739"/>
    </row>
    <row r="66" spans="1:26" ht="13.5" thickBot="1">
      <c r="A66" s="2680" t="s">
        <v>2629</v>
      </c>
      <c r="B66" s="2749">
        <f t="shared" si="71"/>
        <v>107.25</v>
      </c>
      <c r="C66" s="2749">
        <f t="shared" si="71"/>
        <v>108.75</v>
      </c>
      <c r="D66" s="2749">
        <f t="shared" si="35"/>
        <v>108.75</v>
      </c>
      <c r="E66" s="2749">
        <f t="shared" si="72"/>
        <v>105.75</v>
      </c>
      <c r="F66" s="2749">
        <f t="shared" si="72"/>
        <v>102.5</v>
      </c>
      <c r="G66" s="3874">
        <v>2003</v>
      </c>
      <c r="H66" s="2750">
        <v>1</v>
      </c>
      <c r="I66" s="2747"/>
      <c r="J66" s="2747"/>
      <c r="K66" s="2747"/>
      <c r="L66" s="2747"/>
      <c r="S66" s="2689"/>
      <c r="T66" s="2690"/>
      <c r="U66" s="2690"/>
      <c r="X66" s="2739"/>
      <c r="Y66" s="2739"/>
      <c r="Z66" s="2739"/>
    </row>
    <row r="67" spans="1:26" ht="13.5" thickBot="1">
      <c r="A67" s="2680" t="s">
        <v>2630</v>
      </c>
      <c r="B67" s="2751">
        <v>106</v>
      </c>
      <c r="C67" s="2751">
        <v>107</v>
      </c>
      <c r="D67" s="2751">
        <f t="shared" si="35"/>
        <v>107</v>
      </c>
      <c r="E67" s="2751">
        <v>105</v>
      </c>
      <c r="F67" s="2752">
        <v>102</v>
      </c>
      <c r="G67" s="3872">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3873">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3873">
        <v>2002</v>
      </c>
      <c r="H69" s="2685">
        <v>2</v>
      </c>
      <c r="I69" s="2747"/>
      <c r="J69" s="2747"/>
      <c r="K69" s="2747"/>
      <c r="L69" s="2747"/>
      <c r="X69" s="2739"/>
      <c r="Y69" s="2739"/>
      <c r="Z69" s="2739"/>
    </row>
    <row r="70" spans="1:26" s="2716" customFormat="1" ht="13.5" thickBot="1">
      <c r="A70" s="2712" t="s">
        <v>2633</v>
      </c>
      <c r="B70" s="2753">
        <f t="shared" si="73"/>
        <v>103</v>
      </c>
      <c r="C70" s="2753">
        <f t="shared" si="73"/>
        <v>104</v>
      </c>
      <c r="D70" s="2753">
        <f t="shared" si="35"/>
        <v>104</v>
      </c>
      <c r="E70" s="2753">
        <f t="shared" si="74"/>
        <v>103.5</v>
      </c>
      <c r="F70" s="2753">
        <f t="shared" si="74"/>
        <v>100.5</v>
      </c>
      <c r="G70" s="3874">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5"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7"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4"/>
  <sheetViews>
    <sheetView topLeftCell="A35" workbookViewId="0">
      <selection activeCell="E44" sqref="E44"/>
    </sheetView>
  </sheetViews>
  <sheetFormatPr defaultColWidth="11.25" defaultRowHeight="24.95" customHeight="1"/>
  <cols>
    <col min="1" max="1" width="7.25" style="3187" customWidth="1"/>
    <col min="2" max="2" width="13.5" style="3187" customWidth="1"/>
    <col min="3" max="3" width="12.75" style="3445" customWidth="1"/>
    <col min="4" max="4" width="12.5" style="3445" customWidth="1"/>
    <col min="5" max="5" width="11.25" style="3445"/>
    <col min="6" max="6" width="15.125" style="3445" customWidth="1"/>
    <col min="7" max="7" width="11.25" style="3187"/>
    <col min="8" max="16384" width="11.25" style="3189"/>
  </cols>
  <sheetData>
    <row r="1" spans="1:6" ht="24.95" customHeight="1">
      <c r="A1" s="3186" t="s">
        <v>3026</v>
      </c>
      <c r="B1" s="3186" t="s">
        <v>3027</v>
      </c>
      <c r="C1" s="3443" t="s">
        <v>3028</v>
      </c>
      <c r="D1" s="3443" t="s">
        <v>3029</v>
      </c>
      <c r="E1" s="3446" t="s">
        <v>3030</v>
      </c>
      <c r="F1" s="3443" t="s">
        <v>3031</v>
      </c>
    </row>
    <row r="2" spans="1:6" ht="24.95" customHeight="1">
      <c r="A2" s="3188">
        <v>1</v>
      </c>
      <c r="B2" s="3225" t="s">
        <v>3111</v>
      </c>
      <c r="C2" s="3444" t="s">
        <v>3032</v>
      </c>
      <c r="D2" s="3444">
        <f>(12+20)/2*(5+20)/2</f>
        <v>200</v>
      </c>
      <c r="E2" s="3444">
        <v>2</v>
      </c>
      <c r="F2" s="3444">
        <f>D2*E2</f>
        <v>400</v>
      </c>
    </row>
    <row r="3" spans="1:6" ht="24.95" customHeight="1">
      <c r="A3" s="3879">
        <v>2</v>
      </c>
      <c r="B3" s="3879" t="s">
        <v>3033</v>
      </c>
      <c r="C3" s="3444" t="s">
        <v>3032</v>
      </c>
      <c r="D3" s="3444">
        <f>(12+20)/2*(5+20)/2</f>
        <v>200</v>
      </c>
      <c r="E3" s="3444">
        <v>229</v>
      </c>
      <c r="F3" s="3444">
        <f t="shared" ref="F3:F43" si="0">D3*E3</f>
        <v>45800</v>
      </c>
    </row>
    <row r="4" spans="1:6" ht="24.95" customHeight="1">
      <c r="A4" s="3879"/>
      <c r="B4" s="3879"/>
      <c r="C4" s="3444" t="s">
        <v>3034</v>
      </c>
      <c r="D4" s="3444">
        <f>(32+48+100)/3*(25+35+45)/3</f>
        <v>2100</v>
      </c>
      <c r="E4" s="3444">
        <v>132</v>
      </c>
      <c r="F4" s="3444">
        <f t="shared" si="0"/>
        <v>277200</v>
      </c>
    </row>
    <row r="5" spans="1:6" ht="24.95" customHeight="1">
      <c r="A5" s="3879">
        <v>3</v>
      </c>
      <c r="B5" s="3879" t="s">
        <v>3035</v>
      </c>
      <c r="C5" s="3444" t="s">
        <v>3032</v>
      </c>
      <c r="D5" s="3444">
        <f>(28+52)/2*(5+20)/2</f>
        <v>500</v>
      </c>
      <c r="E5" s="3444">
        <v>11</v>
      </c>
      <c r="F5" s="3444">
        <f t="shared" si="0"/>
        <v>5500</v>
      </c>
    </row>
    <row r="6" spans="1:6" ht="24.95" customHeight="1">
      <c r="A6" s="3879"/>
      <c r="B6" s="3879"/>
      <c r="C6" s="3444" t="s">
        <v>3034</v>
      </c>
      <c r="D6" s="3444">
        <f>(76+104+150)/3*(25+35+45)/3</f>
        <v>3850</v>
      </c>
      <c r="E6" s="3444">
        <v>6</v>
      </c>
      <c r="F6" s="3444">
        <f t="shared" si="0"/>
        <v>23100</v>
      </c>
    </row>
    <row r="7" spans="1:6" ht="24.95" customHeight="1">
      <c r="A7" s="3879"/>
      <c r="B7" s="3879"/>
      <c r="C7" s="3444" t="s">
        <v>3036</v>
      </c>
      <c r="D7" s="3444">
        <f>150*50</f>
        <v>7500</v>
      </c>
      <c r="E7" s="3444">
        <v>1</v>
      </c>
      <c r="F7" s="3444">
        <f t="shared" si="0"/>
        <v>7500</v>
      </c>
    </row>
    <row r="8" spans="1:6" ht="24.95" customHeight="1">
      <c r="A8" s="3188">
        <v>4</v>
      </c>
      <c r="B8" s="3188" t="s">
        <v>3037</v>
      </c>
      <c r="C8" s="3444" t="s">
        <v>3032</v>
      </c>
      <c r="D8" s="3444">
        <f>(28+52)/2*(5+20)/2</f>
        <v>500</v>
      </c>
      <c r="E8" s="3444">
        <v>3</v>
      </c>
      <c r="F8" s="3444">
        <f t="shared" si="0"/>
        <v>1500</v>
      </c>
    </row>
    <row r="9" spans="1:6" ht="24.95" customHeight="1">
      <c r="A9" s="3879">
        <v>5</v>
      </c>
      <c r="B9" s="3879" t="s">
        <v>3038</v>
      </c>
      <c r="C9" s="3444" t="s">
        <v>3032</v>
      </c>
      <c r="D9" s="3444">
        <f>(12+20)/2*(5+20)/2</f>
        <v>200</v>
      </c>
      <c r="E9" s="3444">
        <v>22</v>
      </c>
      <c r="F9" s="3444">
        <f t="shared" si="0"/>
        <v>4400</v>
      </c>
    </row>
    <row r="10" spans="1:6" ht="24.95" customHeight="1">
      <c r="A10" s="3879"/>
      <c r="B10" s="3879"/>
      <c r="C10" s="3444" t="s">
        <v>3034</v>
      </c>
      <c r="D10" s="3444">
        <f>(32+48+100)/3*(25+35+45)/3</f>
        <v>2100</v>
      </c>
      <c r="E10" s="3444">
        <v>170</v>
      </c>
      <c r="F10" s="3444">
        <f t="shared" si="0"/>
        <v>357000</v>
      </c>
    </row>
    <row r="11" spans="1:6" ht="24.95" customHeight="1">
      <c r="A11" s="3879"/>
      <c r="B11" s="3879"/>
      <c r="C11" s="3444" t="s">
        <v>3036</v>
      </c>
      <c r="D11" s="3444">
        <f>100*50</f>
        <v>5000</v>
      </c>
      <c r="E11" s="3444">
        <v>4</v>
      </c>
      <c r="F11" s="3444">
        <f t="shared" si="0"/>
        <v>20000</v>
      </c>
    </row>
    <row r="12" spans="1:6" ht="24.95" customHeight="1">
      <c r="A12" s="3879">
        <v>6</v>
      </c>
      <c r="B12" s="3879" t="s">
        <v>3039</v>
      </c>
      <c r="C12" s="3444" t="s">
        <v>3032</v>
      </c>
      <c r="D12" s="3444">
        <f>ROUND((6+12)/2*(5+20)/2,0)</f>
        <v>113</v>
      </c>
      <c r="E12" s="3444">
        <v>1</v>
      </c>
      <c r="F12" s="3444">
        <f t="shared" si="0"/>
        <v>113</v>
      </c>
    </row>
    <row r="13" spans="1:6" ht="24.95" customHeight="1">
      <c r="A13" s="3879"/>
      <c r="B13" s="3879"/>
      <c r="C13" s="3444" t="s">
        <v>3034</v>
      </c>
      <c r="D13" s="3444">
        <f>(20+32+56)/3*(25+35+45)/3</f>
        <v>1260</v>
      </c>
      <c r="E13" s="3444">
        <v>78</v>
      </c>
      <c r="F13" s="3444">
        <f t="shared" si="0"/>
        <v>98280</v>
      </c>
    </row>
    <row r="14" spans="1:6" ht="24.95" customHeight="1">
      <c r="A14" s="3879"/>
      <c r="B14" s="3879"/>
      <c r="C14" s="3444" t="s">
        <v>3036</v>
      </c>
      <c r="D14" s="3444">
        <f>56*50</f>
        <v>2800</v>
      </c>
      <c r="E14" s="3444">
        <v>38</v>
      </c>
      <c r="F14" s="3444">
        <f t="shared" si="0"/>
        <v>106400</v>
      </c>
    </row>
    <row r="15" spans="1:6" ht="24.95" customHeight="1">
      <c r="A15" s="3188">
        <v>7</v>
      </c>
      <c r="B15" s="3188" t="s">
        <v>3040</v>
      </c>
      <c r="C15" s="3444" t="s">
        <v>3032</v>
      </c>
      <c r="D15" s="3444">
        <f>(12+20)/2*(5+20)/2</f>
        <v>200</v>
      </c>
      <c r="E15" s="3444">
        <v>94</v>
      </c>
      <c r="F15" s="3444">
        <f t="shared" si="0"/>
        <v>18800</v>
      </c>
    </row>
    <row r="16" spans="1:6" ht="24.95" customHeight="1">
      <c r="A16" s="3879">
        <v>8</v>
      </c>
      <c r="B16" s="3879" t="s">
        <v>3041</v>
      </c>
      <c r="C16" s="3444" t="s">
        <v>3032</v>
      </c>
      <c r="D16" s="3444">
        <f>(12+20)/2*(5+20)/2</f>
        <v>200</v>
      </c>
      <c r="E16" s="3444">
        <v>6</v>
      </c>
      <c r="F16" s="3444">
        <f t="shared" si="0"/>
        <v>1200</v>
      </c>
    </row>
    <row r="17" spans="1:6" ht="24.95" customHeight="1">
      <c r="A17" s="3879"/>
      <c r="B17" s="3879"/>
      <c r="C17" s="3444" t="s">
        <v>3034</v>
      </c>
      <c r="D17" s="3444">
        <f>(32+48+100)/3*(25+35+45)/3</f>
        <v>2100</v>
      </c>
      <c r="E17" s="3444">
        <v>1</v>
      </c>
      <c r="F17" s="3444">
        <f t="shared" si="0"/>
        <v>2100</v>
      </c>
    </row>
    <row r="18" spans="1:6" ht="24.95" customHeight="1">
      <c r="A18" s="3879"/>
      <c r="B18" s="3879"/>
      <c r="C18" s="3444" t="s">
        <v>3036</v>
      </c>
      <c r="D18" s="3444">
        <f>100*50</f>
        <v>5000</v>
      </c>
      <c r="E18" s="3444">
        <v>1</v>
      </c>
      <c r="F18" s="3444">
        <f t="shared" si="0"/>
        <v>5000</v>
      </c>
    </row>
    <row r="19" spans="1:6" ht="24.95" customHeight="1">
      <c r="A19" s="3188">
        <v>9</v>
      </c>
      <c r="B19" s="3188" t="s">
        <v>3042</v>
      </c>
      <c r="C19" s="3444" t="s">
        <v>3032</v>
      </c>
      <c r="D19" s="3444">
        <f>(28+52)/2*(5+20)/2</f>
        <v>500</v>
      </c>
      <c r="E19" s="3444">
        <v>15</v>
      </c>
      <c r="F19" s="3444">
        <f t="shared" si="0"/>
        <v>7500</v>
      </c>
    </row>
    <row r="20" spans="1:6" ht="24.95" customHeight="1">
      <c r="A20" s="3879">
        <v>10</v>
      </c>
      <c r="B20" s="3879" t="s">
        <v>3043</v>
      </c>
      <c r="C20" s="3444" t="s">
        <v>3032</v>
      </c>
      <c r="D20" s="3444">
        <f>(28+52)/2*(5+20)/2</f>
        <v>500</v>
      </c>
      <c r="E20" s="3444">
        <v>11</v>
      </c>
      <c r="F20" s="3444">
        <f t="shared" si="0"/>
        <v>5500</v>
      </c>
    </row>
    <row r="21" spans="1:6" ht="24.95" customHeight="1">
      <c r="A21" s="3879"/>
      <c r="B21" s="3879"/>
      <c r="C21" s="3444" t="s">
        <v>3034</v>
      </c>
      <c r="D21" s="3444">
        <f>(76+104+150)/3*(25+35+45)/3</f>
        <v>3850</v>
      </c>
      <c r="E21" s="3444">
        <v>2</v>
      </c>
      <c r="F21" s="3444">
        <f t="shared" si="0"/>
        <v>7700</v>
      </c>
    </row>
    <row r="22" spans="1:6" ht="24.95" customHeight="1">
      <c r="A22" s="3879">
        <v>11</v>
      </c>
      <c r="B22" s="3879" t="s">
        <v>3044</v>
      </c>
      <c r="C22" s="3444" t="s">
        <v>3032</v>
      </c>
      <c r="D22" s="3444">
        <f>(12+20)/2*(5+20)/2</f>
        <v>200</v>
      </c>
      <c r="E22" s="3444">
        <v>66</v>
      </c>
      <c r="F22" s="3444">
        <f t="shared" si="0"/>
        <v>13200</v>
      </c>
    </row>
    <row r="23" spans="1:6" ht="24.95" customHeight="1">
      <c r="A23" s="3879"/>
      <c r="B23" s="3879"/>
      <c r="C23" s="3444" t="s">
        <v>3034</v>
      </c>
      <c r="D23" s="3444">
        <f>(32+48+100)/3*(25+35+45)/3</f>
        <v>2100</v>
      </c>
      <c r="E23" s="3444">
        <v>13</v>
      </c>
      <c r="F23" s="3444">
        <f t="shared" si="0"/>
        <v>27300</v>
      </c>
    </row>
    <row r="24" spans="1:6" ht="24.95" customHeight="1">
      <c r="A24" s="3879">
        <v>12</v>
      </c>
      <c r="B24" s="3879" t="s">
        <v>3045</v>
      </c>
      <c r="C24" s="3444" t="s">
        <v>3032</v>
      </c>
      <c r="D24" s="3444">
        <f>(28+52)/2*(5+20)/2</f>
        <v>500</v>
      </c>
      <c r="E24" s="3444">
        <v>3</v>
      </c>
      <c r="F24" s="3444">
        <f t="shared" si="0"/>
        <v>1500</v>
      </c>
    </row>
    <row r="25" spans="1:6" ht="24.95" customHeight="1">
      <c r="A25" s="3879"/>
      <c r="B25" s="3879"/>
      <c r="C25" s="3444" t="s">
        <v>3034</v>
      </c>
      <c r="D25" s="3444">
        <f>(76+104+150)/3*(25+35+45)/3</f>
        <v>3850</v>
      </c>
      <c r="E25" s="3444">
        <v>1</v>
      </c>
      <c r="F25" s="3444">
        <f t="shared" si="0"/>
        <v>3850</v>
      </c>
    </row>
    <row r="26" spans="1:6" ht="24.95" customHeight="1">
      <c r="A26" s="3879">
        <v>13</v>
      </c>
      <c r="B26" s="3879" t="s">
        <v>3046</v>
      </c>
      <c r="C26" s="3444" t="s">
        <v>3032</v>
      </c>
      <c r="D26" s="3444">
        <f>(12+20)/2*(5+20)/2</f>
        <v>200</v>
      </c>
      <c r="E26" s="3444">
        <v>2</v>
      </c>
      <c r="F26" s="3444">
        <f t="shared" si="0"/>
        <v>400</v>
      </c>
    </row>
    <row r="27" spans="1:6" ht="24.95" customHeight="1">
      <c r="A27" s="3879"/>
      <c r="B27" s="3879"/>
      <c r="C27" s="3444" t="s">
        <v>3034</v>
      </c>
      <c r="D27" s="3444">
        <f>(32+48+100)/3*(25+35+45)/3</f>
        <v>2100</v>
      </c>
      <c r="E27" s="3444">
        <v>49</v>
      </c>
      <c r="F27" s="3444">
        <f t="shared" si="0"/>
        <v>102900</v>
      </c>
    </row>
    <row r="28" spans="1:6" ht="24.95" customHeight="1">
      <c r="A28" s="3879"/>
      <c r="B28" s="3879"/>
      <c r="C28" s="3444" t="s">
        <v>3036</v>
      </c>
      <c r="D28" s="3444">
        <f>100*50</f>
        <v>5000</v>
      </c>
      <c r="E28" s="3444">
        <v>35</v>
      </c>
      <c r="F28" s="3444">
        <f t="shared" si="0"/>
        <v>175000</v>
      </c>
    </row>
    <row r="29" spans="1:6" ht="24.95" customHeight="1">
      <c r="A29" s="3188">
        <v>14</v>
      </c>
      <c r="B29" s="3188" t="s">
        <v>3047</v>
      </c>
      <c r="C29" s="3444" t="s">
        <v>3034</v>
      </c>
      <c r="D29" s="3444">
        <f>(84+144+240)/2*(5+20)/2</f>
        <v>2925</v>
      </c>
      <c r="E29" s="3444">
        <v>8</v>
      </c>
      <c r="F29" s="3444">
        <f t="shared" si="0"/>
        <v>23400</v>
      </c>
    </row>
    <row r="30" spans="1:6" ht="24.95" customHeight="1">
      <c r="A30" s="3188">
        <v>15</v>
      </c>
      <c r="B30" s="3188" t="s">
        <v>3048</v>
      </c>
      <c r="C30" s="3444" t="s">
        <v>3049</v>
      </c>
      <c r="D30" s="3444">
        <v>0</v>
      </c>
      <c r="E30" s="3444">
        <v>4</v>
      </c>
      <c r="F30" s="3444">
        <f t="shared" si="0"/>
        <v>0</v>
      </c>
    </row>
    <row r="31" spans="1:6" ht="24.95" customHeight="1">
      <c r="A31" s="3879">
        <v>16</v>
      </c>
      <c r="B31" s="3879" t="s">
        <v>3050</v>
      </c>
      <c r="C31" s="3444" t="s">
        <v>3051</v>
      </c>
      <c r="D31" s="3444">
        <v>150</v>
      </c>
      <c r="E31" s="3444">
        <v>11</v>
      </c>
      <c r="F31" s="3444">
        <f t="shared" si="0"/>
        <v>1650</v>
      </c>
    </row>
    <row r="32" spans="1:6" ht="24.95" customHeight="1">
      <c r="A32" s="3879"/>
      <c r="B32" s="3879"/>
      <c r="C32" s="3444" t="s">
        <v>3052</v>
      </c>
      <c r="D32" s="3444">
        <v>150</v>
      </c>
      <c r="E32" s="3444">
        <v>100</v>
      </c>
      <c r="F32" s="3444">
        <f t="shared" si="0"/>
        <v>15000</v>
      </c>
    </row>
    <row r="33" spans="1:6" ht="24.95" customHeight="1">
      <c r="A33" s="3879">
        <v>17</v>
      </c>
      <c r="B33" s="3879" t="s">
        <v>3053</v>
      </c>
      <c r="C33" s="3444" t="s">
        <v>3032</v>
      </c>
      <c r="D33" s="3444">
        <f>ROUND((6+12)/2*(5+20)/2,0)</f>
        <v>113</v>
      </c>
      <c r="E33" s="3444">
        <v>3</v>
      </c>
      <c r="F33" s="3444">
        <f t="shared" si="0"/>
        <v>339</v>
      </c>
    </row>
    <row r="34" spans="1:6" ht="24.95" customHeight="1">
      <c r="A34" s="3879"/>
      <c r="B34" s="3879"/>
      <c r="C34" s="3444" t="s">
        <v>3034</v>
      </c>
      <c r="D34" s="3444">
        <f>(20+32+56)/3*(25+35+45)/3</f>
        <v>1260</v>
      </c>
      <c r="E34" s="3444">
        <v>185</v>
      </c>
      <c r="F34" s="3444">
        <f t="shared" si="0"/>
        <v>233100</v>
      </c>
    </row>
    <row r="35" spans="1:6" ht="24.95" customHeight="1">
      <c r="A35" s="3879"/>
      <c r="B35" s="3879"/>
      <c r="C35" s="3444" t="s">
        <v>3036</v>
      </c>
      <c r="D35" s="3444">
        <f>56*50</f>
        <v>2800</v>
      </c>
      <c r="E35" s="3444">
        <v>62</v>
      </c>
      <c r="F35" s="3444">
        <f t="shared" si="0"/>
        <v>173600</v>
      </c>
    </row>
    <row r="36" spans="1:6" ht="24.95" customHeight="1">
      <c r="A36" s="3879">
        <v>18</v>
      </c>
      <c r="B36" s="3879" t="s">
        <v>3054</v>
      </c>
      <c r="C36" s="3444" t="s">
        <v>3032</v>
      </c>
      <c r="D36" s="3444">
        <f>(28+52)/2*(5+20)/2</f>
        <v>500</v>
      </c>
      <c r="E36" s="3444">
        <v>52</v>
      </c>
      <c r="F36" s="3444">
        <f t="shared" si="0"/>
        <v>26000</v>
      </c>
    </row>
    <row r="37" spans="1:6" ht="24.95" customHeight="1">
      <c r="A37" s="3879"/>
      <c r="B37" s="3879"/>
      <c r="C37" s="3444" t="s">
        <v>3034</v>
      </c>
      <c r="D37" s="3444">
        <f>(76+104+150)/3*(25+35+45)/3</f>
        <v>3850</v>
      </c>
      <c r="E37" s="3444">
        <v>10</v>
      </c>
      <c r="F37" s="3444">
        <f t="shared" si="0"/>
        <v>38500</v>
      </c>
    </row>
    <row r="38" spans="1:6" ht="24.95" customHeight="1">
      <c r="A38" s="3879">
        <v>19</v>
      </c>
      <c r="B38" s="3879" t="s">
        <v>3055</v>
      </c>
      <c r="C38" s="3444" t="s">
        <v>3032</v>
      </c>
      <c r="D38" s="3444">
        <f>(12+20)/2*(5+20)/2</f>
        <v>200</v>
      </c>
      <c r="E38" s="3444">
        <v>90</v>
      </c>
      <c r="F38" s="3444">
        <f t="shared" si="0"/>
        <v>18000</v>
      </c>
    </row>
    <row r="39" spans="1:6" ht="24.95" customHeight="1">
      <c r="A39" s="3879"/>
      <c r="B39" s="3879"/>
      <c r="C39" s="3444" t="s">
        <v>3034</v>
      </c>
      <c r="D39" s="3444">
        <f>(32+48+100)/3*(25+35+45)/3</f>
        <v>2100</v>
      </c>
      <c r="E39" s="3444">
        <v>79</v>
      </c>
      <c r="F39" s="3444">
        <f t="shared" si="0"/>
        <v>165900</v>
      </c>
    </row>
    <row r="40" spans="1:6" ht="24.95" customHeight="1">
      <c r="A40" s="3879"/>
      <c r="B40" s="3879"/>
      <c r="C40" s="3444" t="s">
        <v>3036</v>
      </c>
      <c r="D40" s="3444">
        <f>100*50</f>
        <v>5000</v>
      </c>
      <c r="E40" s="3444">
        <v>18</v>
      </c>
      <c r="F40" s="3444">
        <f t="shared" si="0"/>
        <v>90000</v>
      </c>
    </row>
    <row r="41" spans="1:6" ht="24.95" customHeight="1">
      <c r="A41" s="3879">
        <v>20</v>
      </c>
      <c r="B41" s="3879" t="s">
        <v>3056</v>
      </c>
      <c r="C41" s="3444" t="s">
        <v>3032</v>
      </c>
      <c r="D41" s="3444">
        <f>(20+44)/2*(5+20)/2</f>
        <v>400</v>
      </c>
      <c r="E41" s="3444">
        <v>8</v>
      </c>
      <c r="F41" s="3444">
        <f t="shared" si="0"/>
        <v>3200</v>
      </c>
    </row>
    <row r="42" spans="1:6" ht="24.95" customHeight="1">
      <c r="A42" s="3879"/>
      <c r="B42" s="3879"/>
      <c r="C42" s="3444" t="s">
        <v>3034</v>
      </c>
      <c r="D42" s="3444">
        <f>D29</f>
        <v>2925</v>
      </c>
      <c r="E42" s="3444">
        <v>3</v>
      </c>
      <c r="F42" s="3444">
        <f t="shared" si="0"/>
        <v>8775</v>
      </c>
    </row>
    <row r="43" spans="1:6" ht="24.95" customHeight="1">
      <c r="A43" s="3188">
        <v>21</v>
      </c>
      <c r="B43" s="3188" t="s">
        <v>3057</v>
      </c>
      <c r="C43" s="3444" t="s">
        <v>3034</v>
      </c>
      <c r="D43" s="3444">
        <f>D29</f>
        <v>2925</v>
      </c>
      <c r="E43" s="3444">
        <v>2</v>
      </c>
      <c r="F43" s="3444">
        <f t="shared" si="0"/>
        <v>5850</v>
      </c>
    </row>
    <row r="44" spans="1:6" ht="24.95" customHeight="1">
      <c r="A44" s="3462" t="s">
        <v>3110</v>
      </c>
      <c r="B44" s="3463"/>
      <c r="C44" s="3463"/>
      <c r="D44" s="3463"/>
      <c r="E44" s="3464">
        <f>SUM(E2:E43)</f>
        <v>1631</v>
      </c>
      <c r="F44" s="3444">
        <f>ROUND(SUM(F2:F43)/10000,2)</f>
        <v>212.25</v>
      </c>
    </row>
  </sheetData>
  <autoFilter ref="A1:G43"/>
  <mergeCells count="28">
    <mergeCell ref="A38:A40"/>
    <mergeCell ref="B38:B40"/>
    <mergeCell ref="A41:A42"/>
    <mergeCell ref="B41:B42"/>
    <mergeCell ref="A31:A32"/>
    <mergeCell ref="B31:B32"/>
    <mergeCell ref="A33:A35"/>
    <mergeCell ref="B33:B35"/>
    <mergeCell ref="A36:A37"/>
    <mergeCell ref="B36:B37"/>
    <mergeCell ref="A22:A23"/>
    <mergeCell ref="B22:B23"/>
    <mergeCell ref="A24:A25"/>
    <mergeCell ref="B24:B25"/>
    <mergeCell ref="A26:A28"/>
    <mergeCell ref="B26:B28"/>
    <mergeCell ref="A12:A14"/>
    <mergeCell ref="B12:B14"/>
    <mergeCell ref="A16:A18"/>
    <mergeCell ref="B16:B18"/>
    <mergeCell ref="A20:A21"/>
    <mergeCell ref="B20:B21"/>
    <mergeCell ref="A3:A4"/>
    <mergeCell ref="B3:B4"/>
    <mergeCell ref="A5:A7"/>
    <mergeCell ref="B5:B7"/>
    <mergeCell ref="A9:A11"/>
    <mergeCell ref="B9:B11"/>
  </mergeCells>
  <phoneticPr fontId="237"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C3" sqref="C3"/>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2790</v>
      </c>
      <c r="C1" s="3029">
        <f>项目基本情况!D3</f>
        <v>43251</v>
      </c>
      <c r="H1" s="2963">
        <f>IF(C1&gt;C13,0,MATCH(C1,C$13:C$100,-1))+IF(SUMIF(C13:C100,C1,D13:D100)=0,13,12)</f>
        <v>13</v>
      </c>
      <c r="I1" s="2963">
        <f ca="1">MATCH(C2,H3:H7,1)+IF(SUMIF(H3:H7,C2,I3:I7)=0,2,1)</f>
        <v>5</v>
      </c>
      <c r="J1" s="3022">
        <f>MATCH(C3,H3:H7,1)+IF(SUMIF(H3:H7,C3,J3:J7)=0,2,1)</f>
        <v>5</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2821</v>
      </c>
      <c r="C2" s="3030">
        <f>'数据-取费表'!B22</f>
        <v>3</v>
      </c>
      <c r="D2" s="3025" t="s">
        <v>2791</v>
      </c>
      <c r="E2" s="3028">
        <f ca="1">INDIRECT("I"&amp;$I$1)/100</f>
        <v>4.7500000000000001E-2</v>
      </c>
      <c r="G2" s="2965"/>
      <c r="H2" s="2965"/>
      <c r="I2" s="2965" t="s">
        <v>2792</v>
      </c>
      <c r="K2" s="2965"/>
      <c r="L2" s="2965"/>
      <c r="M2" s="2965"/>
      <c r="N2" s="2965" t="s">
        <v>2793</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2823</v>
      </c>
      <c r="C3" s="3027">
        <f>'数据-取费表'!B19</f>
        <v>2</v>
      </c>
      <c r="D3" s="3025" t="s">
        <v>2791</v>
      </c>
      <c r="E3" s="3028">
        <f ca="1">INDIRECT("J"&amp;$J$1)/100</f>
        <v>4.7500000000000001E-2</v>
      </c>
      <c r="G3" s="2967" t="s">
        <v>2794</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2822</v>
      </c>
      <c r="C4" s="3028">
        <f ca="1">N4/100</f>
        <v>1.4999999999999999E-2</v>
      </c>
      <c r="G4" s="2973" t="s">
        <v>2795</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2796</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2797</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2798</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2799</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2800</v>
      </c>
      <c r="C10" s="2992"/>
      <c r="D10" s="2992"/>
      <c r="E10" s="2992"/>
      <c r="F10" s="2992"/>
      <c r="G10" s="2992"/>
      <c r="H10" s="2992"/>
      <c r="I10" s="2966"/>
      <c r="J10" s="2966"/>
      <c r="K10" s="2992"/>
      <c r="L10" s="2993" t="s">
        <v>2801</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2802</v>
      </c>
      <c r="C11" s="2997" t="s">
        <v>2803</v>
      </c>
      <c r="D11" s="2998" t="s">
        <v>2804</v>
      </c>
      <c r="E11" s="2999"/>
      <c r="F11" s="2998" t="s">
        <v>2805</v>
      </c>
      <c r="G11" s="3000"/>
      <c r="H11" s="2999"/>
      <c r="I11" s="2998" t="s">
        <v>2806</v>
      </c>
      <c r="J11" s="2999"/>
      <c r="K11" s="2995"/>
      <c r="L11" s="2996" t="s">
        <v>2802</v>
      </c>
      <c r="M11" s="2997" t="s">
        <v>2803</v>
      </c>
      <c r="N11" s="2996" t="s">
        <v>2807</v>
      </c>
      <c r="O11" s="2998" t="s">
        <v>2808</v>
      </c>
      <c r="P11" s="3000"/>
      <c r="Q11" s="3000"/>
      <c r="R11" s="3000"/>
      <c r="S11" s="3000"/>
      <c r="T11" s="2999"/>
      <c r="U11" s="2998" t="s">
        <v>2809</v>
      </c>
      <c r="V11" s="3000"/>
      <c r="W11" s="2999"/>
      <c r="X11" s="2996" t="s">
        <v>2810</v>
      </c>
      <c r="Y11" s="2996" t="s">
        <v>2811</v>
      </c>
      <c r="Z11" s="2996" t="s">
        <v>2812</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2813</v>
      </c>
      <c r="E12" s="3005" t="s">
        <v>2814</v>
      </c>
      <c r="F12" s="3005" t="s">
        <v>2815</v>
      </c>
      <c r="G12" s="3005" t="s">
        <v>2816</v>
      </c>
      <c r="H12" s="3005" t="s">
        <v>2798</v>
      </c>
      <c r="I12" s="3006" t="s">
        <v>2817</v>
      </c>
      <c r="J12" s="3006" t="s">
        <v>2817</v>
      </c>
      <c r="K12" s="3002"/>
      <c r="L12" s="3003"/>
      <c r="M12" s="3004"/>
      <c r="N12" s="3003"/>
      <c r="O12" s="3006" t="s">
        <v>2818</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2819</v>
      </c>
      <c r="C13" s="3010">
        <v>42301</v>
      </c>
      <c r="D13" s="3011">
        <v>4.3499999999999996</v>
      </c>
      <c r="E13" s="3011">
        <v>4.3499999999999996</v>
      </c>
      <c r="F13" s="3011">
        <v>4.75</v>
      </c>
      <c r="G13" s="3011">
        <v>4.75</v>
      </c>
      <c r="H13" s="3011">
        <v>4.9000000000000004</v>
      </c>
      <c r="I13" s="3011">
        <v>2.75</v>
      </c>
      <c r="J13" s="3011">
        <v>3.25</v>
      </c>
      <c r="K13" s="3008"/>
      <c r="L13" s="3009" t="s">
        <v>2819</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2820</v>
      </c>
      <c r="Y42" s="3015" t="s">
        <v>2820</v>
      </c>
      <c r="Z42" s="3015" t="s">
        <v>2820</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2820</v>
      </c>
      <c r="Y43" s="3015" t="s">
        <v>2820</v>
      </c>
      <c r="Z43" s="3015" t="s">
        <v>2820</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2820</v>
      </c>
      <c r="Y44" s="3015" t="s">
        <v>2820</v>
      </c>
      <c r="Z44" s="3015" t="s">
        <v>2820</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2820</v>
      </c>
      <c r="Y45" s="3015" t="s">
        <v>2820</v>
      </c>
      <c r="Z45" s="3015" t="s">
        <v>2820</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2820</v>
      </c>
      <c r="Y46" s="3015" t="s">
        <v>2820</v>
      </c>
      <c r="Z46" s="3015" t="s">
        <v>2820</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2820</v>
      </c>
      <c r="Y47" s="3015" t="s">
        <v>2820</v>
      </c>
      <c r="Z47" s="3015" t="s">
        <v>2820</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2820</v>
      </c>
      <c r="Y48" s="3015" t="s">
        <v>2820</v>
      </c>
      <c r="Z48" s="3015" t="s">
        <v>2820</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2820</v>
      </c>
      <c r="Y49" s="3015" t="s">
        <v>2820</v>
      </c>
      <c r="Z49" s="3015" t="s">
        <v>2820</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2820</v>
      </c>
      <c r="Y50" s="3015" t="s">
        <v>2820</v>
      </c>
      <c r="Z50" s="3015" t="s">
        <v>2820</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2820</v>
      </c>
      <c r="V51" s="3015" t="s">
        <v>2820</v>
      </c>
      <c r="W51" s="3015" t="s">
        <v>2820</v>
      </c>
      <c r="X51" s="3015" t="s">
        <v>2820</v>
      </c>
      <c r="Y51" s="3015" t="s">
        <v>2820</v>
      </c>
      <c r="Z51" s="3015" t="s">
        <v>2820</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2820</v>
      </c>
      <c r="J55" s="3015" t="s">
        <v>2820</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14"/>
  <sheetViews>
    <sheetView zoomScale="115" zoomScaleNormal="115" workbookViewId="0">
      <selection activeCell="F19" sqref="F19"/>
    </sheetView>
  </sheetViews>
  <sheetFormatPr defaultRowHeight="13.5"/>
  <cols>
    <col min="1" max="1" width="9" style="1794"/>
    <col min="2" max="2" width="18.375" style="1794" customWidth="1"/>
    <col min="3" max="3" width="9" style="1794"/>
    <col min="4" max="4" width="11.5" style="1794" customWidth="1"/>
    <col min="5" max="6" width="9" style="1794"/>
    <col min="7" max="7" width="13.25" style="1794" customWidth="1"/>
  </cols>
  <sheetData>
    <row r="1" spans="1:19" s="3190" customFormat="1" ht="22.5" customHeight="1">
      <c r="A1" s="3357" t="s">
        <v>3240</v>
      </c>
      <c r="B1" s="3357" t="s">
        <v>3239</v>
      </c>
      <c r="C1" s="3357" t="s">
        <v>3242</v>
      </c>
      <c r="D1" s="3357" t="s">
        <v>3546</v>
      </c>
      <c r="E1" s="3357" t="s">
        <v>3355</v>
      </c>
      <c r="F1" s="3357" t="s">
        <v>3353</v>
      </c>
      <c r="G1" s="3357" t="s">
        <v>3358</v>
      </c>
      <c r="H1"/>
      <c r="I1"/>
      <c r="J1"/>
      <c r="K1"/>
      <c r="L1"/>
      <c r="M1"/>
      <c r="N1"/>
      <c r="O1"/>
      <c r="P1"/>
      <c r="Q1"/>
      <c r="S1" s="3192"/>
    </row>
    <row r="2" spans="1:19">
      <c r="A2" s="3355">
        <v>1</v>
      </c>
      <c r="B2" s="3355" t="s">
        <v>3544</v>
      </c>
      <c r="C2" s="3355" t="s">
        <v>3545</v>
      </c>
      <c r="D2" s="3356">
        <f>'附属物-树木'!E44</f>
        <v>1631</v>
      </c>
      <c r="E2" s="3440"/>
      <c r="F2" s="3356"/>
      <c r="G2" s="3356"/>
    </row>
    <row r="3" spans="1:19" s="3433" customFormat="1">
      <c r="A3" s="3441">
        <v>2</v>
      </c>
      <c r="B3" s="3442" t="s">
        <v>3538</v>
      </c>
      <c r="C3" s="3442" t="s">
        <v>3539</v>
      </c>
      <c r="D3" s="3441">
        <v>133</v>
      </c>
      <c r="E3" s="3441">
        <v>5</v>
      </c>
      <c r="F3" s="3441">
        <v>0.6</v>
      </c>
      <c r="G3" s="3356">
        <f>ROUND(D3*E3*F3*$B$12/10000,2)</f>
        <v>11.77</v>
      </c>
    </row>
    <row r="4" spans="1:19">
      <c r="A4" s="3355">
        <v>3</v>
      </c>
      <c r="B4" s="3355" t="s">
        <v>3241</v>
      </c>
      <c r="C4" s="3355" t="s">
        <v>3243</v>
      </c>
      <c r="D4" s="3356">
        <f>附属物列表!E25+附属物列表!E28+附属物列表!E32+附属物列表!E35</f>
        <v>2571</v>
      </c>
      <c r="E4" s="3440">
        <v>1.0900000000000001</v>
      </c>
      <c r="F4" s="3356">
        <v>0.6</v>
      </c>
      <c r="G4" s="3356">
        <f t="shared" ref="G4:G8" si="0">ROUND(D4*E4*F4*$B$12/10000,2)</f>
        <v>49.6</v>
      </c>
    </row>
    <row r="5" spans="1:19" s="3433" customFormat="1">
      <c r="A5" s="3441">
        <v>4</v>
      </c>
      <c r="B5" s="3442" t="s">
        <v>3540</v>
      </c>
      <c r="C5" s="3442" t="s">
        <v>3541</v>
      </c>
      <c r="D5" s="3441">
        <f>附属物列表!E24+附属物列表!E27</f>
        <v>459</v>
      </c>
      <c r="E5" s="3441">
        <v>0.4</v>
      </c>
      <c r="F5" s="3441">
        <v>0.6</v>
      </c>
      <c r="G5" s="3356">
        <f t="shared" si="0"/>
        <v>3.25</v>
      </c>
    </row>
    <row r="6" spans="1:19">
      <c r="A6" s="3355">
        <v>5</v>
      </c>
      <c r="B6" s="3355" t="s">
        <v>3356</v>
      </c>
      <c r="C6" s="3355" t="s">
        <v>3244</v>
      </c>
      <c r="D6" s="3356">
        <f>附属物列表!G23</f>
        <v>15971.3</v>
      </c>
      <c r="E6" s="3440">
        <v>0.05</v>
      </c>
      <c r="F6" s="3356">
        <v>0.6</v>
      </c>
      <c r="G6" s="3356">
        <f t="shared" si="0"/>
        <v>14.13</v>
      </c>
    </row>
    <row r="7" spans="1:19" s="3433" customFormat="1">
      <c r="A7" s="3441">
        <v>6</v>
      </c>
      <c r="B7" s="3442" t="s">
        <v>3542</v>
      </c>
      <c r="C7" s="3442" t="s">
        <v>3543</v>
      </c>
      <c r="D7" s="3441">
        <f>附属物列表!G22</f>
        <v>588.4</v>
      </c>
      <c r="E7" s="3441">
        <v>0.37</v>
      </c>
      <c r="F7" s="3441">
        <v>0.6</v>
      </c>
      <c r="G7" s="3356">
        <f t="shared" si="0"/>
        <v>3.85</v>
      </c>
    </row>
    <row r="8" spans="1:19">
      <c r="A8" s="3355">
        <v>7</v>
      </c>
      <c r="B8" s="3355" t="s">
        <v>3506</v>
      </c>
      <c r="C8" s="3355" t="s">
        <v>3507</v>
      </c>
      <c r="D8" s="3356">
        <f>附属物列表!G30</f>
        <v>44419</v>
      </c>
      <c r="E8" s="3440">
        <v>0.05</v>
      </c>
      <c r="F8" s="3356">
        <v>0.6</v>
      </c>
      <c r="G8" s="3356">
        <f t="shared" si="0"/>
        <v>39.31</v>
      </c>
    </row>
    <row r="9" spans="1:19">
      <c r="A9" s="3355" t="s">
        <v>3357</v>
      </c>
      <c r="B9" s="3356"/>
      <c r="C9" s="3356"/>
      <c r="D9" s="3356"/>
      <c r="E9" s="3356"/>
      <c r="F9" s="3356"/>
      <c r="G9" s="3356">
        <f>SUM(G3:G7)</f>
        <v>82.6</v>
      </c>
    </row>
    <row r="12" spans="1:19">
      <c r="A12" s="3354" t="s">
        <v>3354</v>
      </c>
      <c r="B12" s="1794">
        <v>295</v>
      </c>
    </row>
    <row r="13" spans="1:19">
      <c r="J13" s="1794"/>
      <c r="K13" s="1794"/>
      <c r="L13" s="1794"/>
    </row>
    <row r="14" spans="1:19">
      <c r="J14" s="3354"/>
      <c r="K14" s="3354"/>
      <c r="L14" s="3354"/>
    </row>
  </sheetData>
  <phoneticPr fontId="23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workbookViewId="0">
      <selection activeCell="D44" sqref="D44"/>
    </sheetView>
  </sheetViews>
  <sheetFormatPr defaultRowHeight="12.75" outlineLevelCol="1"/>
  <cols>
    <col min="1" max="1" width="4.5" style="3300" customWidth="1"/>
    <col min="2" max="2" width="26.5" style="3300" customWidth="1"/>
    <col min="3" max="3" width="8" style="3300" customWidth="1" outlineLevel="1"/>
    <col min="4" max="4" width="11.5" style="3300" customWidth="1" outlineLevel="1"/>
    <col min="5" max="5" width="6.5" style="3300" customWidth="1"/>
    <col min="6" max="6" width="4.75" style="3300" customWidth="1"/>
    <col min="7" max="7" width="22.875" style="3300" customWidth="1"/>
    <col min="8" max="8" width="20.625" style="3300" customWidth="1"/>
    <col min="9" max="9" width="4.875" style="3252" customWidth="1"/>
    <col min="10" max="10" width="11" style="3252" customWidth="1"/>
    <col min="11" max="12" width="11" style="3252" customWidth="1" outlineLevel="1"/>
    <col min="13" max="15" width="11" style="3252" customWidth="1"/>
    <col min="16" max="16" width="6.625" style="3252" customWidth="1"/>
    <col min="17" max="17" width="11" style="3252" customWidth="1"/>
    <col min="18" max="18" width="6.125" style="3252" customWidth="1"/>
    <col min="19" max="19" width="5.75" style="3252" customWidth="1"/>
    <col min="20" max="257" width="9" style="3252"/>
    <col min="258" max="258" width="4.5" style="3252" customWidth="1"/>
    <col min="259" max="259" width="26.5" style="3252" customWidth="1"/>
    <col min="260" max="260" width="8" style="3252" customWidth="1"/>
    <col min="261" max="261" width="6.5" style="3252" customWidth="1"/>
    <col min="262" max="262" width="4.75" style="3252" customWidth="1"/>
    <col min="263" max="263" width="22.875" style="3252" customWidth="1"/>
    <col min="264" max="264" width="20.625" style="3252" customWidth="1"/>
    <col min="265" max="265" width="4.875" style="3252" customWidth="1"/>
    <col min="266" max="271" width="11" style="3252" customWidth="1"/>
    <col min="272" max="272" width="6.625" style="3252" customWidth="1"/>
    <col min="273" max="273" width="11" style="3252" customWidth="1"/>
    <col min="274" max="274" width="6.125" style="3252" customWidth="1"/>
    <col min="275" max="275" width="5.75" style="3252" customWidth="1"/>
    <col min="276" max="513" width="9" style="3252"/>
    <col min="514" max="514" width="4.5" style="3252" customWidth="1"/>
    <col min="515" max="515" width="26.5" style="3252" customWidth="1"/>
    <col min="516" max="516" width="8" style="3252" customWidth="1"/>
    <col min="517" max="517" width="6.5" style="3252" customWidth="1"/>
    <col min="518" max="518" width="4.75" style="3252" customWidth="1"/>
    <col min="519" max="519" width="22.875" style="3252" customWidth="1"/>
    <col min="520" max="520" width="20.625" style="3252" customWidth="1"/>
    <col min="521" max="521" width="4.875" style="3252" customWidth="1"/>
    <col min="522" max="527" width="11" style="3252" customWidth="1"/>
    <col min="528" max="528" width="6.625" style="3252" customWidth="1"/>
    <col min="529" max="529" width="11" style="3252" customWidth="1"/>
    <col min="530" max="530" width="6.125" style="3252" customWidth="1"/>
    <col min="531" max="531" width="5.75" style="3252" customWidth="1"/>
    <col min="532" max="769" width="9" style="3252"/>
    <col min="770" max="770" width="4.5" style="3252" customWidth="1"/>
    <col min="771" max="771" width="26.5" style="3252" customWidth="1"/>
    <col min="772" max="772" width="8" style="3252" customWidth="1"/>
    <col min="773" max="773" width="6.5" style="3252" customWidth="1"/>
    <col min="774" max="774" width="4.75" style="3252" customWidth="1"/>
    <col min="775" max="775" width="22.875" style="3252" customWidth="1"/>
    <col min="776" max="776" width="20.625" style="3252" customWidth="1"/>
    <col min="777" max="777" width="4.875" style="3252" customWidth="1"/>
    <col min="778" max="783" width="11" style="3252" customWidth="1"/>
    <col min="784" max="784" width="6.625" style="3252" customWidth="1"/>
    <col min="785" max="785" width="11" style="3252" customWidth="1"/>
    <col min="786" max="786" width="6.125" style="3252" customWidth="1"/>
    <col min="787" max="787" width="5.75" style="3252" customWidth="1"/>
    <col min="788" max="1025" width="9" style="3252"/>
    <col min="1026" max="1026" width="4.5" style="3252" customWidth="1"/>
    <col min="1027" max="1027" width="26.5" style="3252" customWidth="1"/>
    <col min="1028" max="1028" width="8" style="3252" customWidth="1"/>
    <col min="1029" max="1029" width="6.5" style="3252" customWidth="1"/>
    <col min="1030" max="1030" width="4.75" style="3252" customWidth="1"/>
    <col min="1031" max="1031" width="22.875" style="3252" customWidth="1"/>
    <col min="1032" max="1032" width="20.625" style="3252" customWidth="1"/>
    <col min="1033" max="1033" width="4.875" style="3252" customWidth="1"/>
    <col min="1034" max="1039" width="11" style="3252" customWidth="1"/>
    <col min="1040" max="1040" width="6.625" style="3252" customWidth="1"/>
    <col min="1041" max="1041" width="11" style="3252" customWidth="1"/>
    <col min="1042" max="1042" width="6.125" style="3252" customWidth="1"/>
    <col min="1043" max="1043" width="5.75" style="3252" customWidth="1"/>
    <col min="1044" max="1281" width="9" style="3252"/>
    <col min="1282" max="1282" width="4.5" style="3252" customWidth="1"/>
    <col min="1283" max="1283" width="26.5" style="3252" customWidth="1"/>
    <col min="1284" max="1284" width="8" style="3252" customWidth="1"/>
    <col min="1285" max="1285" width="6.5" style="3252" customWidth="1"/>
    <col min="1286" max="1286" width="4.75" style="3252" customWidth="1"/>
    <col min="1287" max="1287" width="22.875" style="3252" customWidth="1"/>
    <col min="1288" max="1288" width="20.625" style="3252" customWidth="1"/>
    <col min="1289" max="1289" width="4.875" style="3252" customWidth="1"/>
    <col min="1290" max="1295" width="11" style="3252" customWidth="1"/>
    <col min="1296" max="1296" width="6.625" style="3252" customWidth="1"/>
    <col min="1297" max="1297" width="11" style="3252" customWidth="1"/>
    <col min="1298" max="1298" width="6.125" style="3252" customWidth="1"/>
    <col min="1299" max="1299" width="5.75" style="3252" customWidth="1"/>
    <col min="1300" max="1537" width="9" style="3252"/>
    <col min="1538" max="1538" width="4.5" style="3252" customWidth="1"/>
    <col min="1539" max="1539" width="26.5" style="3252" customWidth="1"/>
    <col min="1540" max="1540" width="8" style="3252" customWidth="1"/>
    <col min="1541" max="1541" width="6.5" style="3252" customWidth="1"/>
    <col min="1542" max="1542" width="4.75" style="3252" customWidth="1"/>
    <col min="1543" max="1543" width="22.875" style="3252" customWidth="1"/>
    <col min="1544" max="1544" width="20.625" style="3252" customWidth="1"/>
    <col min="1545" max="1545" width="4.875" style="3252" customWidth="1"/>
    <col min="1546" max="1551" width="11" style="3252" customWidth="1"/>
    <col min="1552" max="1552" width="6.625" style="3252" customWidth="1"/>
    <col min="1553" max="1553" width="11" style="3252" customWidth="1"/>
    <col min="1554" max="1554" width="6.125" style="3252" customWidth="1"/>
    <col min="1555" max="1555" width="5.75" style="3252" customWidth="1"/>
    <col min="1556" max="1793" width="9" style="3252"/>
    <col min="1794" max="1794" width="4.5" style="3252" customWidth="1"/>
    <col min="1795" max="1795" width="26.5" style="3252" customWidth="1"/>
    <col min="1796" max="1796" width="8" style="3252" customWidth="1"/>
    <col min="1797" max="1797" width="6.5" style="3252" customWidth="1"/>
    <col min="1798" max="1798" width="4.75" style="3252" customWidth="1"/>
    <col min="1799" max="1799" width="22.875" style="3252" customWidth="1"/>
    <col min="1800" max="1800" width="20.625" style="3252" customWidth="1"/>
    <col min="1801" max="1801" width="4.875" style="3252" customWidth="1"/>
    <col min="1802" max="1807" width="11" style="3252" customWidth="1"/>
    <col min="1808" max="1808" width="6.625" style="3252" customWidth="1"/>
    <col min="1809" max="1809" width="11" style="3252" customWidth="1"/>
    <col min="1810" max="1810" width="6.125" style="3252" customWidth="1"/>
    <col min="1811" max="1811" width="5.75" style="3252" customWidth="1"/>
    <col min="1812" max="2049" width="9" style="3252"/>
    <col min="2050" max="2050" width="4.5" style="3252" customWidth="1"/>
    <col min="2051" max="2051" width="26.5" style="3252" customWidth="1"/>
    <col min="2052" max="2052" width="8" style="3252" customWidth="1"/>
    <col min="2053" max="2053" width="6.5" style="3252" customWidth="1"/>
    <col min="2054" max="2054" width="4.75" style="3252" customWidth="1"/>
    <col min="2055" max="2055" width="22.875" style="3252" customWidth="1"/>
    <col min="2056" max="2056" width="20.625" style="3252" customWidth="1"/>
    <col min="2057" max="2057" width="4.875" style="3252" customWidth="1"/>
    <col min="2058" max="2063" width="11" style="3252" customWidth="1"/>
    <col min="2064" max="2064" width="6.625" style="3252" customWidth="1"/>
    <col min="2065" max="2065" width="11" style="3252" customWidth="1"/>
    <col min="2066" max="2066" width="6.125" style="3252" customWidth="1"/>
    <col min="2067" max="2067" width="5.75" style="3252" customWidth="1"/>
    <col min="2068" max="2305" width="9" style="3252"/>
    <col min="2306" max="2306" width="4.5" style="3252" customWidth="1"/>
    <col min="2307" max="2307" width="26.5" style="3252" customWidth="1"/>
    <col min="2308" max="2308" width="8" style="3252" customWidth="1"/>
    <col min="2309" max="2309" width="6.5" style="3252" customWidth="1"/>
    <col min="2310" max="2310" width="4.75" style="3252" customWidth="1"/>
    <col min="2311" max="2311" width="22.875" style="3252" customWidth="1"/>
    <col min="2312" max="2312" width="20.625" style="3252" customWidth="1"/>
    <col min="2313" max="2313" width="4.875" style="3252" customWidth="1"/>
    <col min="2314" max="2319" width="11" style="3252" customWidth="1"/>
    <col min="2320" max="2320" width="6.625" style="3252" customWidth="1"/>
    <col min="2321" max="2321" width="11" style="3252" customWidth="1"/>
    <col min="2322" max="2322" width="6.125" style="3252" customWidth="1"/>
    <col min="2323" max="2323" width="5.75" style="3252" customWidth="1"/>
    <col min="2324" max="2561" width="9" style="3252"/>
    <col min="2562" max="2562" width="4.5" style="3252" customWidth="1"/>
    <col min="2563" max="2563" width="26.5" style="3252" customWidth="1"/>
    <col min="2564" max="2564" width="8" style="3252" customWidth="1"/>
    <col min="2565" max="2565" width="6.5" style="3252" customWidth="1"/>
    <col min="2566" max="2566" width="4.75" style="3252" customWidth="1"/>
    <col min="2567" max="2567" width="22.875" style="3252" customWidth="1"/>
    <col min="2568" max="2568" width="20.625" style="3252" customWidth="1"/>
    <col min="2569" max="2569" width="4.875" style="3252" customWidth="1"/>
    <col min="2570" max="2575" width="11" style="3252" customWidth="1"/>
    <col min="2576" max="2576" width="6.625" style="3252" customWidth="1"/>
    <col min="2577" max="2577" width="11" style="3252" customWidth="1"/>
    <col min="2578" max="2578" width="6.125" style="3252" customWidth="1"/>
    <col min="2579" max="2579" width="5.75" style="3252" customWidth="1"/>
    <col min="2580" max="2817" width="9" style="3252"/>
    <col min="2818" max="2818" width="4.5" style="3252" customWidth="1"/>
    <col min="2819" max="2819" width="26.5" style="3252" customWidth="1"/>
    <col min="2820" max="2820" width="8" style="3252" customWidth="1"/>
    <col min="2821" max="2821" width="6.5" style="3252" customWidth="1"/>
    <col min="2822" max="2822" width="4.75" style="3252" customWidth="1"/>
    <col min="2823" max="2823" width="22.875" style="3252" customWidth="1"/>
    <col min="2824" max="2824" width="20.625" style="3252" customWidth="1"/>
    <col min="2825" max="2825" width="4.875" style="3252" customWidth="1"/>
    <col min="2826" max="2831" width="11" style="3252" customWidth="1"/>
    <col min="2832" max="2832" width="6.625" style="3252" customWidth="1"/>
    <col min="2833" max="2833" width="11" style="3252" customWidth="1"/>
    <col min="2834" max="2834" width="6.125" style="3252" customWidth="1"/>
    <col min="2835" max="2835" width="5.75" style="3252" customWidth="1"/>
    <col min="2836" max="3073" width="9" style="3252"/>
    <col min="3074" max="3074" width="4.5" style="3252" customWidth="1"/>
    <col min="3075" max="3075" width="26.5" style="3252" customWidth="1"/>
    <col min="3076" max="3076" width="8" style="3252" customWidth="1"/>
    <col min="3077" max="3077" width="6.5" style="3252" customWidth="1"/>
    <col min="3078" max="3078" width="4.75" style="3252" customWidth="1"/>
    <col min="3079" max="3079" width="22.875" style="3252" customWidth="1"/>
    <col min="3080" max="3080" width="20.625" style="3252" customWidth="1"/>
    <col min="3081" max="3081" width="4.875" style="3252" customWidth="1"/>
    <col min="3082" max="3087" width="11" style="3252" customWidth="1"/>
    <col min="3088" max="3088" width="6.625" style="3252" customWidth="1"/>
    <col min="3089" max="3089" width="11" style="3252" customWidth="1"/>
    <col min="3090" max="3090" width="6.125" style="3252" customWidth="1"/>
    <col min="3091" max="3091" width="5.75" style="3252" customWidth="1"/>
    <col min="3092" max="3329" width="9" style="3252"/>
    <col min="3330" max="3330" width="4.5" style="3252" customWidth="1"/>
    <col min="3331" max="3331" width="26.5" style="3252" customWidth="1"/>
    <col min="3332" max="3332" width="8" style="3252" customWidth="1"/>
    <col min="3333" max="3333" width="6.5" style="3252" customWidth="1"/>
    <col min="3334" max="3334" width="4.75" style="3252" customWidth="1"/>
    <col min="3335" max="3335" width="22.875" style="3252" customWidth="1"/>
    <col min="3336" max="3336" width="20.625" style="3252" customWidth="1"/>
    <col min="3337" max="3337" width="4.875" style="3252" customWidth="1"/>
    <col min="3338" max="3343" width="11" style="3252" customWidth="1"/>
    <col min="3344" max="3344" width="6.625" style="3252" customWidth="1"/>
    <col min="3345" max="3345" width="11" style="3252" customWidth="1"/>
    <col min="3346" max="3346" width="6.125" style="3252" customWidth="1"/>
    <col min="3347" max="3347" width="5.75" style="3252" customWidth="1"/>
    <col min="3348" max="3585" width="9" style="3252"/>
    <col min="3586" max="3586" width="4.5" style="3252" customWidth="1"/>
    <col min="3587" max="3587" width="26.5" style="3252" customWidth="1"/>
    <col min="3588" max="3588" width="8" style="3252" customWidth="1"/>
    <col min="3589" max="3589" width="6.5" style="3252" customWidth="1"/>
    <col min="3590" max="3590" width="4.75" style="3252" customWidth="1"/>
    <col min="3591" max="3591" width="22.875" style="3252" customWidth="1"/>
    <col min="3592" max="3592" width="20.625" style="3252" customWidth="1"/>
    <col min="3593" max="3593" width="4.875" style="3252" customWidth="1"/>
    <col min="3594" max="3599" width="11" style="3252" customWidth="1"/>
    <col min="3600" max="3600" width="6.625" style="3252" customWidth="1"/>
    <col min="3601" max="3601" width="11" style="3252" customWidth="1"/>
    <col min="3602" max="3602" width="6.125" style="3252" customWidth="1"/>
    <col min="3603" max="3603" width="5.75" style="3252" customWidth="1"/>
    <col min="3604" max="3841" width="9" style="3252"/>
    <col min="3842" max="3842" width="4.5" style="3252" customWidth="1"/>
    <col min="3843" max="3843" width="26.5" style="3252" customWidth="1"/>
    <col min="3844" max="3844" width="8" style="3252" customWidth="1"/>
    <col min="3845" max="3845" width="6.5" style="3252" customWidth="1"/>
    <col min="3846" max="3846" width="4.75" style="3252" customWidth="1"/>
    <col min="3847" max="3847" width="22.875" style="3252" customWidth="1"/>
    <col min="3848" max="3848" width="20.625" style="3252" customWidth="1"/>
    <col min="3849" max="3849" width="4.875" style="3252" customWidth="1"/>
    <col min="3850" max="3855" width="11" style="3252" customWidth="1"/>
    <col min="3856" max="3856" width="6.625" style="3252" customWidth="1"/>
    <col min="3857" max="3857" width="11" style="3252" customWidth="1"/>
    <col min="3858" max="3858" width="6.125" style="3252" customWidth="1"/>
    <col min="3859" max="3859" width="5.75" style="3252" customWidth="1"/>
    <col min="3860" max="4097" width="9" style="3252"/>
    <col min="4098" max="4098" width="4.5" style="3252" customWidth="1"/>
    <col min="4099" max="4099" width="26.5" style="3252" customWidth="1"/>
    <col min="4100" max="4100" width="8" style="3252" customWidth="1"/>
    <col min="4101" max="4101" width="6.5" style="3252" customWidth="1"/>
    <col min="4102" max="4102" width="4.75" style="3252" customWidth="1"/>
    <col min="4103" max="4103" width="22.875" style="3252" customWidth="1"/>
    <col min="4104" max="4104" width="20.625" style="3252" customWidth="1"/>
    <col min="4105" max="4105" width="4.875" style="3252" customWidth="1"/>
    <col min="4106" max="4111" width="11" style="3252" customWidth="1"/>
    <col min="4112" max="4112" width="6.625" style="3252" customWidth="1"/>
    <col min="4113" max="4113" width="11" style="3252" customWidth="1"/>
    <col min="4114" max="4114" width="6.125" style="3252" customWidth="1"/>
    <col min="4115" max="4115" width="5.75" style="3252" customWidth="1"/>
    <col min="4116" max="4353" width="9" style="3252"/>
    <col min="4354" max="4354" width="4.5" style="3252" customWidth="1"/>
    <col min="4355" max="4355" width="26.5" style="3252" customWidth="1"/>
    <col min="4356" max="4356" width="8" style="3252" customWidth="1"/>
    <col min="4357" max="4357" width="6.5" style="3252" customWidth="1"/>
    <col min="4358" max="4358" width="4.75" style="3252" customWidth="1"/>
    <col min="4359" max="4359" width="22.875" style="3252" customWidth="1"/>
    <col min="4360" max="4360" width="20.625" style="3252" customWidth="1"/>
    <col min="4361" max="4361" width="4.875" style="3252" customWidth="1"/>
    <col min="4362" max="4367" width="11" style="3252" customWidth="1"/>
    <col min="4368" max="4368" width="6.625" style="3252" customWidth="1"/>
    <col min="4369" max="4369" width="11" style="3252" customWidth="1"/>
    <col min="4370" max="4370" width="6.125" style="3252" customWidth="1"/>
    <col min="4371" max="4371" width="5.75" style="3252" customWidth="1"/>
    <col min="4372" max="4609" width="9" style="3252"/>
    <col min="4610" max="4610" width="4.5" style="3252" customWidth="1"/>
    <col min="4611" max="4611" width="26.5" style="3252" customWidth="1"/>
    <col min="4612" max="4612" width="8" style="3252" customWidth="1"/>
    <col min="4613" max="4613" width="6.5" style="3252" customWidth="1"/>
    <col min="4614" max="4614" width="4.75" style="3252" customWidth="1"/>
    <col min="4615" max="4615" width="22.875" style="3252" customWidth="1"/>
    <col min="4616" max="4616" width="20.625" style="3252" customWidth="1"/>
    <col min="4617" max="4617" width="4.875" style="3252" customWidth="1"/>
    <col min="4618" max="4623" width="11" style="3252" customWidth="1"/>
    <col min="4624" max="4624" width="6.625" style="3252" customWidth="1"/>
    <col min="4625" max="4625" width="11" style="3252" customWidth="1"/>
    <col min="4626" max="4626" width="6.125" style="3252" customWidth="1"/>
    <col min="4627" max="4627" width="5.75" style="3252" customWidth="1"/>
    <col min="4628" max="4865" width="9" style="3252"/>
    <col min="4866" max="4866" width="4.5" style="3252" customWidth="1"/>
    <col min="4867" max="4867" width="26.5" style="3252" customWidth="1"/>
    <col min="4868" max="4868" width="8" style="3252" customWidth="1"/>
    <col min="4869" max="4869" width="6.5" style="3252" customWidth="1"/>
    <col min="4870" max="4870" width="4.75" style="3252" customWidth="1"/>
    <col min="4871" max="4871" width="22.875" style="3252" customWidth="1"/>
    <col min="4872" max="4872" width="20.625" style="3252" customWidth="1"/>
    <col min="4873" max="4873" width="4.875" style="3252" customWidth="1"/>
    <col min="4874" max="4879" width="11" style="3252" customWidth="1"/>
    <col min="4880" max="4880" width="6.625" style="3252" customWidth="1"/>
    <col min="4881" max="4881" width="11" style="3252" customWidth="1"/>
    <col min="4882" max="4882" width="6.125" style="3252" customWidth="1"/>
    <col min="4883" max="4883" width="5.75" style="3252" customWidth="1"/>
    <col min="4884" max="5121" width="9" style="3252"/>
    <col min="5122" max="5122" width="4.5" style="3252" customWidth="1"/>
    <col min="5123" max="5123" width="26.5" style="3252" customWidth="1"/>
    <col min="5124" max="5124" width="8" style="3252" customWidth="1"/>
    <col min="5125" max="5125" width="6.5" style="3252" customWidth="1"/>
    <col min="5126" max="5126" width="4.75" style="3252" customWidth="1"/>
    <col min="5127" max="5127" width="22.875" style="3252" customWidth="1"/>
    <col min="5128" max="5128" width="20.625" style="3252" customWidth="1"/>
    <col min="5129" max="5129" width="4.875" style="3252" customWidth="1"/>
    <col min="5130" max="5135" width="11" style="3252" customWidth="1"/>
    <col min="5136" max="5136" width="6.625" style="3252" customWidth="1"/>
    <col min="5137" max="5137" width="11" style="3252" customWidth="1"/>
    <col min="5138" max="5138" width="6.125" style="3252" customWidth="1"/>
    <col min="5139" max="5139" width="5.75" style="3252" customWidth="1"/>
    <col min="5140" max="5377" width="9" style="3252"/>
    <col min="5378" max="5378" width="4.5" style="3252" customWidth="1"/>
    <col min="5379" max="5379" width="26.5" style="3252" customWidth="1"/>
    <col min="5380" max="5380" width="8" style="3252" customWidth="1"/>
    <col min="5381" max="5381" width="6.5" style="3252" customWidth="1"/>
    <col min="5382" max="5382" width="4.75" style="3252" customWidth="1"/>
    <col min="5383" max="5383" width="22.875" style="3252" customWidth="1"/>
    <col min="5384" max="5384" width="20.625" style="3252" customWidth="1"/>
    <col min="5385" max="5385" width="4.875" style="3252" customWidth="1"/>
    <col min="5386" max="5391" width="11" style="3252" customWidth="1"/>
    <col min="5392" max="5392" width="6.625" style="3252" customWidth="1"/>
    <col min="5393" max="5393" width="11" style="3252" customWidth="1"/>
    <col min="5394" max="5394" width="6.125" style="3252" customWidth="1"/>
    <col min="5395" max="5395" width="5.75" style="3252" customWidth="1"/>
    <col min="5396" max="5633" width="9" style="3252"/>
    <col min="5634" max="5634" width="4.5" style="3252" customWidth="1"/>
    <col min="5635" max="5635" width="26.5" style="3252" customWidth="1"/>
    <col min="5636" max="5636" width="8" style="3252" customWidth="1"/>
    <col min="5637" max="5637" width="6.5" style="3252" customWidth="1"/>
    <col min="5638" max="5638" width="4.75" style="3252" customWidth="1"/>
    <col min="5639" max="5639" width="22.875" style="3252" customWidth="1"/>
    <col min="5640" max="5640" width="20.625" style="3252" customWidth="1"/>
    <col min="5641" max="5641" width="4.875" style="3252" customWidth="1"/>
    <col min="5642" max="5647" width="11" style="3252" customWidth="1"/>
    <col min="5648" max="5648" width="6.625" style="3252" customWidth="1"/>
    <col min="5649" max="5649" width="11" style="3252" customWidth="1"/>
    <col min="5650" max="5650" width="6.125" style="3252" customWidth="1"/>
    <col min="5651" max="5651" width="5.75" style="3252" customWidth="1"/>
    <col min="5652" max="5889" width="9" style="3252"/>
    <col min="5890" max="5890" width="4.5" style="3252" customWidth="1"/>
    <col min="5891" max="5891" width="26.5" style="3252" customWidth="1"/>
    <col min="5892" max="5892" width="8" style="3252" customWidth="1"/>
    <col min="5893" max="5893" width="6.5" style="3252" customWidth="1"/>
    <col min="5894" max="5894" width="4.75" style="3252" customWidth="1"/>
    <col min="5895" max="5895" width="22.875" style="3252" customWidth="1"/>
    <col min="5896" max="5896" width="20.625" style="3252" customWidth="1"/>
    <col min="5897" max="5897" width="4.875" style="3252" customWidth="1"/>
    <col min="5898" max="5903" width="11" style="3252" customWidth="1"/>
    <col min="5904" max="5904" width="6.625" style="3252" customWidth="1"/>
    <col min="5905" max="5905" width="11" style="3252" customWidth="1"/>
    <col min="5906" max="5906" width="6.125" style="3252" customWidth="1"/>
    <col min="5907" max="5907" width="5.75" style="3252" customWidth="1"/>
    <col min="5908" max="6145" width="9" style="3252"/>
    <col min="6146" max="6146" width="4.5" style="3252" customWidth="1"/>
    <col min="6147" max="6147" width="26.5" style="3252" customWidth="1"/>
    <col min="6148" max="6148" width="8" style="3252" customWidth="1"/>
    <col min="6149" max="6149" width="6.5" style="3252" customWidth="1"/>
    <col min="6150" max="6150" width="4.75" style="3252" customWidth="1"/>
    <col min="6151" max="6151" width="22.875" style="3252" customWidth="1"/>
    <col min="6152" max="6152" width="20.625" style="3252" customWidth="1"/>
    <col min="6153" max="6153" width="4.875" style="3252" customWidth="1"/>
    <col min="6154" max="6159" width="11" style="3252" customWidth="1"/>
    <col min="6160" max="6160" width="6.625" style="3252" customWidth="1"/>
    <col min="6161" max="6161" width="11" style="3252" customWidth="1"/>
    <col min="6162" max="6162" width="6.125" style="3252" customWidth="1"/>
    <col min="6163" max="6163" width="5.75" style="3252" customWidth="1"/>
    <col min="6164" max="6401" width="9" style="3252"/>
    <col min="6402" max="6402" width="4.5" style="3252" customWidth="1"/>
    <col min="6403" max="6403" width="26.5" style="3252" customWidth="1"/>
    <col min="6404" max="6404" width="8" style="3252" customWidth="1"/>
    <col min="6405" max="6405" width="6.5" style="3252" customWidth="1"/>
    <col min="6406" max="6406" width="4.75" style="3252" customWidth="1"/>
    <col min="6407" max="6407" width="22.875" style="3252" customWidth="1"/>
    <col min="6408" max="6408" width="20.625" style="3252" customWidth="1"/>
    <col min="6409" max="6409" width="4.875" style="3252" customWidth="1"/>
    <col min="6410" max="6415" width="11" style="3252" customWidth="1"/>
    <col min="6416" max="6416" width="6.625" style="3252" customWidth="1"/>
    <col min="6417" max="6417" width="11" style="3252" customWidth="1"/>
    <col min="6418" max="6418" width="6.125" style="3252" customWidth="1"/>
    <col min="6419" max="6419" width="5.75" style="3252" customWidth="1"/>
    <col min="6420" max="6657" width="9" style="3252"/>
    <col min="6658" max="6658" width="4.5" style="3252" customWidth="1"/>
    <col min="6659" max="6659" width="26.5" style="3252" customWidth="1"/>
    <col min="6660" max="6660" width="8" style="3252" customWidth="1"/>
    <col min="6661" max="6661" width="6.5" style="3252" customWidth="1"/>
    <col min="6662" max="6662" width="4.75" style="3252" customWidth="1"/>
    <col min="6663" max="6663" width="22.875" style="3252" customWidth="1"/>
    <col min="6664" max="6664" width="20.625" style="3252" customWidth="1"/>
    <col min="6665" max="6665" width="4.875" style="3252" customWidth="1"/>
    <col min="6666" max="6671" width="11" style="3252" customWidth="1"/>
    <col min="6672" max="6672" width="6.625" style="3252" customWidth="1"/>
    <col min="6673" max="6673" width="11" style="3252" customWidth="1"/>
    <col min="6674" max="6674" width="6.125" style="3252" customWidth="1"/>
    <col min="6675" max="6675" width="5.75" style="3252" customWidth="1"/>
    <col min="6676" max="6913" width="9" style="3252"/>
    <col min="6914" max="6914" width="4.5" style="3252" customWidth="1"/>
    <col min="6915" max="6915" width="26.5" style="3252" customWidth="1"/>
    <col min="6916" max="6916" width="8" style="3252" customWidth="1"/>
    <col min="6917" max="6917" width="6.5" style="3252" customWidth="1"/>
    <col min="6918" max="6918" width="4.75" style="3252" customWidth="1"/>
    <col min="6919" max="6919" width="22.875" style="3252" customWidth="1"/>
    <col min="6920" max="6920" width="20.625" style="3252" customWidth="1"/>
    <col min="6921" max="6921" width="4.875" style="3252" customWidth="1"/>
    <col min="6922" max="6927" width="11" style="3252" customWidth="1"/>
    <col min="6928" max="6928" width="6.625" style="3252" customWidth="1"/>
    <col min="6929" max="6929" width="11" style="3252" customWidth="1"/>
    <col min="6930" max="6930" width="6.125" style="3252" customWidth="1"/>
    <col min="6931" max="6931" width="5.75" style="3252" customWidth="1"/>
    <col min="6932" max="7169" width="9" style="3252"/>
    <col min="7170" max="7170" width="4.5" style="3252" customWidth="1"/>
    <col min="7171" max="7171" width="26.5" style="3252" customWidth="1"/>
    <col min="7172" max="7172" width="8" style="3252" customWidth="1"/>
    <col min="7173" max="7173" width="6.5" style="3252" customWidth="1"/>
    <col min="7174" max="7174" width="4.75" style="3252" customWidth="1"/>
    <col min="7175" max="7175" width="22.875" style="3252" customWidth="1"/>
    <col min="7176" max="7176" width="20.625" style="3252" customWidth="1"/>
    <col min="7177" max="7177" width="4.875" style="3252" customWidth="1"/>
    <col min="7178" max="7183" width="11" style="3252" customWidth="1"/>
    <col min="7184" max="7184" width="6.625" style="3252" customWidth="1"/>
    <col min="7185" max="7185" width="11" style="3252" customWidth="1"/>
    <col min="7186" max="7186" width="6.125" style="3252" customWidth="1"/>
    <col min="7187" max="7187" width="5.75" style="3252" customWidth="1"/>
    <col min="7188" max="7425" width="9" style="3252"/>
    <col min="7426" max="7426" width="4.5" style="3252" customWidth="1"/>
    <col min="7427" max="7427" width="26.5" style="3252" customWidth="1"/>
    <col min="7428" max="7428" width="8" style="3252" customWidth="1"/>
    <col min="7429" max="7429" width="6.5" style="3252" customWidth="1"/>
    <col min="7430" max="7430" width="4.75" style="3252" customWidth="1"/>
    <col min="7431" max="7431" width="22.875" style="3252" customWidth="1"/>
    <col min="7432" max="7432" width="20.625" style="3252" customWidth="1"/>
    <col min="7433" max="7433" width="4.875" style="3252" customWidth="1"/>
    <col min="7434" max="7439" width="11" style="3252" customWidth="1"/>
    <col min="7440" max="7440" width="6.625" style="3252" customWidth="1"/>
    <col min="7441" max="7441" width="11" style="3252" customWidth="1"/>
    <col min="7442" max="7442" width="6.125" style="3252" customWidth="1"/>
    <col min="7443" max="7443" width="5.75" style="3252" customWidth="1"/>
    <col min="7444" max="7681" width="9" style="3252"/>
    <col min="7682" max="7682" width="4.5" style="3252" customWidth="1"/>
    <col min="7683" max="7683" width="26.5" style="3252" customWidth="1"/>
    <col min="7684" max="7684" width="8" style="3252" customWidth="1"/>
    <col min="7685" max="7685" width="6.5" style="3252" customWidth="1"/>
    <col min="7686" max="7686" width="4.75" style="3252" customWidth="1"/>
    <col min="7687" max="7687" width="22.875" style="3252" customWidth="1"/>
    <col min="7688" max="7688" width="20.625" style="3252" customWidth="1"/>
    <col min="7689" max="7689" width="4.875" style="3252" customWidth="1"/>
    <col min="7690" max="7695" width="11" style="3252" customWidth="1"/>
    <col min="7696" max="7696" width="6.625" style="3252" customWidth="1"/>
    <col min="7697" max="7697" width="11" style="3252" customWidth="1"/>
    <col min="7698" max="7698" width="6.125" style="3252" customWidth="1"/>
    <col min="7699" max="7699" width="5.75" style="3252" customWidth="1"/>
    <col min="7700" max="7937" width="9" style="3252"/>
    <col min="7938" max="7938" width="4.5" style="3252" customWidth="1"/>
    <col min="7939" max="7939" width="26.5" style="3252" customWidth="1"/>
    <col min="7940" max="7940" width="8" style="3252" customWidth="1"/>
    <col min="7941" max="7941" width="6.5" style="3252" customWidth="1"/>
    <col min="7942" max="7942" width="4.75" style="3252" customWidth="1"/>
    <col min="7943" max="7943" width="22.875" style="3252" customWidth="1"/>
    <col min="7944" max="7944" width="20.625" style="3252" customWidth="1"/>
    <col min="7945" max="7945" width="4.875" style="3252" customWidth="1"/>
    <col min="7946" max="7951" width="11" style="3252" customWidth="1"/>
    <col min="7952" max="7952" width="6.625" style="3252" customWidth="1"/>
    <col min="7953" max="7953" width="11" style="3252" customWidth="1"/>
    <col min="7954" max="7954" width="6.125" style="3252" customWidth="1"/>
    <col min="7955" max="7955" width="5.75" style="3252" customWidth="1"/>
    <col min="7956" max="8193" width="9" style="3252"/>
    <col min="8194" max="8194" width="4.5" style="3252" customWidth="1"/>
    <col min="8195" max="8195" width="26.5" style="3252" customWidth="1"/>
    <col min="8196" max="8196" width="8" style="3252" customWidth="1"/>
    <col min="8197" max="8197" width="6.5" style="3252" customWidth="1"/>
    <col min="8198" max="8198" width="4.75" style="3252" customWidth="1"/>
    <col min="8199" max="8199" width="22.875" style="3252" customWidth="1"/>
    <col min="8200" max="8200" width="20.625" style="3252" customWidth="1"/>
    <col min="8201" max="8201" width="4.875" style="3252" customWidth="1"/>
    <col min="8202" max="8207" width="11" style="3252" customWidth="1"/>
    <col min="8208" max="8208" width="6.625" style="3252" customWidth="1"/>
    <col min="8209" max="8209" width="11" style="3252" customWidth="1"/>
    <col min="8210" max="8210" width="6.125" style="3252" customWidth="1"/>
    <col min="8211" max="8211" width="5.75" style="3252" customWidth="1"/>
    <col min="8212" max="8449" width="9" style="3252"/>
    <col min="8450" max="8450" width="4.5" style="3252" customWidth="1"/>
    <col min="8451" max="8451" width="26.5" style="3252" customWidth="1"/>
    <col min="8452" max="8452" width="8" style="3252" customWidth="1"/>
    <col min="8453" max="8453" width="6.5" style="3252" customWidth="1"/>
    <col min="8454" max="8454" width="4.75" style="3252" customWidth="1"/>
    <col min="8455" max="8455" width="22.875" style="3252" customWidth="1"/>
    <col min="8456" max="8456" width="20.625" style="3252" customWidth="1"/>
    <col min="8457" max="8457" width="4.875" style="3252" customWidth="1"/>
    <col min="8458" max="8463" width="11" style="3252" customWidth="1"/>
    <col min="8464" max="8464" width="6.625" style="3252" customWidth="1"/>
    <col min="8465" max="8465" width="11" style="3252" customWidth="1"/>
    <col min="8466" max="8466" width="6.125" style="3252" customWidth="1"/>
    <col min="8467" max="8467" width="5.75" style="3252" customWidth="1"/>
    <col min="8468" max="8705" width="9" style="3252"/>
    <col min="8706" max="8706" width="4.5" style="3252" customWidth="1"/>
    <col min="8707" max="8707" width="26.5" style="3252" customWidth="1"/>
    <col min="8708" max="8708" width="8" style="3252" customWidth="1"/>
    <col min="8709" max="8709" width="6.5" style="3252" customWidth="1"/>
    <col min="8710" max="8710" width="4.75" style="3252" customWidth="1"/>
    <col min="8711" max="8711" width="22.875" style="3252" customWidth="1"/>
    <col min="8712" max="8712" width="20.625" style="3252" customWidth="1"/>
    <col min="8713" max="8713" width="4.875" style="3252" customWidth="1"/>
    <col min="8714" max="8719" width="11" style="3252" customWidth="1"/>
    <col min="8720" max="8720" width="6.625" style="3252" customWidth="1"/>
    <col min="8721" max="8721" width="11" style="3252" customWidth="1"/>
    <col min="8722" max="8722" width="6.125" style="3252" customWidth="1"/>
    <col min="8723" max="8723" width="5.75" style="3252" customWidth="1"/>
    <col min="8724" max="8961" width="9" style="3252"/>
    <col min="8962" max="8962" width="4.5" style="3252" customWidth="1"/>
    <col min="8963" max="8963" width="26.5" style="3252" customWidth="1"/>
    <col min="8964" max="8964" width="8" style="3252" customWidth="1"/>
    <col min="8965" max="8965" width="6.5" style="3252" customWidth="1"/>
    <col min="8966" max="8966" width="4.75" style="3252" customWidth="1"/>
    <col min="8967" max="8967" width="22.875" style="3252" customWidth="1"/>
    <col min="8968" max="8968" width="20.625" style="3252" customWidth="1"/>
    <col min="8969" max="8969" width="4.875" style="3252" customWidth="1"/>
    <col min="8970" max="8975" width="11" style="3252" customWidth="1"/>
    <col min="8976" max="8976" width="6.625" style="3252" customWidth="1"/>
    <col min="8977" max="8977" width="11" style="3252" customWidth="1"/>
    <col min="8978" max="8978" width="6.125" style="3252" customWidth="1"/>
    <col min="8979" max="8979" width="5.75" style="3252" customWidth="1"/>
    <col min="8980" max="9217" width="9" style="3252"/>
    <col min="9218" max="9218" width="4.5" style="3252" customWidth="1"/>
    <col min="9219" max="9219" width="26.5" style="3252" customWidth="1"/>
    <col min="9220" max="9220" width="8" style="3252" customWidth="1"/>
    <col min="9221" max="9221" width="6.5" style="3252" customWidth="1"/>
    <col min="9222" max="9222" width="4.75" style="3252" customWidth="1"/>
    <col min="9223" max="9223" width="22.875" style="3252" customWidth="1"/>
    <col min="9224" max="9224" width="20.625" style="3252" customWidth="1"/>
    <col min="9225" max="9225" width="4.875" style="3252" customWidth="1"/>
    <col min="9226" max="9231" width="11" style="3252" customWidth="1"/>
    <col min="9232" max="9232" width="6.625" style="3252" customWidth="1"/>
    <col min="9233" max="9233" width="11" style="3252" customWidth="1"/>
    <col min="9234" max="9234" width="6.125" style="3252" customWidth="1"/>
    <col min="9235" max="9235" width="5.75" style="3252" customWidth="1"/>
    <col min="9236" max="9473" width="9" style="3252"/>
    <col min="9474" max="9474" width="4.5" style="3252" customWidth="1"/>
    <col min="9475" max="9475" width="26.5" style="3252" customWidth="1"/>
    <col min="9476" max="9476" width="8" style="3252" customWidth="1"/>
    <col min="9477" max="9477" width="6.5" style="3252" customWidth="1"/>
    <col min="9478" max="9478" width="4.75" style="3252" customWidth="1"/>
    <col min="9479" max="9479" width="22.875" style="3252" customWidth="1"/>
    <col min="9480" max="9480" width="20.625" style="3252" customWidth="1"/>
    <col min="9481" max="9481" width="4.875" style="3252" customWidth="1"/>
    <col min="9482" max="9487" width="11" style="3252" customWidth="1"/>
    <col min="9488" max="9488" width="6.625" style="3252" customWidth="1"/>
    <col min="9489" max="9489" width="11" style="3252" customWidth="1"/>
    <col min="9490" max="9490" width="6.125" style="3252" customWidth="1"/>
    <col min="9491" max="9491" width="5.75" style="3252" customWidth="1"/>
    <col min="9492" max="9729" width="9" style="3252"/>
    <col min="9730" max="9730" width="4.5" style="3252" customWidth="1"/>
    <col min="9731" max="9731" width="26.5" style="3252" customWidth="1"/>
    <col min="9732" max="9732" width="8" style="3252" customWidth="1"/>
    <col min="9733" max="9733" width="6.5" style="3252" customWidth="1"/>
    <col min="9734" max="9734" width="4.75" style="3252" customWidth="1"/>
    <col min="9735" max="9735" width="22.875" style="3252" customWidth="1"/>
    <col min="9736" max="9736" width="20.625" style="3252" customWidth="1"/>
    <col min="9737" max="9737" width="4.875" style="3252" customWidth="1"/>
    <col min="9738" max="9743" width="11" style="3252" customWidth="1"/>
    <col min="9744" max="9744" width="6.625" style="3252" customWidth="1"/>
    <col min="9745" max="9745" width="11" style="3252" customWidth="1"/>
    <col min="9746" max="9746" width="6.125" style="3252" customWidth="1"/>
    <col min="9747" max="9747" width="5.75" style="3252" customWidth="1"/>
    <col min="9748" max="9985" width="9" style="3252"/>
    <col min="9986" max="9986" width="4.5" style="3252" customWidth="1"/>
    <col min="9987" max="9987" width="26.5" style="3252" customWidth="1"/>
    <col min="9988" max="9988" width="8" style="3252" customWidth="1"/>
    <col min="9989" max="9989" width="6.5" style="3252" customWidth="1"/>
    <col min="9990" max="9990" width="4.75" style="3252" customWidth="1"/>
    <col min="9991" max="9991" width="22.875" style="3252" customWidth="1"/>
    <col min="9992" max="9992" width="20.625" style="3252" customWidth="1"/>
    <col min="9993" max="9993" width="4.875" style="3252" customWidth="1"/>
    <col min="9994" max="9999" width="11" style="3252" customWidth="1"/>
    <col min="10000" max="10000" width="6.625" style="3252" customWidth="1"/>
    <col min="10001" max="10001" width="11" style="3252" customWidth="1"/>
    <col min="10002" max="10002" width="6.125" style="3252" customWidth="1"/>
    <col min="10003" max="10003" width="5.75" style="3252" customWidth="1"/>
    <col min="10004" max="10241" width="9" style="3252"/>
    <col min="10242" max="10242" width="4.5" style="3252" customWidth="1"/>
    <col min="10243" max="10243" width="26.5" style="3252" customWidth="1"/>
    <col min="10244" max="10244" width="8" style="3252" customWidth="1"/>
    <col min="10245" max="10245" width="6.5" style="3252" customWidth="1"/>
    <col min="10246" max="10246" width="4.75" style="3252" customWidth="1"/>
    <col min="10247" max="10247" width="22.875" style="3252" customWidth="1"/>
    <col min="10248" max="10248" width="20.625" style="3252" customWidth="1"/>
    <col min="10249" max="10249" width="4.875" style="3252" customWidth="1"/>
    <col min="10250" max="10255" width="11" style="3252" customWidth="1"/>
    <col min="10256" max="10256" width="6.625" style="3252" customWidth="1"/>
    <col min="10257" max="10257" width="11" style="3252" customWidth="1"/>
    <col min="10258" max="10258" width="6.125" style="3252" customWidth="1"/>
    <col min="10259" max="10259" width="5.75" style="3252" customWidth="1"/>
    <col min="10260" max="10497" width="9" style="3252"/>
    <col min="10498" max="10498" width="4.5" style="3252" customWidth="1"/>
    <col min="10499" max="10499" width="26.5" style="3252" customWidth="1"/>
    <col min="10500" max="10500" width="8" style="3252" customWidth="1"/>
    <col min="10501" max="10501" width="6.5" style="3252" customWidth="1"/>
    <col min="10502" max="10502" width="4.75" style="3252" customWidth="1"/>
    <col min="10503" max="10503" width="22.875" style="3252" customWidth="1"/>
    <col min="10504" max="10504" width="20.625" style="3252" customWidth="1"/>
    <col min="10505" max="10505" width="4.875" style="3252" customWidth="1"/>
    <col min="10506" max="10511" width="11" style="3252" customWidth="1"/>
    <col min="10512" max="10512" width="6.625" style="3252" customWidth="1"/>
    <col min="10513" max="10513" width="11" style="3252" customWidth="1"/>
    <col min="10514" max="10514" width="6.125" style="3252" customWidth="1"/>
    <col min="10515" max="10515" width="5.75" style="3252" customWidth="1"/>
    <col min="10516" max="10753" width="9" style="3252"/>
    <col min="10754" max="10754" width="4.5" style="3252" customWidth="1"/>
    <col min="10755" max="10755" width="26.5" style="3252" customWidth="1"/>
    <col min="10756" max="10756" width="8" style="3252" customWidth="1"/>
    <col min="10757" max="10757" width="6.5" style="3252" customWidth="1"/>
    <col min="10758" max="10758" width="4.75" style="3252" customWidth="1"/>
    <col min="10759" max="10759" width="22.875" style="3252" customWidth="1"/>
    <col min="10760" max="10760" width="20.625" style="3252" customWidth="1"/>
    <col min="10761" max="10761" width="4.875" style="3252" customWidth="1"/>
    <col min="10762" max="10767" width="11" style="3252" customWidth="1"/>
    <col min="10768" max="10768" width="6.625" style="3252" customWidth="1"/>
    <col min="10769" max="10769" width="11" style="3252" customWidth="1"/>
    <col min="10770" max="10770" width="6.125" style="3252" customWidth="1"/>
    <col min="10771" max="10771" width="5.75" style="3252" customWidth="1"/>
    <col min="10772" max="11009" width="9" style="3252"/>
    <col min="11010" max="11010" width="4.5" style="3252" customWidth="1"/>
    <col min="11011" max="11011" width="26.5" style="3252" customWidth="1"/>
    <col min="11012" max="11012" width="8" style="3252" customWidth="1"/>
    <col min="11013" max="11013" width="6.5" style="3252" customWidth="1"/>
    <col min="11014" max="11014" width="4.75" style="3252" customWidth="1"/>
    <col min="11015" max="11015" width="22.875" style="3252" customWidth="1"/>
    <col min="11016" max="11016" width="20.625" style="3252" customWidth="1"/>
    <col min="11017" max="11017" width="4.875" style="3252" customWidth="1"/>
    <col min="11018" max="11023" width="11" style="3252" customWidth="1"/>
    <col min="11024" max="11024" width="6.625" style="3252" customWidth="1"/>
    <col min="11025" max="11025" width="11" style="3252" customWidth="1"/>
    <col min="11026" max="11026" width="6.125" style="3252" customWidth="1"/>
    <col min="11027" max="11027" width="5.75" style="3252" customWidth="1"/>
    <col min="11028" max="11265" width="9" style="3252"/>
    <col min="11266" max="11266" width="4.5" style="3252" customWidth="1"/>
    <col min="11267" max="11267" width="26.5" style="3252" customWidth="1"/>
    <col min="11268" max="11268" width="8" style="3252" customWidth="1"/>
    <col min="11269" max="11269" width="6.5" style="3252" customWidth="1"/>
    <col min="11270" max="11270" width="4.75" style="3252" customWidth="1"/>
    <col min="11271" max="11271" width="22.875" style="3252" customWidth="1"/>
    <col min="11272" max="11272" width="20.625" style="3252" customWidth="1"/>
    <col min="11273" max="11273" width="4.875" style="3252" customWidth="1"/>
    <col min="11274" max="11279" width="11" style="3252" customWidth="1"/>
    <col min="11280" max="11280" width="6.625" style="3252" customWidth="1"/>
    <col min="11281" max="11281" width="11" style="3252" customWidth="1"/>
    <col min="11282" max="11282" width="6.125" style="3252" customWidth="1"/>
    <col min="11283" max="11283" width="5.75" style="3252" customWidth="1"/>
    <col min="11284" max="11521" width="9" style="3252"/>
    <col min="11522" max="11522" width="4.5" style="3252" customWidth="1"/>
    <col min="11523" max="11523" width="26.5" style="3252" customWidth="1"/>
    <col min="11524" max="11524" width="8" style="3252" customWidth="1"/>
    <col min="11525" max="11525" width="6.5" style="3252" customWidth="1"/>
    <col min="11526" max="11526" width="4.75" style="3252" customWidth="1"/>
    <col min="11527" max="11527" width="22.875" style="3252" customWidth="1"/>
    <col min="11528" max="11528" width="20.625" style="3252" customWidth="1"/>
    <col min="11529" max="11529" width="4.875" style="3252" customWidth="1"/>
    <col min="11530" max="11535" width="11" style="3252" customWidth="1"/>
    <col min="11536" max="11536" width="6.625" style="3252" customWidth="1"/>
    <col min="11537" max="11537" width="11" style="3252" customWidth="1"/>
    <col min="11538" max="11538" width="6.125" style="3252" customWidth="1"/>
    <col min="11539" max="11539" width="5.75" style="3252" customWidth="1"/>
    <col min="11540" max="11777" width="9" style="3252"/>
    <col min="11778" max="11778" width="4.5" style="3252" customWidth="1"/>
    <col min="11779" max="11779" width="26.5" style="3252" customWidth="1"/>
    <col min="11780" max="11780" width="8" style="3252" customWidth="1"/>
    <col min="11781" max="11781" width="6.5" style="3252" customWidth="1"/>
    <col min="11782" max="11782" width="4.75" style="3252" customWidth="1"/>
    <col min="11783" max="11783" width="22.875" style="3252" customWidth="1"/>
    <col min="11784" max="11784" width="20.625" style="3252" customWidth="1"/>
    <col min="11785" max="11785" width="4.875" style="3252" customWidth="1"/>
    <col min="11786" max="11791" width="11" style="3252" customWidth="1"/>
    <col min="11792" max="11792" width="6.625" style="3252" customWidth="1"/>
    <col min="11793" max="11793" width="11" style="3252" customWidth="1"/>
    <col min="11794" max="11794" width="6.125" style="3252" customWidth="1"/>
    <col min="11795" max="11795" width="5.75" style="3252" customWidth="1"/>
    <col min="11796" max="12033" width="9" style="3252"/>
    <col min="12034" max="12034" width="4.5" style="3252" customWidth="1"/>
    <col min="12035" max="12035" width="26.5" style="3252" customWidth="1"/>
    <col min="12036" max="12036" width="8" style="3252" customWidth="1"/>
    <col min="12037" max="12037" width="6.5" style="3252" customWidth="1"/>
    <col min="12038" max="12038" width="4.75" style="3252" customWidth="1"/>
    <col min="12039" max="12039" width="22.875" style="3252" customWidth="1"/>
    <col min="12040" max="12040" width="20.625" style="3252" customWidth="1"/>
    <col min="12041" max="12041" width="4.875" style="3252" customWidth="1"/>
    <col min="12042" max="12047" width="11" style="3252" customWidth="1"/>
    <col min="12048" max="12048" width="6.625" style="3252" customWidth="1"/>
    <col min="12049" max="12049" width="11" style="3252" customWidth="1"/>
    <col min="12050" max="12050" width="6.125" style="3252" customWidth="1"/>
    <col min="12051" max="12051" width="5.75" style="3252" customWidth="1"/>
    <col min="12052" max="12289" width="9" style="3252"/>
    <col min="12290" max="12290" width="4.5" style="3252" customWidth="1"/>
    <col min="12291" max="12291" width="26.5" style="3252" customWidth="1"/>
    <col min="12292" max="12292" width="8" style="3252" customWidth="1"/>
    <col min="12293" max="12293" width="6.5" style="3252" customWidth="1"/>
    <col min="12294" max="12294" width="4.75" style="3252" customWidth="1"/>
    <col min="12295" max="12295" width="22.875" style="3252" customWidth="1"/>
    <col min="12296" max="12296" width="20.625" style="3252" customWidth="1"/>
    <col min="12297" max="12297" width="4.875" style="3252" customWidth="1"/>
    <col min="12298" max="12303" width="11" style="3252" customWidth="1"/>
    <col min="12304" max="12304" width="6.625" style="3252" customWidth="1"/>
    <col min="12305" max="12305" width="11" style="3252" customWidth="1"/>
    <col min="12306" max="12306" width="6.125" style="3252" customWidth="1"/>
    <col min="12307" max="12307" width="5.75" style="3252" customWidth="1"/>
    <col min="12308" max="12545" width="9" style="3252"/>
    <col min="12546" max="12546" width="4.5" style="3252" customWidth="1"/>
    <col min="12547" max="12547" width="26.5" style="3252" customWidth="1"/>
    <col min="12548" max="12548" width="8" style="3252" customWidth="1"/>
    <col min="12549" max="12549" width="6.5" style="3252" customWidth="1"/>
    <col min="12550" max="12550" width="4.75" style="3252" customWidth="1"/>
    <col min="12551" max="12551" width="22.875" style="3252" customWidth="1"/>
    <col min="12552" max="12552" width="20.625" style="3252" customWidth="1"/>
    <col min="12553" max="12553" width="4.875" style="3252" customWidth="1"/>
    <col min="12554" max="12559" width="11" style="3252" customWidth="1"/>
    <col min="12560" max="12560" width="6.625" style="3252" customWidth="1"/>
    <col min="12561" max="12561" width="11" style="3252" customWidth="1"/>
    <col min="12562" max="12562" width="6.125" style="3252" customWidth="1"/>
    <col min="12563" max="12563" width="5.75" style="3252" customWidth="1"/>
    <col min="12564" max="12801" width="9" style="3252"/>
    <col min="12802" max="12802" width="4.5" style="3252" customWidth="1"/>
    <col min="12803" max="12803" width="26.5" style="3252" customWidth="1"/>
    <col min="12804" max="12804" width="8" style="3252" customWidth="1"/>
    <col min="12805" max="12805" width="6.5" style="3252" customWidth="1"/>
    <col min="12806" max="12806" width="4.75" style="3252" customWidth="1"/>
    <col min="12807" max="12807" width="22.875" style="3252" customWidth="1"/>
    <col min="12808" max="12808" width="20.625" style="3252" customWidth="1"/>
    <col min="12809" max="12809" width="4.875" style="3252" customWidth="1"/>
    <col min="12810" max="12815" width="11" style="3252" customWidth="1"/>
    <col min="12816" max="12816" width="6.625" style="3252" customWidth="1"/>
    <col min="12817" max="12817" width="11" style="3252" customWidth="1"/>
    <col min="12818" max="12818" width="6.125" style="3252" customWidth="1"/>
    <col min="12819" max="12819" width="5.75" style="3252" customWidth="1"/>
    <col min="12820" max="13057" width="9" style="3252"/>
    <col min="13058" max="13058" width="4.5" style="3252" customWidth="1"/>
    <col min="13059" max="13059" width="26.5" style="3252" customWidth="1"/>
    <col min="13060" max="13060" width="8" style="3252" customWidth="1"/>
    <col min="13061" max="13061" width="6.5" style="3252" customWidth="1"/>
    <col min="13062" max="13062" width="4.75" style="3252" customWidth="1"/>
    <col min="13063" max="13063" width="22.875" style="3252" customWidth="1"/>
    <col min="13064" max="13064" width="20.625" style="3252" customWidth="1"/>
    <col min="13065" max="13065" width="4.875" style="3252" customWidth="1"/>
    <col min="13066" max="13071" width="11" style="3252" customWidth="1"/>
    <col min="13072" max="13072" width="6.625" style="3252" customWidth="1"/>
    <col min="13073" max="13073" width="11" style="3252" customWidth="1"/>
    <col min="13074" max="13074" width="6.125" style="3252" customWidth="1"/>
    <col min="13075" max="13075" width="5.75" style="3252" customWidth="1"/>
    <col min="13076" max="13313" width="9" style="3252"/>
    <col min="13314" max="13314" width="4.5" style="3252" customWidth="1"/>
    <col min="13315" max="13315" width="26.5" style="3252" customWidth="1"/>
    <col min="13316" max="13316" width="8" style="3252" customWidth="1"/>
    <col min="13317" max="13317" width="6.5" style="3252" customWidth="1"/>
    <col min="13318" max="13318" width="4.75" style="3252" customWidth="1"/>
    <col min="13319" max="13319" width="22.875" style="3252" customWidth="1"/>
    <col min="13320" max="13320" width="20.625" style="3252" customWidth="1"/>
    <col min="13321" max="13321" width="4.875" style="3252" customWidth="1"/>
    <col min="13322" max="13327" width="11" style="3252" customWidth="1"/>
    <col min="13328" max="13328" width="6.625" style="3252" customWidth="1"/>
    <col min="13329" max="13329" width="11" style="3252" customWidth="1"/>
    <col min="13330" max="13330" width="6.125" style="3252" customWidth="1"/>
    <col min="13331" max="13331" width="5.75" style="3252" customWidth="1"/>
    <col min="13332" max="13569" width="9" style="3252"/>
    <col min="13570" max="13570" width="4.5" style="3252" customWidth="1"/>
    <col min="13571" max="13571" width="26.5" style="3252" customWidth="1"/>
    <col min="13572" max="13572" width="8" style="3252" customWidth="1"/>
    <col min="13573" max="13573" width="6.5" style="3252" customWidth="1"/>
    <col min="13574" max="13574" width="4.75" style="3252" customWidth="1"/>
    <col min="13575" max="13575" width="22.875" style="3252" customWidth="1"/>
    <col min="13576" max="13576" width="20.625" style="3252" customWidth="1"/>
    <col min="13577" max="13577" width="4.875" style="3252" customWidth="1"/>
    <col min="13578" max="13583" width="11" style="3252" customWidth="1"/>
    <col min="13584" max="13584" width="6.625" style="3252" customWidth="1"/>
    <col min="13585" max="13585" width="11" style="3252" customWidth="1"/>
    <col min="13586" max="13586" width="6.125" style="3252" customWidth="1"/>
    <col min="13587" max="13587" width="5.75" style="3252" customWidth="1"/>
    <col min="13588" max="13825" width="9" style="3252"/>
    <col min="13826" max="13826" width="4.5" style="3252" customWidth="1"/>
    <col min="13827" max="13827" width="26.5" style="3252" customWidth="1"/>
    <col min="13828" max="13828" width="8" style="3252" customWidth="1"/>
    <col min="13829" max="13829" width="6.5" style="3252" customWidth="1"/>
    <col min="13830" max="13830" width="4.75" style="3252" customWidth="1"/>
    <col min="13831" max="13831" width="22.875" style="3252" customWidth="1"/>
    <col min="13832" max="13832" width="20.625" style="3252" customWidth="1"/>
    <col min="13833" max="13833" width="4.875" style="3252" customWidth="1"/>
    <col min="13834" max="13839" width="11" style="3252" customWidth="1"/>
    <col min="13840" max="13840" width="6.625" style="3252" customWidth="1"/>
    <col min="13841" max="13841" width="11" style="3252" customWidth="1"/>
    <col min="13842" max="13842" width="6.125" style="3252" customWidth="1"/>
    <col min="13843" max="13843" width="5.75" style="3252" customWidth="1"/>
    <col min="13844" max="14081" width="9" style="3252"/>
    <col min="14082" max="14082" width="4.5" style="3252" customWidth="1"/>
    <col min="14083" max="14083" width="26.5" style="3252" customWidth="1"/>
    <col min="14084" max="14084" width="8" style="3252" customWidth="1"/>
    <col min="14085" max="14085" width="6.5" style="3252" customWidth="1"/>
    <col min="14086" max="14086" width="4.75" style="3252" customWidth="1"/>
    <col min="14087" max="14087" width="22.875" style="3252" customWidth="1"/>
    <col min="14088" max="14088" width="20.625" style="3252" customWidth="1"/>
    <col min="14089" max="14089" width="4.875" style="3252" customWidth="1"/>
    <col min="14090" max="14095" width="11" style="3252" customWidth="1"/>
    <col min="14096" max="14096" width="6.625" style="3252" customWidth="1"/>
    <col min="14097" max="14097" width="11" style="3252" customWidth="1"/>
    <col min="14098" max="14098" width="6.125" style="3252" customWidth="1"/>
    <col min="14099" max="14099" width="5.75" style="3252" customWidth="1"/>
    <col min="14100" max="14337" width="9" style="3252"/>
    <col min="14338" max="14338" width="4.5" style="3252" customWidth="1"/>
    <col min="14339" max="14339" width="26.5" style="3252" customWidth="1"/>
    <col min="14340" max="14340" width="8" style="3252" customWidth="1"/>
    <col min="14341" max="14341" width="6.5" style="3252" customWidth="1"/>
    <col min="14342" max="14342" width="4.75" style="3252" customWidth="1"/>
    <col min="14343" max="14343" width="22.875" style="3252" customWidth="1"/>
    <col min="14344" max="14344" width="20.625" style="3252" customWidth="1"/>
    <col min="14345" max="14345" width="4.875" style="3252" customWidth="1"/>
    <col min="14346" max="14351" width="11" style="3252" customWidth="1"/>
    <col min="14352" max="14352" width="6.625" style="3252" customWidth="1"/>
    <col min="14353" max="14353" width="11" style="3252" customWidth="1"/>
    <col min="14354" max="14354" width="6.125" style="3252" customWidth="1"/>
    <col min="14355" max="14355" width="5.75" style="3252" customWidth="1"/>
    <col min="14356" max="14593" width="9" style="3252"/>
    <col min="14594" max="14594" width="4.5" style="3252" customWidth="1"/>
    <col min="14595" max="14595" width="26.5" style="3252" customWidth="1"/>
    <col min="14596" max="14596" width="8" style="3252" customWidth="1"/>
    <col min="14597" max="14597" width="6.5" style="3252" customWidth="1"/>
    <col min="14598" max="14598" width="4.75" style="3252" customWidth="1"/>
    <col min="14599" max="14599" width="22.875" style="3252" customWidth="1"/>
    <col min="14600" max="14600" width="20.625" style="3252" customWidth="1"/>
    <col min="14601" max="14601" width="4.875" style="3252" customWidth="1"/>
    <col min="14602" max="14607" width="11" style="3252" customWidth="1"/>
    <col min="14608" max="14608" width="6.625" style="3252" customWidth="1"/>
    <col min="14609" max="14609" width="11" style="3252" customWidth="1"/>
    <col min="14610" max="14610" width="6.125" style="3252" customWidth="1"/>
    <col min="14611" max="14611" width="5.75" style="3252" customWidth="1"/>
    <col min="14612" max="14849" width="9" style="3252"/>
    <col min="14850" max="14850" width="4.5" style="3252" customWidth="1"/>
    <col min="14851" max="14851" width="26.5" style="3252" customWidth="1"/>
    <col min="14852" max="14852" width="8" style="3252" customWidth="1"/>
    <col min="14853" max="14853" width="6.5" style="3252" customWidth="1"/>
    <col min="14854" max="14854" width="4.75" style="3252" customWidth="1"/>
    <col min="14855" max="14855" width="22.875" style="3252" customWidth="1"/>
    <col min="14856" max="14856" width="20.625" style="3252" customWidth="1"/>
    <col min="14857" max="14857" width="4.875" style="3252" customWidth="1"/>
    <col min="14858" max="14863" width="11" style="3252" customWidth="1"/>
    <col min="14864" max="14864" width="6.625" style="3252" customWidth="1"/>
    <col min="14865" max="14865" width="11" style="3252" customWidth="1"/>
    <col min="14866" max="14866" width="6.125" style="3252" customWidth="1"/>
    <col min="14867" max="14867" width="5.75" style="3252" customWidth="1"/>
    <col min="14868" max="15105" width="9" style="3252"/>
    <col min="15106" max="15106" width="4.5" style="3252" customWidth="1"/>
    <col min="15107" max="15107" width="26.5" style="3252" customWidth="1"/>
    <col min="15108" max="15108" width="8" style="3252" customWidth="1"/>
    <col min="15109" max="15109" width="6.5" style="3252" customWidth="1"/>
    <col min="15110" max="15110" width="4.75" style="3252" customWidth="1"/>
    <col min="15111" max="15111" width="22.875" style="3252" customWidth="1"/>
    <col min="15112" max="15112" width="20.625" style="3252" customWidth="1"/>
    <col min="15113" max="15113" width="4.875" style="3252" customWidth="1"/>
    <col min="15114" max="15119" width="11" style="3252" customWidth="1"/>
    <col min="15120" max="15120" width="6.625" style="3252" customWidth="1"/>
    <col min="15121" max="15121" width="11" style="3252" customWidth="1"/>
    <col min="15122" max="15122" width="6.125" style="3252" customWidth="1"/>
    <col min="15123" max="15123" width="5.75" style="3252" customWidth="1"/>
    <col min="15124" max="15361" width="9" style="3252"/>
    <col min="15362" max="15362" width="4.5" style="3252" customWidth="1"/>
    <col min="15363" max="15363" width="26.5" style="3252" customWidth="1"/>
    <col min="15364" max="15364" width="8" style="3252" customWidth="1"/>
    <col min="15365" max="15365" width="6.5" style="3252" customWidth="1"/>
    <col min="15366" max="15366" width="4.75" style="3252" customWidth="1"/>
    <col min="15367" max="15367" width="22.875" style="3252" customWidth="1"/>
    <col min="15368" max="15368" width="20.625" style="3252" customWidth="1"/>
    <col min="15369" max="15369" width="4.875" style="3252" customWidth="1"/>
    <col min="15370" max="15375" width="11" style="3252" customWidth="1"/>
    <col min="15376" max="15376" width="6.625" style="3252" customWidth="1"/>
    <col min="15377" max="15377" width="11" style="3252" customWidth="1"/>
    <col min="15378" max="15378" width="6.125" style="3252" customWidth="1"/>
    <col min="15379" max="15379" width="5.75" style="3252" customWidth="1"/>
    <col min="15380" max="15617" width="9" style="3252"/>
    <col min="15618" max="15618" width="4.5" style="3252" customWidth="1"/>
    <col min="15619" max="15619" width="26.5" style="3252" customWidth="1"/>
    <col min="15620" max="15620" width="8" style="3252" customWidth="1"/>
    <col min="15621" max="15621" width="6.5" style="3252" customWidth="1"/>
    <col min="15622" max="15622" width="4.75" style="3252" customWidth="1"/>
    <col min="15623" max="15623" width="22.875" style="3252" customWidth="1"/>
    <col min="15624" max="15624" width="20.625" style="3252" customWidth="1"/>
    <col min="15625" max="15625" width="4.875" style="3252" customWidth="1"/>
    <col min="15626" max="15631" width="11" style="3252" customWidth="1"/>
    <col min="15632" max="15632" width="6.625" style="3252" customWidth="1"/>
    <col min="15633" max="15633" width="11" style="3252" customWidth="1"/>
    <col min="15634" max="15634" width="6.125" style="3252" customWidth="1"/>
    <col min="15635" max="15635" width="5.75" style="3252" customWidth="1"/>
    <col min="15636" max="15873" width="9" style="3252"/>
    <col min="15874" max="15874" width="4.5" style="3252" customWidth="1"/>
    <col min="15875" max="15875" width="26.5" style="3252" customWidth="1"/>
    <col min="15876" max="15876" width="8" style="3252" customWidth="1"/>
    <col min="15877" max="15877" width="6.5" style="3252" customWidth="1"/>
    <col min="15878" max="15878" width="4.75" style="3252" customWidth="1"/>
    <col min="15879" max="15879" width="22.875" style="3252" customWidth="1"/>
    <col min="15880" max="15880" width="20.625" style="3252" customWidth="1"/>
    <col min="15881" max="15881" width="4.875" style="3252" customWidth="1"/>
    <col min="15882" max="15887" width="11" style="3252" customWidth="1"/>
    <col min="15888" max="15888" width="6.625" style="3252" customWidth="1"/>
    <col min="15889" max="15889" width="11" style="3252" customWidth="1"/>
    <col min="15890" max="15890" width="6.125" style="3252" customWidth="1"/>
    <col min="15891" max="15891" width="5.75" style="3252" customWidth="1"/>
    <col min="15892" max="16129" width="9" style="3252"/>
    <col min="16130" max="16130" width="4.5" style="3252" customWidth="1"/>
    <col min="16131" max="16131" width="26.5" style="3252" customWidth="1"/>
    <col min="16132" max="16132" width="8" style="3252" customWidth="1"/>
    <col min="16133" max="16133" width="6.5" style="3252" customWidth="1"/>
    <col min="16134" max="16134" width="4.75" style="3252" customWidth="1"/>
    <col min="16135" max="16135" width="22.875" style="3252" customWidth="1"/>
    <col min="16136" max="16136" width="20.625" style="3252" customWidth="1"/>
    <col min="16137" max="16137" width="4.875" style="3252" customWidth="1"/>
    <col min="16138" max="16143" width="11" style="3252" customWidth="1"/>
    <col min="16144" max="16144" width="6.625" style="3252" customWidth="1"/>
    <col min="16145" max="16145" width="11" style="3252" customWidth="1"/>
    <col min="16146" max="16146" width="6.125" style="3252" customWidth="1"/>
    <col min="16147" max="16147" width="5.75" style="3252" customWidth="1"/>
    <col min="16148" max="16384" width="9" style="3252"/>
  </cols>
  <sheetData>
    <row r="1" spans="1:19">
      <c r="A1" s="3295" t="s">
        <v>3245</v>
      </c>
      <c r="B1" s="3296" t="s">
        <v>3246</v>
      </c>
      <c r="C1" s="3297"/>
      <c r="D1" s="3297"/>
      <c r="E1" s="3297"/>
      <c r="F1" s="3297"/>
      <c r="G1" s="3297"/>
      <c r="H1" s="3297"/>
      <c r="I1" s="3251"/>
      <c r="J1" s="3251"/>
      <c r="K1" s="3251"/>
      <c r="L1" s="3251"/>
      <c r="M1" s="3251"/>
      <c r="N1" s="3251"/>
      <c r="O1" s="3251"/>
      <c r="P1" s="3251"/>
      <c r="Q1" s="3251"/>
      <c r="R1" s="3251"/>
      <c r="S1" s="3251"/>
    </row>
    <row r="2" spans="1:19" s="3253" customFormat="1" ht="23.25">
      <c r="A2" s="3880" t="s">
        <v>3247</v>
      </c>
      <c r="B2" s="3881"/>
      <c r="C2" s="3881"/>
      <c r="D2" s="3881"/>
      <c r="E2" s="3881"/>
      <c r="F2" s="3881"/>
      <c r="G2" s="3881"/>
      <c r="H2" s="3881"/>
      <c r="I2" s="3881"/>
      <c r="J2" s="3881"/>
      <c r="K2" s="3881"/>
      <c r="L2" s="3881"/>
      <c r="M2" s="3881"/>
      <c r="N2" s="3881"/>
      <c r="O2" s="3881"/>
      <c r="P2" s="3881"/>
      <c r="Q2" s="3881"/>
      <c r="R2" s="3881"/>
      <c r="S2" s="3881"/>
    </row>
    <row r="3" spans="1:19">
      <c r="A3" s="3882" t="str">
        <f>CONCATENATE([5]封面!D9,[5]封面!F9,[5]封面!G9,[5]封面!H9,[5]封面!I9,[5]封面!J9,[5]封面!K9)</f>
        <v>评估基准日：年月日</v>
      </c>
      <c r="B3" s="3882"/>
      <c r="C3" s="3882"/>
      <c r="D3" s="3882"/>
      <c r="E3" s="3882"/>
      <c r="F3" s="3882"/>
      <c r="G3" s="3882"/>
      <c r="H3" s="3882"/>
      <c r="I3" s="3882"/>
      <c r="J3" s="3883"/>
      <c r="K3" s="3883"/>
      <c r="L3" s="3883"/>
      <c r="M3" s="3883"/>
      <c r="N3" s="3883"/>
      <c r="O3" s="3883"/>
      <c r="P3" s="3883"/>
      <c r="Q3" s="3883"/>
      <c r="R3" s="3883"/>
      <c r="S3" s="3883"/>
    </row>
    <row r="4" spans="1:19">
      <c r="A4" s="3298"/>
      <c r="B4" s="3298"/>
      <c r="C4" s="3298"/>
      <c r="D4" s="3298"/>
      <c r="E4" s="3298"/>
      <c r="F4" s="3298"/>
      <c r="G4" s="3298"/>
      <c r="H4" s="3298"/>
      <c r="I4" s="3254"/>
      <c r="J4" s="3255"/>
      <c r="K4" s="3255"/>
      <c r="L4" s="3255"/>
      <c r="M4" s="3255"/>
      <c r="N4" s="3255"/>
      <c r="O4" s="3255"/>
      <c r="P4" s="3255"/>
      <c r="Q4" s="3255"/>
      <c r="R4" s="3255"/>
      <c r="S4" s="3256" t="s">
        <v>3248</v>
      </c>
    </row>
    <row r="5" spans="1:19">
      <c r="A5" s="3299" t="str">
        <f>[5]封面!D7&amp;[5]封面!E7</f>
        <v>被评估单位（或者产权持有单位）：</v>
      </c>
      <c r="H5" s="3301"/>
      <c r="I5" s="3257"/>
      <c r="J5" s="3257"/>
      <c r="S5" s="3258" t="s">
        <v>3249</v>
      </c>
    </row>
    <row r="6" spans="1:19" s="3259" customFormat="1">
      <c r="A6" s="3884" t="s">
        <v>3250</v>
      </c>
      <c r="B6" s="3885" t="s">
        <v>3251</v>
      </c>
      <c r="C6" s="3886" t="s">
        <v>3252</v>
      </c>
      <c r="D6" s="3888" t="s">
        <v>3253</v>
      </c>
      <c r="E6" s="3890" t="s">
        <v>3254</v>
      </c>
      <c r="F6" s="3890" t="s">
        <v>3255</v>
      </c>
      <c r="G6" s="3890" t="s">
        <v>3256</v>
      </c>
      <c r="H6" s="3890" t="s">
        <v>3257</v>
      </c>
      <c r="I6" s="3891" t="s">
        <v>3258</v>
      </c>
      <c r="J6" s="3891" t="s">
        <v>3259</v>
      </c>
      <c r="K6" s="3893" t="s">
        <v>3260</v>
      </c>
      <c r="L6" s="3894"/>
      <c r="M6" s="3895" t="s">
        <v>3261</v>
      </c>
      <c r="N6" s="3896"/>
      <c r="O6" s="3893" t="s">
        <v>3262</v>
      </c>
      <c r="P6" s="3892"/>
      <c r="Q6" s="3892"/>
      <c r="R6" s="3891" t="s">
        <v>3263</v>
      </c>
      <c r="S6" s="3891" t="s">
        <v>3264</v>
      </c>
    </row>
    <row r="7" spans="1:19" s="3259" customFormat="1">
      <c r="A7" s="3885"/>
      <c r="B7" s="3885"/>
      <c r="C7" s="3887"/>
      <c r="D7" s="3889"/>
      <c r="E7" s="3885"/>
      <c r="F7" s="3885"/>
      <c r="G7" s="3885"/>
      <c r="H7" s="3885"/>
      <c r="I7" s="3892"/>
      <c r="J7" s="3892"/>
      <c r="K7" s="3260" t="s">
        <v>3265</v>
      </c>
      <c r="L7" s="3261" t="s">
        <v>3266</v>
      </c>
      <c r="M7" s="3262" t="s">
        <v>3265</v>
      </c>
      <c r="N7" s="3260" t="s">
        <v>3266</v>
      </c>
      <c r="O7" s="3260" t="s">
        <v>3265</v>
      </c>
      <c r="P7" s="3260" t="s">
        <v>3267</v>
      </c>
      <c r="Q7" s="3260" t="s">
        <v>3266</v>
      </c>
      <c r="R7" s="3892"/>
      <c r="S7" s="3892"/>
    </row>
    <row r="8" spans="1:19" s="3259" customFormat="1">
      <c r="A8" s="3266">
        <v>1</v>
      </c>
      <c r="B8" s="3267" t="s">
        <v>3268</v>
      </c>
      <c r="C8" s="3302" t="s">
        <v>3269</v>
      </c>
      <c r="D8" s="3302">
        <v>17</v>
      </c>
      <c r="E8" s="3266"/>
      <c r="F8" s="3266"/>
      <c r="G8" s="3267"/>
      <c r="H8" s="3267"/>
      <c r="I8" s="3263"/>
      <c r="J8" s="3264">
        <v>35415</v>
      </c>
      <c r="K8" s="3265">
        <v>394792.47</v>
      </c>
      <c r="L8" s="3265">
        <v>179918.57</v>
      </c>
      <c r="M8" s="3265">
        <v>394792.47</v>
      </c>
      <c r="N8" s="3265">
        <v>179918.57</v>
      </c>
      <c r="O8" s="3260"/>
      <c r="P8" s="3260"/>
      <c r="Q8" s="3260"/>
      <c r="R8" s="3263"/>
      <c r="S8" s="3263"/>
    </row>
    <row r="9" spans="1:19" s="3259" customFormat="1">
      <c r="A9" s="3266">
        <v>2</v>
      </c>
      <c r="B9" s="3267" t="s">
        <v>3270</v>
      </c>
      <c r="C9" s="3302" t="s">
        <v>3269</v>
      </c>
      <c r="D9" s="3302">
        <v>17</v>
      </c>
      <c r="E9" s="3266"/>
      <c r="F9" s="3266"/>
      <c r="G9" s="3267">
        <v>311.43</v>
      </c>
      <c r="H9" s="3267" t="s">
        <v>3271</v>
      </c>
      <c r="I9" s="3263"/>
      <c r="J9" s="3264">
        <v>38108</v>
      </c>
      <c r="K9" s="3265">
        <v>32003</v>
      </c>
      <c r="L9" s="3265">
        <v>19616.72</v>
      </c>
      <c r="M9" s="3265">
        <v>32003</v>
      </c>
      <c r="N9" s="3265">
        <v>19616.72</v>
      </c>
      <c r="O9" s="3260"/>
      <c r="P9" s="3260"/>
      <c r="Q9" s="3260"/>
      <c r="R9" s="3263"/>
      <c r="S9" s="3263"/>
    </row>
    <row r="10" spans="1:19" s="3270" customFormat="1">
      <c r="A10" s="3266">
        <v>3</v>
      </c>
      <c r="B10" s="3267" t="s">
        <v>3272</v>
      </c>
      <c r="C10" s="3302" t="s">
        <v>3269</v>
      </c>
      <c r="D10" s="3302">
        <v>17</v>
      </c>
      <c r="E10" s="3266"/>
      <c r="F10" s="3266"/>
      <c r="G10" s="3267"/>
      <c r="H10" s="3267"/>
      <c r="I10" s="3266"/>
      <c r="J10" s="3264">
        <v>35962</v>
      </c>
      <c r="K10" s="3268">
        <v>264000</v>
      </c>
      <c r="L10" s="3268">
        <v>132192.5</v>
      </c>
      <c r="M10" s="3268">
        <v>264000</v>
      </c>
      <c r="N10" s="3268">
        <v>132192.5</v>
      </c>
      <c r="O10" s="3269"/>
      <c r="P10" s="3269"/>
      <c r="Q10" s="3269"/>
      <c r="R10" s="3266"/>
      <c r="S10" s="3266"/>
    </row>
    <row r="11" spans="1:19" s="3259" customFormat="1">
      <c r="A11" s="3266">
        <v>4</v>
      </c>
      <c r="B11" s="3267" t="s">
        <v>3273</v>
      </c>
      <c r="C11" s="3302" t="s">
        <v>3269</v>
      </c>
      <c r="D11" s="3302">
        <v>17</v>
      </c>
      <c r="E11" s="3266"/>
      <c r="F11" s="3266"/>
      <c r="G11" s="3267"/>
      <c r="H11" s="3267"/>
      <c r="I11" s="3263"/>
      <c r="J11" s="3264">
        <v>37241</v>
      </c>
      <c r="K11" s="3265">
        <v>17989.27</v>
      </c>
      <c r="L11" s="3265">
        <v>10827.99</v>
      </c>
      <c r="M11" s="3265">
        <v>17989.27</v>
      </c>
      <c r="N11" s="3265">
        <v>10827.99</v>
      </c>
      <c r="O11" s="3260"/>
      <c r="P11" s="3260"/>
      <c r="Q11" s="3260"/>
      <c r="R11" s="3263"/>
      <c r="S11" s="3263"/>
    </row>
    <row r="12" spans="1:19" s="3259" customFormat="1">
      <c r="A12" s="3266">
        <v>5</v>
      </c>
      <c r="B12" s="3267" t="s">
        <v>3274</v>
      </c>
      <c r="C12" s="3302" t="s">
        <v>3269</v>
      </c>
      <c r="D12" s="3302">
        <v>17</v>
      </c>
      <c r="E12" s="3266"/>
      <c r="F12" s="3266"/>
      <c r="G12" s="3267">
        <v>311.43</v>
      </c>
      <c r="H12" s="3267" t="s">
        <v>3271</v>
      </c>
      <c r="I12" s="3263"/>
      <c r="J12" s="3264">
        <v>38108</v>
      </c>
      <c r="K12" s="3265">
        <v>32003</v>
      </c>
      <c r="L12" s="3265">
        <v>19616.71</v>
      </c>
      <c r="M12" s="3265">
        <v>32003</v>
      </c>
      <c r="N12" s="3265">
        <v>19616.71</v>
      </c>
      <c r="O12" s="3260"/>
      <c r="P12" s="3260"/>
      <c r="Q12" s="3260"/>
      <c r="R12" s="3263"/>
      <c r="S12" s="3263"/>
    </row>
    <row r="13" spans="1:19" s="3259" customFormat="1">
      <c r="A13" s="3266">
        <v>6</v>
      </c>
      <c r="B13" s="3267" t="s">
        <v>3275</v>
      </c>
      <c r="C13" s="3302" t="s">
        <v>3269</v>
      </c>
      <c r="D13" s="3302">
        <v>17</v>
      </c>
      <c r="E13" s="3266"/>
      <c r="F13" s="3266"/>
      <c r="G13" s="3267"/>
      <c r="H13" s="3267"/>
      <c r="I13" s="3263"/>
      <c r="J13" s="3264">
        <v>37241</v>
      </c>
      <c r="K13" s="3265">
        <v>264000</v>
      </c>
      <c r="L13" s="3265">
        <v>132192.5</v>
      </c>
      <c r="M13" s="3265">
        <v>264000</v>
      </c>
      <c r="N13" s="3265">
        <v>132192.5</v>
      </c>
      <c r="O13" s="3260"/>
      <c r="P13" s="3260"/>
      <c r="Q13" s="3260"/>
      <c r="R13" s="3263"/>
      <c r="S13" s="3263"/>
    </row>
    <row r="14" spans="1:19" s="3259" customFormat="1">
      <c r="A14" s="3266">
        <v>7</v>
      </c>
      <c r="B14" s="3267" t="s">
        <v>3276</v>
      </c>
      <c r="C14" s="3302" t="s">
        <v>3277</v>
      </c>
      <c r="D14" s="3302">
        <v>21</v>
      </c>
      <c r="E14" s="3266"/>
      <c r="F14" s="3266"/>
      <c r="G14" s="3267">
        <v>270</v>
      </c>
      <c r="H14" s="3267"/>
      <c r="I14" s="3263"/>
      <c r="J14" s="3264">
        <v>37591</v>
      </c>
      <c r="K14" s="3265">
        <v>9450</v>
      </c>
      <c r="L14" s="3265">
        <v>5916.94</v>
      </c>
      <c r="M14" s="3265">
        <v>9450</v>
      </c>
      <c r="N14" s="3265">
        <v>5916.94</v>
      </c>
      <c r="O14" s="3260"/>
      <c r="P14" s="3260"/>
      <c r="Q14" s="3260"/>
      <c r="R14" s="3263"/>
      <c r="S14" s="3263"/>
    </row>
    <row r="15" spans="1:19" s="3259" customFormat="1">
      <c r="A15" s="3266">
        <v>8</v>
      </c>
      <c r="B15" s="3267" t="s">
        <v>3278</v>
      </c>
      <c r="C15" s="3302" t="s">
        <v>3277</v>
      </c>
      <c r="D15" s="3302">
        <v>36</v>
      </c>
      <c r="E15" s="3266"/>
      <c r="F15" s="3266"/>
      <c r="G15" s="3267"/>
      <c r="H15" s="3267"/>
      <c r="I15" s="3263"/>
      <c r="J15" s="3264">
        <v>37803</v>
      </c>
      <c r="K15" s="3265">
        <v>35860</v>
      </c>
      <c r="L15" s="3265">
        <v>22960.78</v>
      </c>
      <c r="M15" s="3265">
        <v>35860</v>
      </c>
      <c r="N15" s="3265">
        <v>22960.78</v>
      </c>
      <c r="O15" s="3260"/>
      <c r="P15" s="3260"/>
      <c r="Q15" s="3260"/>
      <c r="R15" s="3263"/>
      <c r="S15" s="3263"/>
    </row>
    <row r="16" spans="1:19" s="3259" customFormat="1">
      <c r="A16" s="3266">
        <v>9</v>
      </c>
      <c r="B16" s="3267" t="s">
        <v>3279</v>
      </c>
      <c r="C16" s="3302" t="s">
        <v>3280</v>
      </c>
      <c r="D16" s="3302"/>
      <c r="E16" s="3266">
        <v>3210</v>
      </c>
      <c r="F16" s="3266"/>
      <c r="G16" s="3267"/>
      <c r="H16" s="3267" t="s">
        <v>3281</v>
      </c>
      <c r="I16" s="3263"/>
      <c r="J16" s="3264">
        <v>34748</v>
      </c>
      <c r="K16" s="3265">
        <v>809200</v>
      </c>
      <c r="L16" s="3265">
        <v>322246.92</v>
      </c>
      <c r="M16" s="3265">
        <v>809200</v>
      </c>
      <c r="N16" s="3265">
        <v>322246.92</v>
      </c>
      <c r="O16" s="3260"/>
      <c r="P16" s="3260"/>
      <c r="Q16" s="3260"/>
      <c r="R16" s="3263"/>
      <c r="S16" s="3263"/>
    </row>
    <row r="17" spans="1:19" s="3259" customFormat="1">
      <c r="A17" s="3266">
        <v>10</v>
      </c>
      <c r="B17" s="3267" t="s">
        <v>3282</v>
      </c>
      <c r="C17" s="3302" t="s">
        <v>3280</v>
      </c>
      <c r="D17" s="3302"/>
      <c r="E17" s="3266"/>
      <c r="F17" s="3266"/>
      <c r="G17" s="3267"/>
      <c r="H17" s="3267"/>
      <c r="I17" s="3263"/>
      <c r="J17" s="3264">
        <v>34748</v>
      </c>
      <c r="K17" s="3271">
        <v>193600</v>
      </c>
      <c r="L17" s="3265">
        <v>5808</v>
      </c>
      <c r="M17" s="3271">
        <v>193600</v>
      </c>
      <c r="N17" s="3265">
        <v>5808</v>
      </c>
      <c r="O17" s="3260"/>
      <c r="P17" s="3260"/>
      <c r="Q17" s="3260"/>
      <c r="R17" s="3263"/>
      <c r="S17" s="3263"/>
    </row>
    <row r="18" spans="1:19" s="3259" customFormat="1">
      <c r="A18" s="3266">
        <v>11</v>
      </c>
      <c r="B18" s="3267" t="s">
        <v>3283</v>
      </c>
      <c r="C18" s="3302" t="s">
        <v>3280</v>
      </c>
      <c r="D18" s="3302"/>
      <c r="E18" s="3266">
        <v>10778</v>
      </c>
      <c r="F18" s="3266"/>
      <c r="G18" s="3267"/>
      <c r="H18" s="3267" t="s">
        <v>3284</v>
      </c>
      <c r="I18" s="3263"/>
      <c r="J18" s="3264">
        <v>34748</v>
      </c>
      <c r="K18" s="3271">
        <v>3468500</v>
      </c>
      <c r="L18" s="3265">
        <v>1848132.08</v>
      </c>
      <c r="M18" s="3271">
        <v>3468500</v>
      </c>
      <c r="N18" s="3265">
        <v>1848132.08</v>
      </c>
      <c r="O18" s="3260"/>
      <c r="P18" s="3260"/>
      <c r="Q18" s="3260"/>
      <c r="R18" s="3263"/>
      <c r="S18" s="3263"/>
    </row>
    <row r="19" spans="1:19" s="3259" customFormat="1">
      <c r="A19" s="3266">
        <v>12</v>
      </c>
      <c r="B19" s="3267" t="s">
        <v>3285</v>
      </c>
      <c r="C19" s="3302" t="s">
        <v>3280</v>
      </c>
      <c r="D19" s="3302"/>
      <c r="E19" s="3266">
        <v>2917</v>
      </c>
      <c r="F19" s="3266"/>
      <c r="G19" s="3267"/>
      <c r="H19" s="3267" t="s">
        <v>3284</v>
      </c>
      <c r="I19" s="3263"/>
      <c r="J19" s="3264">
        <v>34748</v>
      </c>
      <c r="K19" s="3265">
        <v>421600</v>
      </c>
      <c r="L19" s="3265">
        <v>167893.66</v>
      </c>
      <c r="M19" s="3265">
        <v>421600</v>
      </c>
      <c r="N19" s="3265">
        <v>167893.66</v>
      </c>
      <c r="O19" s="3260"/>
      <c r="P19" s="3260"/>
      <c r="Q19" s="3260"/>
      <c r="R19" s="3263"/>
      <c r="S19" s="3263"/>
    </row>
    <row r="20" spans="1:19" s="3259" customFormat="1">
      <c r="A20" s="3266">
        <v>13</v>
      </c>
      <c r="B20" s="3267" t="s">
        <v>3286</v>
      </c>
      <c r="C20" s="3302" t="s">
        <v>3280</v>
      </c>
      <c r="D20" s="3302"/>
      <c r="E20" s="3266">
        <v>880</v>
      </c>
      <c r="F20" s="3266"/>
      <c r="G20" s="3267"/>
      <c r="H20" s="3267" t="s">
        <v>3284</v>
      </c>
      <c r="I20" s="3263"/>
      <c r="J20" s="3264">
        <v>34748</v>
      </c>
      <c r="K20" s="3265">
        <v>143200</v>
      </c>
      <c r="L20" s="3265">
        <v>43601.66</v>
      </c>
      <c r="M20" s="3265">
        <v>143200</v>
      </c>
      <c r="N20" s="3265">
        <v>43601.66</v>
      </c>
      <c r="O20" s="3260"/>
      <c r="P20" s="3260"/>
      <c r="Q20" s="3260"/>
      <c r="R20" s="3263"/>
      <c r="S20" s="3263"/>
    </row>
    <row r="21" spans="1:19" s="3259" customFormat="1">
      <c r="A21" s="3266">
        <v>14</v>
      </c>
      <c r="B21" s="3267" t="s">
        <v>3287</v>
      </c>
      <c r="C21" s="3302" t="s">
        <v>3288</v>
      </c>
      <c r="D21" s="3302">
        <v>17</v>
      </c>
      <c r="E21" s="3266"/>
      <c r="F21" s="3266"/>
      <c r="G21" s="3267">
        <v>6390</v>
      </c>
      <c r="H21" s="3267"/>
      <c r="I21" s="3263"/>
      <c r="J21" s="3264">
        <v>37591</v>
      </c>
      <c r="K21" s="3265">
        <v>242820</v>
      </c>
      <c r="L21" s="3265">
        <v>152040.72</v>
      </c>
      <c r="M21" s="3265">
        <v>242820</v>
      </c>
      <c r="N21" s="3265">
        <v>152040.72</v>
      </c>
      <c r="O21" s="3260"/>
      <c r="P21" s="3260"/>
      <c r="Q21" s="3260"/>
      <c r="R21" s="3263"/>
      <c r="S21" s="3263"/>
    </row>
    <row r="22" spans="1:19" s="3339" customFormat="1">
      <c r="A22" s="3333">
        <v>15</v>
      </c>
      <c r="B22" s="3334" t="s">
        <v>3289</v>
      </c>
      <c r="C22" s="3335" t="s">
        <v>3290</v>
      </c>
      <c r="D22" s="3335"/>
      <c r="E22" s="3333"/>
      <c r="F22" s="3333"/>
      <c r="G22" s="3334">
        <v>588.4</v>
      </c>
      <c r="H22" s="3334" t="s">
        <v>3291</v>
      </c>
      <c r="I22" s="3333"/>
      <c r="J22" s="3336">
        <v>35721</v>
      </c>
      <c r="K22" s="3337">
        <v>392277.26</v>
      </c>
      <c r="L22" s="3337">
        <v>106200.69</v>
      </c>
      <c r="M22" s="3337">
        <v>392277.26</v>
      </c>
      <c r="N22" s="3337">
        <v>106200.69</v>
      </c>
      <c r="O22" s="3338"/>
      <c r="P22" s="3338"/>
      <c r="Q22" s="3338"/>
      <c r="R22" s="3333"/>
      <c r="S22" s="3333"/>
    </row>
    <row r="23" spans="1:19" s="3316" customFormat="1">
      <c r="A23" s="3310">
        <v>16</v>
      </c>
      <c r="B23" s="3311" t="s">
        <v>3292</v>
      </c>
      <c r="C23" s="3312" t="s">
        <v>3290</v>
      </c>
      <c r="D23" s="3312"/>
      <c r="E23" s="3310"/>
      <c r="F23" s="3310"/>
      <c r="G23" s="3311">
        <v>15971.3</v>
      </c>
      <c r="H23" s="3311" t="s">
        <v>3293</v>
      </c>
      <c r="I23" s="3310"/>
      <c r="J23" s="3313">
        <v>35782</v>
      </c>
      <c r="K23" s="3314">
        <v>459545.68</v>
      </c>
      <c r="L23" s="3314">
        <v>131305.39000000001</v>
      </c>
      <c r="M23" s="3314">
        <v>459545.68</v>
      </c>
      <c r="N23" s="3314">
        <v>131305.39000000001</v>
      </c>
      <c r="O23" s="3315"/>
      <c r="P23" s="3315"/>
      <c r="Q23" s="3315"/>
      <c r="R23" s="3310"/>
      <c r="S23" s="3310"/>
    </row>
    <row r="24" spans="1:19" s="3331" customFormat="1">
      <c r="A24" s="3325">
        <v>17</v>
      </c>
      <c r="B24" s="3326" t="s">
        <v>3294</v>
      </c>
      <c r="C24" s="3327" t="s">
        <v>3290</v>
      </c>
      <c r="D24" s="3327"/>
      <c r="E24" s="3325">
        <v>204</v>
      </c>
      <c r="F24" s="3325"/>
      <c r="G24" s="3326"/>
      <c r="H24" s="3326" t="s">
        <v>3295</v>
      </c>
      <c r="I24" s="3325"/>
      <c r="J24" s="3328">
        <v>35782</v>
      </c>
      <c r="K24" s="3329">
        <v>41911.18</v>
      </c>
      <c r="L24" s="3329">
        <v>11975.19</v>
      </c>
      <c r="M24" s="3329">
        <v>41911.18</v>
      </c>
      <c r="N24" s="3329">
        <v>11975.19</v>
      </c>
      <c r="O24" s="3330"/>
      <c r="P24" s="3330"/>
      <c r="Q24" s="3330"/>
      <c r="R24" s="3325"/>
      <c r="S24" s="3325"/>
    </row>
    <row r="25" spans="1:19" s="3323" customFormat="1">
      <c r="A25" s="3317">
        <v>18</v>
      </c>
      <c r="B25" s="3318" t="s">
        <v>3296</v>
      </c>
      <c r="C25" s="3319" t="s">
        <v>3290</v>
      </c>
      <c r="D25" s="3319"/>
      <c r="E25" s="3317">
        <v>93</v>
      </c>
      <c r="F25" s="3317"/>
      <c r="G25" s="3318"/>
      <c r="H25" s="3318" t="s">
        <v>3297</v>
      </c>
      <c r="I25" s="3317"/>
      <c r="J25" s="3320">
        <v>35782</v>
      </c>
      <c r="K25" s="3321">
        <v>27578.22</v>
      </c>
      <c r="L25" s="3321">
        <v>7879.86</v>
      </c>
      <c r="M25" s="3321">
        <v>27578.22</v>
      </c>
      <c r="N25" s="3321">
        <v>7879.86</v>
      </c>
      <c r="O25" s="3322"/>
      <c r="P25" s="3322"/>
      <c r="Q25" s="3322"/>
      <c r="R25" s="3317"/>
      <c r="S25" s="3317"/>
    </row>
    <row r="26" spans="1:19" s="3259" customFormat="1">
      <c r="A26" s="3266">
        <v>19</v>
      </c>
      <c r="B26" s="3267" t="s">
        <v>3298</v>
      </c>
      <c r="C26" s="3302" t="s">
        <v>3290</v>
      </c>
      <c r="D26" s="3302"/>
      <c r="E26" s="3266"/>
      <c r="F26" s="3266"/>
      <c r="G26" s="3267"/>
      <c r="H26" s="3267"/>
      <c r="I26" s="3263"/>
      <c r="J26" s="3264">
        <v>35964</v>
      </c>
      <c r="K26" s="3265">
        <v>3733.38</v>
      </c>
      <c r="L26" s="3265">
        <v>1235.1300000000001</v>
      </c>
      <c r="M26" s="3265">
        <v>3733.38</v>
      </c>
      <c r="N26" s="3265">
        <v>1235.1300000000001</v>
      </c>
      <c r="O26" s="3260"/>
      <c r="P26" s="3260"/>
      <c r="Q26" s="3260"/>
      <c r="R26" s="3263"/>
      <c r="S26" s="3263"/>
    </row>
    <row r="27" spans="1:19" s="3331" customFormat="1">
      <c r="A27" s="3325">
        <v>20</v>
      </c>
      <c r="B27" s="3326" t="s">
        <v>3299</v>
      </c>
      <c r="C27" s="3327" t="s">
        <v>3290</v>
      </c>
      <c r="D27" s="3327"/>
      <c r="E27" s="3325">
        <v>255</v>
      </c>
      <c r="F27" s="3325"/>
      <c r="G27" s="3326">
        <v>255</v>
      </c>
      <c r="H27" s="3326" t="s">
        <v>3300</v>
      </c>
      <c r="I27" s="3325"/>
      <c r="J27" s="3328">
        <v>37803</v>
      </c>
      <c r="K27" s="3332">
        <v>27146.93</v>
      </c>
      <c r="L27" s="3332">
        <v>17381.96</v>
      </c>
      <c r="M27" s="3332">
        <v>27146.93</v>
      </c>
      <c r="N27" s="3332">
        <v>17381.96</v>
      </c>
      <c r="O27" s="3330"/>
      <c r="P27" s="3330"/>
      <c r="Q27" s="3330"/>
      <c r="R27" s="3325"/>
      <c r="S27" s="3325"/>
    </row>
    <row r="28" spans="1:19" s="3323" customFormat="1">
      <c r="A28" s="3317">
        <v>21</v>
      </c>
      <c r="B28" s="3318" t="s">
        <v>3301</v>
      </c>
      <c r="C28" s="3319" t="s">
        <v>3290</v>
      </c>
      <c r="D28" s="3319"/>
      <c r="E28" s="3317">
        <v>140</v>
      </c>
      <c r="F28" s="3317"/>
      <c r="G28" s="3318"/>
      <c r="H28" s="3318" t="s">
        <v>3302</v>
      </c>
      <c r="I28" s="3317"/>
      <c r="J28" s="3320">
        <v>37834</v>
      </c>
      <c r="K28" s="3321">
        <v>36921.300000000003</v>
      </c>
      <c r="L28" s="3321">
        <v>23715.11</v>
      </c>
      <c r="M28" s="3321">
        <v>36921.300000000003</v>
      </c>
      <c r="N28" s="3321">
        <v>23715.11</v>
      </c>
      <c r="O28" s="3322"/>
      <c r="P28" s="3322"/>
      <c r="Q28" s="3322"/>
      <c r="R28" s="3317"/>
      <c r="S28" s="3317"/>
    </row>
    <row r="29" spans="1:19" s="3259" customFormat="1">
      <c r="A29" s="3266">
        <v>22</v>
      </c>
      <c r="B29" s="3267" t="s">
        <v>3303</v>
      </c>
      <c r="C29" s="3302" t="s">
        <v>3280</v>
      </c>
      <c r="D29" s="3302">
        <v>1</v>
      </c>
      <c r="E29" s="3266"/>
      <c r="F29" s="3266"/>
      <c r="G29" s="3267"/>
      <c r="H29" s="3267"/>
      <c r="I29" s="3263"/>
      <c r="J29" s="3264">
        <v>37834</v>
      </c>
      <c r="K29" s="3265">
        <v>19631.27</v>
      </c>
      <c r="L29" s="3265">
        <v>12609.57</v>
      </c>
      <c r="M29" s="3265">
        <v>19631.27</v>
      </c>
      <c r="N29" s="3265">
        <v>12609.57</v>
      </c>
      <c r="O29" s="3260"/>
      <c r="P29" s="3260"/>
      <c r="Q29" s="3260"/>
      <c r="R29" s="3263"/>
      <c r="S29" s="3263"/>
    </row>
    <row r="30" spans="1:19" s="3259" customFormat="1">
      <c r="A30" s="3266">
        <v>23</v>
      </c>
      <c r="B30" s="3267" t="s">
        <v>3304</v>
      </c>
      <c r="C30" s="3302" t="s">
        <v>3280</v>
      </c>
      <c r="D30" s="3302"/>
      <c r="E30" s="3266"/>
      <c r="F30" s="3266"/>
      <c r="G30" s="3267">
        <v>44419</v>
      </c>
      <c r="H30" s="3267" t="s">
        <v>3305</v>
      </c>
      <c r="I30" s="3263"/>
      <c r="J30" s="3264">
        <v>34748</v>
      </c>
      <c r="K30" s="3271">
        <v>4350600</v>
      </c>
      <c r="L30" s="3265">
        <v>130518</v>
      </c>
      <c r="M30" s="3271">
        <v>4350600</v>
      </c>
      <c r="N30" s="3265">
        <v>130518</v>
      </c>
      <c r="O30" s="3260"/>
      <c r="P30" s="3260"/>
      <c r="Q30" s="3260"/>
      <c r="R30" s="3263"/>
      <c r="S30" s="3263"/>
    </row>
    <row r="31" spans="1:19" s="3323" customFormat="1">
      <c r="A31" s="3317">
        <v>24</v>
      </c>
      <c r="B31" s="3318" t="s">
        <v>3306</v>
      </c>
      <c r="C31" s="3319" t="s">
        <v>3280</v>
      </c>
      <c r="D31" s="3319"/>
      <c r="E31" s="3317">
        <v>2020</v>
      </c>
      <c r="F31" s="3317"/>
      <c r="G31" s="3318"/>
      <c r="H31" s="3318" t="s">
        <v>3302</v>
      </c>
      <c r="I31" s="3317"/>
      <c r="J31" s="3320">
        <v>34748</v>
      </c>
      <c r="K31" s="3324">
        <v>470600</v>
      </c>
      <c r="L31" s="3321">
        <v>14118</v>
      </c>
      <c r="M31" s="3324">
        <v>470600</v>
      </c>
      <c r="N31" s="3321">
        <v>14118</v>
      </c>
      <c r="O31" s="3322"/>
      <c r="P31" s="3322"/>
      <c r="Q31" s="3322"/>
      <c r="R31" s="3317"/>
      <c r="S31" s="3317"/>
    </row>
    <row r="32" spans="1:19" s="3259" customFormat="1">
      <c r="A32" s="3266">
        <v>25</v>
      </c>
      <c r="B32" s="3267" t="s">
        <v>3307</v>
      </c>
      <c r="C32" s="3302" t="s">
        <v>3280</v>
      </c>
      <c r="D32" s="3302"/>
      <c r="E32" s="3266">
        <v>2294</v>
      </c>
      <c r="F32" s="3266"/>
      <c r="G32" s="3267"/>
      <c r="H32" s="3267"/>
      <c r="I32" s="3263"/>
      <c r="J32" s="3264">
        <v>34748</v>
      </c>
      <c r="K32" s="3271">
        <v>2152000</v>
      </c>
      <c r="L32" s="3265">
        <v>1348407.56</v>
      </c>
      <c r="M32" s="3271">
        <v>2152000</v>
      </c>
      <c r="N32" s="3265">
        <v>1348407.56</v>
      </c>
      <c r="O32" s="3260"/>
      <c r="P32" s="3260"/>
      <c r="Q32" s="3260"/>
      <c r="R32" s="3263"/>
      <c r="S32" s="3263"/>
    </row>
    <row r="33" spans="1:19" s="3259" customFormat="1">
      <c r="A33" s="3266">
        <v>26</v>
      </c>
      <c r="B33" s="3267" t="s">
        <v>3308</v>
      </c>
      <c r="C33" s="3302" t="s">
        <v>3280</v>
      </c>
      <c r="D33" s="3302"/>
      <c r="E33" s="3266">
        <v>12</v>
      </c>
      <c r="F33" s="3266"/>
      <c r="G33" s="3267"/>
      <c r="H33" s="3267" t="s">
        <v>3309</v>
      </c>
      <c r="I33" s="3263"/>
      <c r="J33" s="3264">
        <v>35660</v>
      </c>
      <c r="K33" s="3265">
        <v>5752</v>
      </c>
      <c r="L33" s="3265">
        <v>2736.74</v>
      </c>
      <c r="M33" s="3265">
        <v>5752</v>
      </c>
      <c r="N33" s="3265">
        <v>2736.74</v>
      </c>
      <c r="O33" s="3260"/>
      <c r="P33" s="3260"/>
      <c r="Q33" s="3260"/>
      <c r="R33" s="3263"/>
      <c r="S33" s="3263"/>
    </row>
    <row r="34" spans="1:19" s="3346" customFormat="1">
      <c r="A34" s="3340">
        <v>27</v>
      </c>
      <c r="B34" s="3341" t="s">
        <v>3310</v>
      </c>
      <c r="C34" s="3342" t="s">
        <v>3280</v>
      </c>
      <c r="D34" s="3342"/>
      <c r="E34" s="3340"/>
      <c r="F34" s="3340"/>
      <c r="G34" s="3341">
        <v>133</v>
      </c>
      <c r="H34" s="3341" t="s">
        <v>3311</v>
      </c>
      <c r="I34" s="3340"/>
      <c r="J34" s="3343">
        <v>35051</v>
      </c>
      <c r="K34" s="3344">
        <v>340000</v>
      </c>
      <c r="L34" s="3344">
        <v>117548.16</v>
      </c>
      <c r="M34" s="3344">
        <v>340000</v>
      </c>
      <c r="N34" s="3344">
        <v>117548.16</v>
      </c>
      <c r="O34" s="3345"/>
      <c r="P34" s="3345"/>
      <c r="Q34" s="3345"/>
      <c r="R34" s="3340"/>
      <c r="S34" s="3340"/>
    </row>
    <row r="35" spans="1:19" s="3323" customFormat="1">
      <c r="A35" s="3317">
        <v>28</v>
      </c>
      <c r="B35" s="3318" t="s">
        <v>3312</v>
      </c>
      <c r="C35" s="3319" t="s">
        <v>3280</v>
      </c>
      <c r="D35" s="3319"/>
      <c r="E35" s="3317">
        <v>44</v>
      </c>
      <c r="F35" s="3317"/>
      <c r="G35" s="3318"/>
      <c r="H35" s="3318" t="s">
        <v>3302</v>
      </c>
      <c r="I35" s="3317"/>
      <c r="J35" s="3320">
        <v>35660</v>
      </c>
      <c r="K35" s="3321">
        <v>39483</v>
      </c>
      <c r="L35" s="3321">
        <v>10096.99</v>
      </c>
      <c r="M35" s="3321">
        <v>39483</v>
      </c>
      <c r="N35" s="3321">
        <v>10096.99</v>
      </c>
      <c r="O35" s="3322"/>
      <c r="P35" s="3322"/>
      <c r="Q35" s="3322"/>
      <c r="R35" s="3317"/>
      <c r="S35" s="3317"/>
    </row>
    <row r="36" spans="1:19" s="3270" customFormat="1">
      <c r="A36" s="3266">
        <v>29</v>
      </c>
      <c r="B36" s="3267" t="s">
        <v>3313</v>
      </c>
      <c r="C36" s="3302" t="s">
        <v>3280</v>
      </c>
      <c r="D36" s="3302"/>
      <c r="E36" s="3266"/>
      <c r="F36" s="3266"/>
      <c r="G36" s="3267"/>
      <c r="H36" s="3267"/>
      <c r="I36" s="3266"/>
      <c r="J36" s="3264">
        <v>37096</v>
      </c>
      <c r="K36" s="3272">
        <v>5040289</v>
      </c>
      <c r="L36" s="3273">
        <v>3664170.6</v>
      </c>
      <c r="M36" s="3272">
        <v>5040289</v>
      </c>
      <c r="N36" s="3273">
        <v>3664170.6</v>
      </c>
      <c r="O36" s="3269"/>
      <c r="P36" s="3269"/>
      <c r="Q36" s="3269"/>
      <c r="R36" s="3266"/>
      <c r="S36" s="3266"/>
    </row>
    <row r="37" spans="1:19" s="3259" customFormat="1">
      <c r="A37" s="3266">
        <v>30</v>
      </c>
      <c r="B37" s="3267" t="s">
        <v>3314</v>
      </c>
      <c r="C37" s="3302" t="s">
        <v>3315</v>
      </c>
      <c r="D37" s="3302">
        <v>37</v>
      </c>
      <c r="E37" s="3266"/>
      <c r="F37" s="3266"/>
      <c r="G37" s="3267"/>
      <c r="H37" s="3267"/>
      <c r="I37" s="3263"/>
      <c r="J37" s="3264">
        <v>36482</v>
      </c>
      <c r="K37" s="3265">
        <v>147000</v>
      </c>
      <c r="L37" s="3265">
        <v>79854.87</v>
      </c>
      <c r="M37" s="3265">
        <v>147000</v>
      </c>
      <c r="N37" s="3265">
        <v>79854.87</v>
      </c>
      <c r="O37" s="3260"/>
      <c r="P37" s="3260"/>
      <c r="Q37" s="3260"/>
      <c r="R37" s="3263"/>
      <c r="S37" s="3263"/>
    </row>
    <row r="38" spans="1:19" s="3259" customFormat="1">
      <c r="A38" s="3266">
        <v>31</v>
      </c>
      <c r="B38" s="3267" t="s">
        <v>3316</v>
      </c>
      <c r="C38" s="3302" t="s">
        <v>3315</v>
      </c>
      <c r="D38" s="3302"/>
      <c r="E38" s="3266"/>
      <c r="F38" s="3266"/>
      <c r="G38" s="3267"/>
      <c r="H38" s="3266"/>
      <c r="I38" s="3263"/>
      <c r="J38" s="3264">
        <v>37243</v>
      </c>
      <c r="K38" s="3265">
        <v>10006.82</v>
      </c>
      <c r="L38" s="3265">
        <v>5996.17</v>
      </c>
      <c r="M38" s="3265">
        <v>10006.82</v>
      </c>
      <c r="N38" s="3265">
        <v>5996.17</v>
      </c>
      <c r="O38" s="3260"/>
      <c r="P38" s="3260"/>
      <c r="Q38" s="3260"/>
      <c r="R38" s="3263"/>
      <c r="S38" s="3263"/>
    </row>
    <row r="39" spans="1:19" s="3259" customFormat="1">
      <c r="A39" s="3266">
        <v>32</v>
      </c>
      <c r="B39" s="3267" t="s">
        <v>3317</v>
      </c>
      <c r="C39" s="3302" t="s">
        <v>3315</v>
      </c>
      <c r="D39" s="3302">
        <v>37</v>
      </c>
      <c r="E39" s="3266"/>
      <c r="F39" s="3266"/>
      <c r="G39" s="3267"/>
      <c r="H39" s="3266"/>
      <c r="I39" s="3263"/>
      <c r="J39" s="3264">
        <v>37834</v>
      </c>
      <c r="K39" s="3265">
        <v>148608.81</v>
      </c>
      <c r="L39" s="3265">
        <v>95453.5</v>
      </c>
      <c r="M39" s="3265">
        <v>148608.81</v>
      </c>
      <c r="N39" s="3265">
        <v>95453.5</v>
      </c>
      <c r="O39" s="3260"/>
      <c r="P39" s="3260"/>
      <c r="Q39" s="3260"/>
      <c r="R39" s="3263"/>
      <c r="S39" s="3263"/>
    </row>
    <row r="40" spans="1:19" s="3259" customFormat="1">
      <c r="A40" s="3266">
        <v>33</v>
      </c>
      <c r="B40" s="3267" t="s">
        <v>3318</v>
      </c>
      <c r="C40" s="3302" t="s">
        <v>3319</v>
      </c>
      <c r="D40" s="3302"/>
      <c r="E40" s="3266"/>
      <c r="F40" s="3266"/>
      <c r="G40" s="3267"/>
      <c r="H40" s="3266"/>
      <c r="I40" s="3263"/>
      <c r="J40" s="3264">
        <v>42735</v>
      </c>
      <c r="K40" s="3265">
        <v>161602.20000000001</v>
      </c>
      <c r="L40" s="3265">
        <v>149630.29999999999</v>
      </c>
      <c r="M40" s="3265">
        <v>161602.20000000001</v>
      </c>
      <c r="N40" s="3265">
        <v>149630.29999999999</v>
      </c>
      <c r="O40" s="3260"/>
      <c r="P40" s="3260"/>
      <c r="Q40" s="3260"/>
      <c r="R40" s="3263"/>
      <c r="S40" s="3263"/>
    </row>
    <row r="41" spans="1:19" s="3353" customFormat="1">
      <c r="A41" s="3347">
        <v>34</v>
      </c>
      <c r="B41" s="3348" t="s">
        <v>3320</v>
      </c>
      <c r="C41" s="3349" t="s">
        <v>3319</v>
      </c>
      <c r="D41" s="3349"/>
      <c r="E41" s="3347"/>
      <c r="F41" s="3347"/>
      <c r="G41" s="3348" t="s">
        <v>3321</v>
      </c>
      <c r="H41" s="3347"/>
      <c r="I41" s="3347"/>
      <c r="J41" s="3350">
        <v>42735</v>
      </c>
      <c r="K41" s="3351">
        <v>93615.38</v>
      </c>
      <c r="L41" s="3351">
        <v>90465.62</v>
      </c>
      <c r="M41" s="3351">
        <v>93615.38</v>
      </c>
      <c r="N41" s="3351">
        <v>90465.62</v>
      </c>
      <c r="O41" s="3352"/>
      <c r="P41" s="3352"/>
      <c r="Q41" s="3352"/>
      <c r="R41" s="3347"/>
      <c r="S41" s="3347"/>
    </row>
    <row r="42" spans="1:19" s="3353" customFormat="1">
      <c r="A42" s="3347">
        <v>35</v>
      </c>
      <c r="B42" s="3348" t="s">
        <v>3322</v>
      </c>
      <c r="C42" s="3349" t="s">
        <v>3323</v>
      </c>
      <c r="D42" s="3349"/>
      <c r="E42" s="3347"/>
      <c r="F42" s="3347"/>
      <c r="G42" s="3348" t="s">
        <v>3324</v>
      </c>
      <c r="H42" s="3347"/>
      <c r="I42" s="3347"/>
      <c r="J42" s="3350">
        <v>42735</v>
      </c>
      <c r="K42" s="3351">
        <v>130119.66</v>
      </c>
      <c r="L42" s="3351">
        <v>125741.67</v>
      </c>
      <c r="M42" s="3351">
        <v>130119.66</v>
      </c>
      <c r="N42" s="3351">
        <v>125741.67</v>
      </c>
      <c r="O42" s="3352"/>
      <c r="P42" s="3352"/>
      <c r="Q42" s="3352"/>
      <c r="R42" s="3347"/>
      <c r="S42" s="3347"/>
    </row>
    <row r="43" spans="1:19" s="3353" customFormat="1">
      <c r="A43" s="3347">
        <v>36</v>
      </c>
      <c r="B43" s="3348" t="s">
        <v>3325</v>
      </c>
      <c r="C43" s="3349" t="s">
        <v>3323</v>
      </c>
      <c r="D43" s="3349"/>
      <c r="E43" s="3347"/>
      <c r="F43" s="3347"/>
      <c r="G43" s="3348" t="s">
        <v>3326</v>
      </c>
      <c r="H43" s="3347"/>
      <c r="I43" s="3347"/>
      <c r="J43" s="3350">
        <v>42735</v>
      </c>
      <c r="K43" s="3351">
        <v>97256.41</v>
      </c>
      <c r="L43" s="3351">
        <v>93984.13</v>
      </c>
      <c r="M43" s="3351">
        <v>97256.41</v>
      </c>
      <c r="N43" s="3351">
        <v>93984.13</v>
      </c>
      <c r="O43" s="3352"/>
      <c r="P43" s="3352"/>
      <c r="Q43" s="3352"/>
      <c r="R43" s="3347"/>
      <c r="S43" s="3347"/>
    </row>
    <row r="44" spans="1:19" s="3353" customFormat="1">
      <c r="A44" s="3347">
        <v>37</v>
      </c>
      <c r="B44" s="3348" t="s">
        <v>3327</v>
      </c>
      <c r="C44" s="3349" t="s">
        <v>3323</v>
      </c>
      <c r="D44" s="3349"/>
      <c r="E44" s="3347"/>
      <c r="F44" s="3347"/>
      <c r="G44" s="3348"/>
      <c r="H44" s="3347"/>
      <c r="I44" s="3347"/>
      <c r="J44" s="3350">
        <v>42735</v>
      </c>
      <c r="K44" s="3351">
        <v>84777.78</v>
      </c>
      <c r="L44" s="3351">
        <v>81925.36</v>
      </c>
      <c r="M44" s="3351">
        <v>84777.78</v>
      </c>
      <c r="N44" s="3351">
        <v>81925.36</v>
      </c>
      <c r="O44" s="3352"/>
      <c r="P44" s="3352"/>
      <c r="Q44" s="3352"/>
      <c r="R44" s="3347"/>
      <c r="S44" s="3347"/>
    </row>
    <row r="45" spans="1:19" s="3353" customFormat="1">
      <c r="A45" s="3347">
        <v>38</v>
      </c>
      <c r="B45" s="3348" t="s">
        <v>3328</v>
      </c>
      <c r="C45" s="3349" t="s">
        <v>3323</v>
      </c>
      <c r="D45" s="3349"/>
      <c r="E45" s="3347"/>
      <c r="F45" s="3347"/>
      <c r="G45" s="3348"/>
      <c r="H45" s="3347"/>
      <c r="I45" s="3347"/>
      <c r="J45" s="3350">
        <v>42735</v>
      </c>
      <c r="K45" s="3351">
        <v>74136.75</v>
      </c>
      <c r="L45" s="3351">
        <v>71642.36</v>
      </c>
      <c r="M45" s="3351">
        <v>74136.75</v>
      </c>
      <c r="N45" s="3351">
        <v>71642.36</v>
      </c>
      <c r="O45" s="3352"/>
      <c r="P45" s="3352"/>
      <c r="Q45" s="3352"/>
      <c r="R45" s="3347"/>
      <c r="S45" s="3347"/>
    </row>
    <row r="46" spans="1:19" s="3259" customFormat="1">
      <c r="A46" s="3303">
        <v>39</v>
      </c>
      <c r="B46" s="3304" t="s">
        <v>3329</v>
      </c>
      <c r="C46" s="3302" t="s">
        <v>3319</v>
      </c>
      <c r="D46" s="3305"/>
      <c r="E46" s="3303"/>
      <c r="F46" s="3303"/>
      <c r="G46" s="3304" t="s">
        <v>3330</v>
      </c>
      <c r="H46" s="3303"/>
      <c r="I46" s="3274"/>
      <c r="J46" s="3275">
        <v>42735</v>
      </c>
      <c r="K46" s="3276">
        <v>75974.36</v>
      </c>
      <c r="L46" s="3276">
        <v>73418.12</v>
      </c>
      <c r="M46" s="3276">
        <v>75974.36</v>
      </c>
      <c r="N46" s="3276">
        <v>73418.12</v>
      </c>
      <c r="O46" s="3277"/>
      <c r="P46" s="3277"/>
      <c r="Q46" s="3277"/>
      <c r="R46" s="3274"/>
      <c r="S46" s="3263"/>
    </row>
    <row r="47" spans="1:19" s="3282" customFormat="1">
      <c r="A47" s="3266">
        <v>40</v>
      </c>
      <c r="B47" s="3306" t="s">
        <v>3331</v>
      </c>
      <c r="C47" s="3302" t="s">
        <v>3332</v>
      </c>
      <c r="D47" s="3302"/>
      <c r="E47" s="3266"/>
      <c r="F47" s="3266"/>
      <c r="G47" s="3306"/>
      <c r="H47" s="3266"/>
      <c r="I47" s="3278"/>
      <c r="J47" s="3279">
        <v>43184</v>
      </c>
      <c r="K47" s="3280">
        <v>89500</v>
      </c>
      <c r="L47" s="3280"/>
      <c r="M47" s="3280">
        <v>89500</v>
      </c>
      <c r="N47" s="3280"/>
      <c r="O47" s="3281"/>
      <c r="P47" s="3281"/>
      <c r="Q47" s="3281"/>
      <c r="R47" s="3278"/>
      <c r="S47" s="3278"/>
    </row>
    <row r="48" spans="1:19" s="3282" customFormat="1">
      <c r="A48" s="3266">
        <v>41</v>
      </c>
      <c r="B48" s="3306" t="s">
        <v>3333</v>
      </c>
      <c r="C48" s="3302" t="s">
        <v>3334</v>
      </c>
      <c r="D48" s="3302">
        <v>17</v>
      </c>
      <c r="E48" s="3266"/>
      <c r="F48" s="3266"/>
      <c r="G48" s="3306"/>
      <c r="H48" s="3266"/>
      <c r="I48" s="3278"/>
      <c r="J48" s="3279">
        <v>41681</v>
      </c>
      <c r="K48" s="3280">
        <v>292143</v>
      </c>
      <c r="L48" s="3280"/>
      <c r="M48" s="3280"/>
      <c r="N48" s="3280"/>
      <c r="O48" s="3281"/>
      <c r="P48" s="3281"/>
      <c r="Q48" s="3281"/>
      <c r="R48" s="3278"/>
      <c r="S48" s="3278"/>
    </row>
    <row r="49" spans="1:19" s="3282" customFormat="1">
      <c r="A49" s="3266">
        <v>42</v>
      </c>
      <c r="B49" s="3306" t="s">
        <v>3335</v>
      </c>
      <c r="C49" s="3302" t="s">
        <v>3336</v>
      </c>
      <c r="D49" s="3302">
        <v>4</v>
      </c>
      <c r="E49" s="3266"/>
      <c r="F49" s="3266"/>
      <c r="G49" s="3306"/>
      <c r="H49" s="3266"/>
      <c r="I49" s="3278"/>
      <c r="J49" s="3279">
        <v>42330</v>
      </c>
      <c r="K49" s="3280">
        <v>140000</v>
      </c>
      <c r="L49" s="3280"/>
      <c r="M49" s="3280"/>
      <c r="N49" s="3280"/>
      <c r="O49" s="3281"/>
      <c r="P49" s="3281"/>
      <c r="Q49" s="3281"/>
      <c r="R49" s="3278"/>
      <c r="S49" s="3278"/>
    </row>
    <row r="50" spans="1:19" s="3282" customFormat="1">
      <c r="A50" s="3266">
        <v>43</v>
      </c>
      <c r="B50" s="3306" t="s">
        <v>3337</v>
      </c>
      <c r="C50" s="3302" t="s">
        <v>3336</v>
      </c>
      <c r="D50" s="3302">
        <v>4</v>
      </c>
      <c r="E50" s="3266"/>
      <c r="F50" s="3266"/>
      <c r="G50" s="3306"/>
      <c r="H50" s="3266"/>
      <c r="I50" s="3278"/>
      <c r="J50" s="3279">
        <v>42961</v>
      </c>
      <c r="K50" s="3280">
        <v>50000</v>
      </c>
      <c r="L50" s="3280"/>
      <c r="M50" s="3280"/>
      <c r="N50" s="3280"/>
      <c r="O50" s="3281"/>
      <c r="P50" s="3281"/>
      <c r="Q50" s="3281"/>
      <c r="R50" s="3278"/>
      <c r="S50" s="3278"/>
    </row>
    <row r="51" spans="1:19" s="3282" customFormat="1">
      <c r="A51" s="3266">
        <v>44</v>
      </c>
      <c r="B51" s="3306" t="s">
        <v>3338</v>
      </c>
      <c r="C51" s="3302" t="s">
        <v>3336</v>
      </c>
      <c r="D51" s="3302">
        <v>2</v>
      </c>
      <c r="E51" s="3266"/>
      <c r="F51" s="3266"/>
      <c r="G51" s="3306"/>
      <c r="H51" s="3266"/>
      <c r="I51" s="3278"/>
      <c r="J51" s="3279">
        <v>42731</v>
      </c>
      <c r="K51" s="3280">
        <v>520000</v>
      </c>
      <c r="L51" s="3280">
        <v>363999.99</v>
      </c>
      <c r="M51" s="3280"/>
      <c r="N51" s="3280"/>
      <c r="O51" s="3281"/>
      <c r="P51" s="3281"/>
      <c r="Q51" s="3281"/>
      <c r="R51" s="3278"/>
      <c r="S51" s="3278"/>
    </row>
    <row r="52" spans="1:19" s="3282" customFormat="1">
      <c r="A52" s="3266">
        <v>45</v>
      </c>
      <c r="B52" s="3306" t="s">
        <v>3339</v>
      </c>
      <c r="C52" s="3302" t="s">
        <v>3340</v>
      </c>
      <c r="D52" s="3302">
        <v>37</v>
      </c>
      <c r="E52" s="3266"/>
      <c r="F52" s="3266"/>
      <c r="G52" s="3306"/>
      <c r="H52" s="3266"/>
      <c r="I52" s="3278"/>
      <c r="J52" s="3283">
        <v>41598</v>
      </c>
      <c r="K52" s="3280">
        <v>337000</v>
      </c>
      <c r="L52" s="3280"/>
      <c r="M52" s="3280"/>
      <c r="N52" s="3280"/>
      <c r="O52" s="3281"/>
      <c r="P52" s="3281"/>
      <c r="Q52" s="3281"/>
      <c r="R52" s="3278"/>
      <c r="S52" s="3278"/>
    </row>
    <row r="53" spans="1:19" s="3282" customFormat="1">
      <c r="A53" s="3266">
        <v>46</v>
      </c>
      <c r="B53" s="3306" t="s">
        <v>3341</v>
      </c>
      <c r="C53" s="3302" t="s">
        <v>3342</v>
      </c>
      <c r="D53" s="3302" t="s">
        <v>3343</v>
      </c>
      <c r="E53" s="3266"/>
      <c r="F53" s="3266"/>
      <c r="G53" s="3306"/>
      <c r="H53" s="3266"/>
      <c r="I53" s="3278"/>
      <c r="J53" s="3279">
        <v>42244</v>
      </c>
      <c r="K53" s="3280">
        <v>605912</v>
      </c>
      <c r="L53" s="3280">
        <v>262561.89</v>
      </c>
      <c r="M53" s="3280"/>
      <c r="N53" s="3280"/>
      <c r="O53" s="3281"/>
      <c r="P53" s="3281"/>
      <c r="Q53" s="3281"/>
      <c r="R53" s="3278"/>
      <c r="S53" s="3278"/>
    </row>
    <row r="54" spans="1:19" s="3282" customFormat="1">
      <c r="A54" s="3266">
        <v>47</v>
      </c>
      <c r="B54" s="3306" t="s">
        <v>3344</v>
      </c>
      <c r="C54" s="3302" t="s">
        <v>3334</v>
      </c>
      <c r="D54" s="3302">
        <v>17</v>
      </c>
      <c r="E54" s="3266"/>
      <c r="F54" s="3266"/>
      <c r="G54" s="3306"/>
      <c r="H54" s="3266"/>
      <c r="I54" s="3278"/>
      <c r="J54" s="3279">
        <v>42720</v>
      </c>
      <c r="K54" s="3280">
        <v>643891.89</v>
      </c>
      <c r="L54" s="3280">
        <v>450724.34</v>
      </c>
      <c r="M54" s="3280"/>
      <c r="N54" s="3280"/>
      <c r="O54" s="3281"/>
      <c r="P54" s="3281"/>
      <c r="Q54" s="3281"/>
      <c r="R54" s="3278"/>
      <c r="S54" s="3278"/>
    </row>
    <row r="55" spans="1:19" s="3282" customFormat="1">
      <c r="A55" s="3266">
        <v>48</v>
      </c>
      <c r="B55" s="3306" t="s">
        <v>3345</v>
      </c>
      <c r="C55" s="3302" t="s">
        <v>3346</v>
      </c>
      <c r="D55" s="3302">
        <v>21</v>
      </c>
      <c r="E55" s="3266"/>
      <c r="F55" s="3266"/>
      <c r="G55" s="3306"/>
      <c r="H55" s="3266"/>
      <c r="I55" s="3278"/>
      <c r="J55" s="3279">
        <v>42336</v>
      </c>
      <c r="K55" s="3280">
        <v>419490</v>
      </c>
      <c r="L55" s="3280">
        <v>202753.5</v>
      </c>
      <c r="M55" s="3280"/>
      <c r="N55" s="3280"/>
      <c r="O55" s="3281"/>
      <c r="P55" s="3281"/>
      <c r="Q55" s="3281"/>
      <c r="R55" s="3278"/>
      <c r="S55" s="3278"/>
    </row>
    <row r="56" spans="1:19" s="3282" customFormat="1">
      <c r="A56" s="3266">
        <v>49</v>
      </c>
      <c r="B56" s="3306" t="s">
        <v>3347</v>
      </c>
      <c r="C56" s="3302" t="s">
        <v>3334</v>
      </c>
      <c r="D56" s="3302">
        <v>17</v>
      </c>
      <c r="E56" s="3266"/>
      <c r="F56" s="3266"/>
      <c r="G56" s="3306"/>
      <c r="H56" s="3266"/>
      <c r="I56" s="3278"/>
      <c r="J56" s="3279">
        <v>41699</v>
      </c>
      <c r="K56" s="3280">
        <v>491438</v>
      </c>
      <c r="L56" s="3280">
        <v>73715.740000000005</v>
      </c>
      <c r="M56" s="3280"/>
      <c r="N56" s="3280"/>
      <c r="O56" s="3281"/>
      <c r="P56" s="3281"/>
      <c r="Q56" s="3281"/>
      <c r="R56" s="3278"/>
      <c r="S56" s="3278"/>
    </row>
    <row r="57" spans="1:19" s="3282" customFormat="1">
      <c r="A57" s="3266">
        <v>50</v>
      </c>
      <c r="B57" s="3306" t="s">
        <v>3348</v>
      </c>
      <c r="C57" s="3302" t="s">
        <v>3342</v>
      </c>
      <c r="D57" s="3302" t="s">
        <v>3349</v>
      </c>
      <c r="E57" s="3266"/>
      <c r="F57" s="3266"/>
      <c r="G57" s="3306"/>
      <c r="H57" s="3266"/>
      <c r="I57" s="3278"/>
      <c r="J57" s="3279">
        <v>42305</v>
      </c>
      <c r="K57" s="3280">
        <v>630476</v>
      </c>
      <c r="L57" s="3280">
        <v>294222.15000000002</v>
      </c>
      <c r="M57" s="3280"/>
      <c r="N57" s="3280"/>
      <c r="O57" s="3281"/>
      <c r="P57" s="3281"/>
      <c r="Q57" s="3281"/>
      <c r="R57" s="3278"/>
      <c r="S57" s="3278"/>
    </row>
    <row r="58" spans="1:19" s="3287" customFormat="1">
      <c r="A58" s="3885" t="s">
        <v>3350</v>
      </c>
      <c r="B58" s="3885"/>
      <c r="C58" s="3307"/>
      <c r="D58" s="3307"/>
      <c r="E58" s="3266"/>
      <c r="F58" s="3266"/>
      <c r="G58" s="3266"/>
      <c r="H58" s="3266"/>
      <c r="I58" s="3278"/>
      <c r="J58" s="3284"/>
      <c r="K58" s="3285">
        <f>SUM(K8:K50)</f>
        <v>21331228.129999995</v>
      </c>
      <c r="L58" s="3285">
        <f>SUM(L8:L47)</f>
        <v>9530976.7999999989</v>
      </c>
      <c r="M58" s="3285">
        <f>SUM(M8:M47)</f>
        <v>20849085.129999995</v>
      </c>
      <c r="N58" s="3285">
        <f>SUM(N8:N47)</f>
        <v>9530976.7999999989</v>
      </c>
      <c r="O58" s="3285">
        <f>SUM(O8:O46)</f>
        <v>0</v>
      </c>
      <c r="P58" s="3285">
        <f>SUM(P8:P46)</f>
        <v>0</v>
      </c>
      <c r="Q58" s="3285">
        <f>SUM(Q8:Q46)</f>
        <v>0</v>
      </c>
      <c r="R58" s="3285">
        <f>SUM(R8:R46)</f>
        <v>0</v>
      </c>
      <c r="S58" s="3286"/>
    </row>
    <row r="59" spans="1:19">
      <c r="A59" s="3884" t="s">
        <v>3351</v>
      </c>
      <c r="B59" s="3885"/>
      <c r="C59" s="3307"/>
      <c r="D59" s="3307"/>
      <c r="E59" s="3266"/>
      <c r="F59" s="3266"/>
      <c r="G59" s="3266"/>
      <c r="H59" s="3266"/>
      <c r="I59" s="3263"/>
      <c r="J59" s="3288"/>
      <c r="K59" s="3289"/>
      <c r="L59" s="3289"/>
      <c r="M59" s="3289"/>
      <c r="N59" s="3289"/>
      <c r="O59" s="3289"/>
      <c r="P59" s="3290"/>
      <c r="Q59" s="3289"/>
      <c r="R59" s="3289" t="str">
        <f>IF(N59=0,"",(Q59-N59)/N59*100)</f>
        <v/>
      </c>
      <c r="S59" s="3291"/>
    </row>
    <row r="60" spans="1:19">
      <c r="A60" s="3897" t="s">
        <v>3352</v>
      </c>
      <c r="B60" s="3898"/>
      <c r="C60" s="3307"/>
      <c r="D60" s="3307"/>
      <c r="E60" s="3266"/>
      <c r="F60" s="3266"/>
      <c r="G60" s="3266"/>
      <c r="H60" s="3266"/>
      <c r="I60" s="3263"/>
      <c r="J60" s="3288"/>
      <c r="K60" s="3292">
        <f>K58-K59</f>
        <v>21331228.129999995</v>
      </c>
      <c r="L60" s="3293">
        <f>L58-L59</f>
        <v>9530976.7999999989</v>
      </c>
      <c r="M60" s="3292">
        <f>M58-M59</f>
        <v>20849085.129999995</v>
      </c>
      <c r="N60" s="3292">
        <f>N58-N59</f>
        <v>9530976.7999999989</v>
      </c>
      <c r="O60" s="3292">
        <f>O58-O59</f>
        <v>0</v>
      </c>
      <c r="P60" s="3292"/>
      <c r="Q60" s="3292">
        <f>Q58-Q59</f>
        <v>0</v>
      </c>
      <c r="R60" s="3289">
        <f>IF(N60=0,"",(Q60-N60)/N60*100)</f>
        <v>-100</v>
      </c>
      <c r="S60" s="3291"/>
    </row>
    <row r="61" spans="1:19">
      <c r="A61" s="3308" t="str">
        <f>[5]封面!D11&amp;[5]封面!F11</f>
        <v>被评估单位（或者产权持有单位）填表人：</v>
      </c>
      <c r="M61" s="3252" t="str">
        <f>"评估人员："&amp;[5]封面!E26</f>
        <v>评估人员：</v>
      </c>
    </row>
    <row r="62" spans="1:19">
      <c r="A62" s="3308" t="str">
        <f>CONCATENATE([5]封面!D13,[5]封面!F13,[5]封面!G13,[5]封面!H13,[5]封面!I13,[5]封面!J13,[5]封面!K13)</f>
        <v>填表日期：年月日</v>
      </c>
    </row>
    <row r="66" spans="8:11">
      <c r="H66" s="3309"/>
      <c r="K66" s="3294"/>
    </row>
  </sheetData>
  <mergeCells count="20">
    <mergeCell ref="A58:B58"/>
    <mergeCell ref="A59:B59"/>
    <mergeCell ref="A60:B60"/>
    <mergeCell ref="I6:I7"/>
    <mergeCell ref="J6:J7"/>
    <mergeCell ref="A2:S2"/>
    <mergeCell ref="A3:S3"/>
    <mergeCell ref="A6:A7"/>
    <mergeCell ref="B6:B7"/>
    <mergeCell ref="C6:C7"/>
    <mergeCell ref="D6:D7"/>
    <mergeCell ref="E6:E7"/>
    <mergeCell ref="F6:F7"/>
    <mergeCell ref="G6:G7"/>
    <mergeCell ref="H6:H7"/>
    <mergeCell ref="S6:S7"/>
    <mergeCell ref="K6:L6"/>
    <mergeCell ref="M6:N6"/>
    <mergeCell ref="O6:Q6"/>
    <mergeCell ref="R6:R7"/>
  </mergeCells>
  <phoneticPr fontId="237" type="noConversion"/>
  <hyperlinks>
    <hyperlink ref="A1" location="索引目录!E40" display="返回索引页"/>
    <hyperlink ref="B1" location="'4-6固定资产汇总'!B10" display="返回"/>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E10" sqref="E10"/>
    </sheetView>
  </sheetViews>
  <sheetFormatPr defaultRowHeight="13.5"/>
  <cols>
    <col min="3" max="3" width="13.375" customWidth="1"/>
  </cols>
  <sheetData>
    <row r="2" spans="2:5" ht="27" customHeight="1">
      <c r="B2" s="3902" t="s">
        <v>3134</v>
      </c>
      <c r="C2" s="3902"/>
      <c r="D2" s="3902"/>
      <c r="E2" s="3902"/>
    </row>
    <row r="3" spans="2:5">
      <c r="B3" s="3753" t="s">
        <v>3135</v>
      </c>
      <c r="C3" s="3753"/>
      <c r="D3" s="3754">
        <f>停产停业损失补偿!D5</f>
        <v>62715.349999999984</v>
      </c>
      <c r="E3" s="3754"/>
    </row>
    <row r="4" spans="2:5">
      <c r="B4" s="3753" t="s">
        <v>3136</v>
      </c>
      <c r="C4" s="3753"/>
      <c r="D4" s="3754">
        <v>50</v>
      </c>
      <c r="E4" s="3754"/>
    </row>
    <row r="5" spans="2:5">
      <c r="B5" s="3900" t="s">
        <v>3137</v>
      </c>
      <c r="C5" s="3901"/>
      <c r="D5" s="3899">
        <f>ROUND(D3*D4/10000,2)</f>
        <v>313.58</v>
      </c>
      <c r="E5" s="3899"/>
    </row>
  </sheetData>
  <mergeCells count="7">
    <mergeCell ref="D5:E5"/>
    <mergeCell ref="B5:C5"/>
    <mergeCell ref="B2:E2"/>
    <mergeCell ref="B3:C3"/>
    <mergeCell ref="B4:C4"/>
    <mergeCell ref="D3:E3"/>
    <mergeCell ref="D4:E4"/>
  </mergeCells>
  <phoneticPr fontId="23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93"/>
  <sheetViews>
    <sheetView topLeftCell="C44" zoomScale="110" zoomScaleNormal="110" workbookViewId="0">
      <selection activeCell="A52" sqref="A52"/>
    </sheetView>
  </sheetViews>
  <sheetFormatPr defaultRowHeight="22.5" customHeight="1"/>
  <cols>
    <col min="1" max="1" width="14.875" style="3190" customWidth="1"/>
    <col min="2" max="3" width="9" style="3190"/>
    <col min="4" max="4" width="9" style="3191"/>
    <col min="5" max="5" width="9" style="3190"/>
    <col min="6" max="6" width="9.5" style="3190" bestFit="1" customWidth="1"/>
    <col min="7" max="16384" width="9" style="3190"/>
  </cols>
  <sheetData>
    <row r="1" spans="1:19" ht="22.5" customHeight="1">
      <c r="A1" s="3903" t="s">
        <v>3064</v>
      </c>
      <c r="B1" s="3903" t="s">
        <v>3065</v>
      </c>
      <c r="C1" s="3903" t="s">
        <v>3063</v>
      </c>
      <c r="D1" s="3910" t="s">
        <v>3066</v>
      </c>
      <c r="E1" s="3903" t="s">
        <v>3074</v>
      </c>
      <c r="F1" s="3903" t="s">
        <v>3067</v>
      </c>
      <c r="G1" s="3903" t="s">
        <v>3075</v>
      </c>
      <c r="H1" s="3903" t="s">
        <v>3076</v>
      </c>
      <c r="I1" s="3903" t="s">
        <v>3077</v>
      </c>
      <c r="J1" s="3903" t="s">
        <v>3597</v>
      </c>
      <c r="K1" s="3903" t="s">
        <v>3079</v>
      </c>
      <c r="L1" s="3903" t="s">
        <v>3080</v>
      </c>
      <c r="M1" s="3903" t="s">
        <v>3081</v>
      </c>
      <c r="N1" s="3903" t="s">
        <v>3082</v>
      </c>
      <c r="O1" s="3903" t="s">
        <v>3083</v>
      </c>
      <c r="P1" s="3905" t="s">
        <v>3109</v>
      </c>
      <c r="Q1" s="3903" t="s">
        <v>3068</v>
      </c>
    </row>
    <row r="2" spans="1:19" ht="22.5" customHeight="1" thickBot="1">
      <c r="A2" s="3904"/>
      <c r="B2" s="3904"/>
      <c r="C2" s="3904"/>
      <c r="D2" s="3911"/>
      <c r="E2" s="3904"/>
      <c r="F2" s="3904"/>
      <c r="G2" s="3904"/>
      <c r="H2" s="3904"/>
      <c r="I2" s="3904"/>
      <c r="J2" s="3904"/>
      <c r="K2" s="3904"/>
      <c r="L2" s="3904"/>
      <c r="M2" s="3904"/>
      <c r="N2" s="3904"/>
      <c r="O2" s="3904"/>
      <c r="P2" s="3904"/>
      <c r="Q2" s="3904"/>
      <c r="S2" s="3192" t="s">
        <v>3084</v>
      </c>
    </row>
    <row r="3" spans="1:19" ht="22.5" customHeight="1" thickTop="1">
      <c r="A3" s="3218" t="s">
        <v>3085</v>
      </c>
      <c r="B3" s="3219">
        <v>1</v>
      </c>
      <c r="C3" s="3219" t="s">
        <v>3069</v>
      </c>
      <c r="D3" s="3220" t="s">
        <v>3058</v>
      </c>
      <c r="E3" s="3219">
        <v>1986</v>
      </c>
      <c r="F3" s="3221">
        <v>2680.4</v>
      </c>
      <c r="G3" s="3222">
        <v>1720</v>
      </c>
      <c r="H3" s="3221">
        <f>G3*15/100</f>
        <v>258</v>
      </c>
      <c r="I3" s="3221">
        <f>G3+H3</f>
        <v>1978</v>
      </c>
      <c r="J3" s="3221">
        <f>I3*3/100</f>
        <v>59.34</v>
      </c>
      <c r="K3" s="3221">
        <f>ROUND((I3+J3)*2/100,2)</f>
        <v>40.75</v>
      </c>
      <c r="L3" s="3221">
        <f>ROUND((I3+J3+K3)*((1+0.0435)^(1/2)-1),2)</f>
        <v>44.72</v>
      </c>
      <c r="M3" s="3221">
        <f>ROUND((S3*15/100),2)</f>
        <v>311.70999999999998</v>
      </c>
      <c r="N3" s="3221">
        <f>I3+J3+K3+L3+M3</f>
        <v>2434.52</v>
      </c>
      <c r="O3" s="3223">
        <v>0.65</v>
      </c>
      <c r="P3" s="3221">
        <f>ROUND(N3*O3,2)</f>
        <v>1582.44</v>
      </c>
      <c r="Q3" s="3224">
        <f>ROUND(P3*F3/10000,2)</f>
        <v>424.16</v>
      </c>
      <c r="S3">
        <f>I3+J3+K3</f>
        <v>2078.09</v>
      </c>
    </row>
    <row r="4" spans="1:19" ht="22.5" customHeight="1">
      <c r="A4" s="3207" t="s">
        <v>3086</v>
      </c>
      <c r="B4" s="3197">
        <v>2</v>
      </c>
      <c r="C4" s="3197" t="s">
        <v>3069</v>
      </c>
      <c r="D4" s="3198" t="s">
        <v>3059</v>
      </c>
      <c r="E4" s="3197">
        <v>1988</v>
      </c>
      <c r="F4" s="3199">
        <v>1268.0999999999999</v>
      </c>
      <c r="G4" s="3197">
        <v>1200</v>
      </c>
      <c r="H4" s="3199">
        <f t="shared" ref="H4:H42" si="0">G4*15/100</f>
        <v>180</v>
      </c>
      <c r="I4" s="3199">
        <f t="shared" ref="I4:I42" si="1">G4+H4</f>
        <v>1380</v>
      </c>
      <c r="J4" s="3199">
        <f t="shared" ref="J4:J42" si="2">I4*3/100</f>
        <v>41.4</v>
      </c>
      <c r="K4" s="3199">
        <f t="shared" ref="K4:K42" si="3">ROUND((I4+J4)*2/100,2)</f>
        <v>28.43</v>
      </c>
      <c r="L4" s="3199">
        <f t="shared" ref="L4:L42" si="4">ROUND((I4+J4+K4)*((1+0.0435)^(1/2)-1),2)</f>
        <v>31.2</v>
      </c>
      <c r="M4" s="3199">
        <f t="shared" ref="M4:M42" si="5">ROUND((S4*15/100),2)</f>
        <v>217.47</v>
      </c>
      <c r="N4" s="3199">
        <f t="shared" ref="N4:N42" si="6">I4+J4+K4+L4+M4</f>
        <v>1698.5000000000002</v>
      </c>
      <c r="O4" s="3200">
        <v>0.65</v>
      </c>
      <c r="P4" s="3199">
        <f t="shared" ref="P4:P42" si="7">ROUND(N4*O4,2)</f>
        <v>1104.03</v>
      </c>
      <c r="Q4" s="3208">
        <f t="shared" ref="Q4:Q42" si="8">ROUND(P4*F4/10000,2)</f>
        <v>140</v>
      </c>
      <c r="S4">
        <f t="shared" ref="S4:S42" si="9">I4+J4+K4</f>
        <v>1449.8300000000002</v>
      </c>
    </row>
    <row r="5" spans="1:19" ht="22.5" customHeight="1">
      <c r="A5" s="3205" t="s">
        <v>3087</v>
      </c>
      <c r="B5" s="3193">
        <v>3</v>
      </c>
      <c r="C5" s="3193" t="s">
        <v>3069</v>
      </c>
      <c r="D5" s="3194" t="s">
        <v>3059</v>
      </c>
      <c r="E5" s="3193">
        <v>1988</v>
      </c>
      <c r="F5" s="3195">
        <v>399.6</v>
      </c>
      <c r="G5" s="3193">
        <v>1200</v>
      </c>
      <c r="H5" s="3195">
        <f t="shared" si="0"/>
        <v>180</v>
      </c>
      <c r="I5" s="3195">
        <f t="shared" si="1"/>
        <v>1380</v>
      </c>
      <c r="J5" s="3195">
        <f t="shared" si="2"/>
        <v>41.4</v>
      </c>
      <c r="K5" s="3195">
        <f t="shared" si="3"/>
        <v>28.43</v>
      </c>
      <c r="L5" s="3195">
        <f t="shared" si="4"/>
        <v>31.2</v>
      </c>
      <c r="M5" s="3195">
        <f t="shared" si="5"/>
        <v>217.47</v>
      </c>
      <c r="N5" s="3195">
        <f t="shared" si="6"/>
        <v>1698.5000000000002</v>
      </c>
      <c r="O5" s="3196">
        <v>0.65</v>
      </c>
      <c r="P5" s="3195">
        <f t="shared" si="7"/>
        <v>1104.03</v>
      </c>
      <c r="Q5" s="3206">
        <f t="shared" si="8"/>
        <v>44.12</v>
      </c>
      <c r="S5">
        <f t="shared" si="9"/>
        <v>1449.8300000000002</v>
      </c>
    </row>
    <row r="6" spans="1:19" ht="22.5" customHeight="1">
      <c r="A6" s="3207" t="s">
        <v>3088</v>
      </c>
      <c r="B6" s="3197">
        <v>4</v>
      </c>
      <c r="C6" s="3197" t="s">
        <v>3069</v>
      </c>
      <c r="D6" s="3198" t="s">
        <v>3060</v>
      </c>
      <c r="E6" s="3197">
        <v>1979</v>
      </c>
      <c r="F6" s="3199">
        <v>4101</v>
      </c>
      <c r="G6" s="3197">
        <v>1560</v>
      </c>
      <c r="H6" s="3199">
        <f t="shared" si="0"/>
        <v>234</v>
      </c>
      <c r="I6" s="3199">
        <f t="shared" si="1"/>
        <v>1794</v>
      </c>
      <c r="J6" s="3199">
        <f t="shared" si="2"/>
        <v>53.82</v>
      </c>
      <c r="K6" s="3199">
        <f t="shared" si="3"/>
        <v>36.96</v>
      </c>
      <c r="L6" s="3199">
        <f t="shared" si="4"/>
        <v>40.56</v>
      </c>
      <c r="M6" s="3199">
        <f t="shared" si="5"/>
        <v>282.72000000000003</v>
      </c>
      <c r="N6" s="3199">
        <f t="shared" si="6"/>
        <v>2208.06</v>
      </c>
      <c r="O6" s="3200">
        <v>0.6</v>
      </c>
      <c r="P6" s="3199">
        <f t="shared" si="7"/>
        <v>1324.84</v>
      </c>
      <c r="Q6" s="3208">
        <f t="shared" si="8"/>
        <v>543.32000000000005</v>
      </c>
      <c r="S6">
        <f t="shared" si="9"/>
        <v>1884.78</v>
      </c>
    </row>
    <row r="7" spans="1:19" ht="22.5" customHeight="1">
      <c r="A7" s="3205" t="s">
        <v>3089</v>
      </c>
      <c r="B7" s="3193">
        <v>5</v>
      </c>
      <c r="C7" s="3193" t="s">
        <v>3069</v>
      </c>
      <c r="D7" s="3194" t="s">
        <v>3070</v>
      </c>
      <c r="E7" s="3193">
        <v>1979</v>
      </c>
      <c r="F7" s="3195">
        <v>13.2</v>
      </c>
      <c r="G7" s="3193">
        <v>1000</v>
      </c>
      <c r="H7" s="3195">
        <f t="shared" si="0"/>
        <v>150</v>
      </c>
      <c r="I7" s="3195">
        <f t="shared" si="1"/>
        <v>1150</v>
      </c>
      <c r="J7" s="3195">
        <f t="shared" si="2"/>
        <v>34.5</v>
      </c>
      <c r="K7" s="3195">
        <f t="shared" si="3"/>
        <v>23.69</v>
      </c>
      <c r="L7" s="3195">
        <f t="shared" si="4"/>
        <v>26</v>
      </c>
      <c r="M7" s="3195">
        <f t="shared" si="5"/>
        <v>181.23</v>
      </c>
      <c r="N7" s="3195">
        <f t="shared" si="6"/>
        <v>1415.42</v>
      </c>
      <c r="O7" s="3196">
        <v>0.6</v>
      </c>
      <c r="P7" s="3195">
        <f t="shared" si="7"/>
        <v>849.25</v>
      </c>
      <c r="Q7" s="3206">
        <f t="shared" si="8"/>
        <v>1.1200000000000001</v>
      </c>
      <c r="S7">
        <f t="shared" si="9"/>
        <v>1208.19</v>
      </c>
    </row>
    <row r="8" spans="1:19" ht="22.5" customHeight="1">
      <c r="A8" s="3912" t="s">
        <v>3090</v>
      </c>
      <c r="B8" s="3197">
        <v>6</v>
      </c>
      <c r="C8" s="3197" t="s">
        <v>3071</v>
      </c>
      <c r="D8" s="3198" t="s">
        <v>3070</v>
      </c>
      <c r="E8" s="3197">
        <v>1979</v>
      </c>
      <c r="F8" s="3199">
        <v>65.099999999999994</v>
      </c>
      <c r="G8" s="3197">
        <v>800</v>
      </c>
      <c r="H8" s="3199">
        <f t="shared" si="0"/>
        <v>120</v>
      </c>
      <c r="I8" s="3199">
        <f t="shared" si="1"/>
        <v>920</v>
      </c>
      <c r="J8" s="3199">
        <f t="shared" si="2"/>
        <v>27.6</v>
      </c>
      <c r="K8" s="3199">
        <f t="shared" si="3"/>
        <v>18.95</v>
      </c>
      <c r="L8" s="3199">
        <f t="shared" si="4"/>
        <v>20.8</v>
      </c>
      <c r="M8" s="3199">
        <f t="shared" si="5"/>
        <v>144.97999999999999</v>
      </c>
      <c r="N8" s="3199">
        <f t="shared" si="6"/>
        <v>1132.33</v>
      </c>
      <c r="O8" s="3200">
        <f>O7</f>
        <v>0.6</v>
      </c>
      <c r="P8" s="3199">
        <f t="shared" si="7"/>
        <v>679.4</v>
      </c>
      <c r="Q8" s="3208">
        <f t="shared" si="8"/>
        <v>4.42</v>
      </c>
      <c r="S8">
        <f t="shared" si="9"/>
        <v>966.55000000000007</v>
      </c>
    </row>
    <row r="9" spans="1:19" ht="22.5" customHeight="1">
      <c r="A9" s="3912"/>
      <c r="B9" s="3193">
        <v>7</v>
      </c>
      <c r="C9" s="3193" t="s">
        <v>3071</v>
      </c>
      <c r="D9" s="3194" t="s">
        <v>3070</v>
      </c>
      <c r="E9" s="3193">
        <v>1979</v>
      </c>
      <c r="F9" s="3195">
        <v>57.5</v>
      </c>
      <c r="G9" s="3193">
        <f>G8</f>
        <v>800</v>
      </c>
      <c r="H9" s="3195">
        <f t="shared" si="0"/>
        <v>120</v>
      </c>
      <c r="I9" s="3195">
        <f t="shared" si="1"/>
        <v>920</v>
      </c>
      <c r="J9" s="3195">
        <f t="shared" si="2"/>
        <v>27.6</v>
      </c>
      <c r="K9" s="3195">
        <f t="shared" si="3"/>
        <v>18.95</v>
      </c>
      <c r="L9" s="3195">
        <f t="shared" si="4"/>
        <v>20.8</v>
      </c>
      <c r="M9" s="3195">
        <f t="shared" si="5"/>
        <v>144.97999999999999</v>
      </c>
      <c r="N9" s="3195">
        <f t="shared" si="6"/>
        <v>1132.33</v>
      </c>
      <c r="O9" s="3196">
        <f>O7</f>
        <v>0.6</v>
      </c>
      <c r="P9" s="3195">
        <f t="shared" si="7"/>
        <v>679.4</v>
      </c>
      <c r="Q9" s="3206">
        <f t="shared" si="8"/>
        <v>3.91</v>
      </c>
      <c r="S9">
        <f t="shared" si="9"/>
        <v>966.55000000000007</v>
      </c>
    </row>
    <row r="10" spans="1:19" ht="22.5" customHeight="1">
      <c r="A10" s="3912"/>
      <c r="B10" s="3197">
        <v>8</v>
      </c>
      <c r="C10" s="3197" t="s">
        <v>3071</v>
      </c>
      <c r="D10" s="3198" t="s">
        <v>3070</v>
      </c>
      <c r="E10" s="3197">
        <v>1979</v>
      </c>
      <c r="F10" s="3199">
        <v>40.5</v>
      </c>
      <c r="G10" s="3197">
        <f>G8</f>
        <v>800</v>
      </c>
      <c r="H10" s="3199">
        <f t="shared" si="0"/>
        <v>120</v>
      </c>
      <c r="I10" s="3199">
        <f t="shared" si="1"/>
        <v>920</v>
      </c>
      <c r="J10" s="3199">
        <f t="shared" si="2"/>
        <v>27.6</v>
      </c>
      <c r="K10" s="3199">
        <f t="shared" si="3"/>
        <v>18.95</v>
      </c>
      <c r="L10" s="3199">
        <f t="shared" si="4"/>
        <v>20.8</v>
      </c>
      <c r="M10" s="3199">
        <f t="shared" si="5"/>
        <v>144.97999999999999</v>
      </c>
      <c r="N10" s="3199">
        <f t="shared" si="6"/>
        <v>1132.33</v>
      </c>
      <c r="O10" s="3200">
        <f>O7</f>
        <v>0.6</v>
      </c>
      <c r="P10" s="3199">
        <f t="shared" si="7"/>
        <v>679.4</v>
      </c>
      <c r="Q10" s="3208">
        <f t="shared" si="8"/>
        <v>2.75</v>
      </c>
      <c r="S10">
        <f t="shared" si="9"/>
        <v>966.55000000000007</v>
      </c>
    </row>
    <row r="11" spans="1:19" ht="22.5" customHeight="1">
      <c r="A11" s="3912"/>
      <c r="B11" s="3193">
        <v>9</v>
      </c>
      <c r="C11" s="3193" t="s">
        <v>3071</v>
      </c>
      <c r="D11" s="3194" t="s">
        <v>3070</v>
      </c>
      <c r="E11" s="3193">
        <v>1979</v>
      </c>
      <c r="F11" s="3195">
        <v>68.400000000000006</v>
      </c>
      <c r="G11" s="3193">
        <f>G8</f>
        <v>800</v>
      </c>
      <c r="H11" s="3195">
        <f t="shared" si="0"/>
        <v>120</v>
      </c>
      <c r="I11" s="3195">
        <f t="shared" si="1"/>
        <v>920</v>
      </c>
      <c r="J11" s="3195">
        <f t="shared" si="2"/>
        <v>27.6</v>
      </c>
      <c r="K11" s="3195">
        <f t="shared" si="3"/>
        <v>18.95</v>
      </c>
      <c r="L11" s="3195">
        <f t="shared" si="4"/>
        <v>20.8</v>
      </c>
      <c r="M11" s="3195">
        <f t="shared" si="5"/>
        <v>144.97999999999999</v>
      </c>
      <c r="N11" s="3195">
        <f t="shared" si="6"/>
        <v>1132.33</v>
      </c>
      <c r="O11" s="3196">
        <f>O7</f>
        <v>0.6</v>
      </c>
      <c r="P11" s="3195">
        <f t="shared" si="7"/>
        <v>679.4</v>
      </c>
      <c r="Q11" s="3206">
        <f t="shared" si="8"/>
        <v>4.6500000000000004</v>
      </c>
      <c r="S11">
        <f t="shared" si="9"/>
        <v>966.55000000000007</v>
      </c>
    </row>
    <row r="12" spans="1:19" ht="22.5" customHeight="1">
      <c r="A12" s="3207" t="s">
        <v>3091</v>
      </c>
      <c r="B12" s="3197">
        <v>10</v>
      </c>
      <c r="C12" s="3197" t="s">
        <v>3071</v>
      </c>
      <c r="D12" s="3198" t="s">
        <v>3070</v>
      </c>
      <c r="E12" s="3197">
        <v>1979</v>
      </c>
      <c r="F12" s="3199">
        <v>222.5</v>
      </c>
      <c r="G12" s="3197">
        <f>G8</f>
        <v>800</v>
      </c>
      <c r="H12" s="3199">
        <f t="shared" si="0"/>
        <v>120</v>
      </c>
      <c r="I12" s="3199">
        <f t="shared" si="1"/>
        <v>920</v>
      </c>
      <c r="J12" s="3199">
        <f t="shared" si="2"/>
        <v>27.6</v>
      </c>
      <c r="K12" s="3199">
        <f t="shared" si="3"/>
        <v>18.95</v>
      </c>
      <c r="L12" s="3199">
        <f t="shared" si="4"/>
        <v>20.8</v>
      </c>
      <c r="M12" s="3199">
        <f t="shared" si="5"/>
        <v>144.97999999999999</v>
      </c>
      <c r="N12" s="3199">
        <f t="shared" si="6"/>
        <v>1132.33</v>
      </c>
      <c r="O12" s="3200">
        <f>O7</f>
        <v>0.6</v>
      </c>
      <c r="P12" s="3199">
        <f t="shared" si="7"/>
        <v>679.4</v>
      </c>
      <c r="Q12" s="3208">
        <f t="shared" si="8"/>
        <v>15.12</v>
      </c>
      <c r="S12">
        <f t="shared" si="9"/>
        <v>966.55000000000007</v>
      </c>
    </row>
    <row r="13" spans="1:19" ht="22.5" hidden="1" customHeight="1">
      <c r="A13" s="3209"/>
      <c r="B13" s="3193">
        <v>11</v>
      </c>
      <c r="C13" s="3193"/>
      <c r="D13" s="3194"/>
      <c r="E13" s="3193"/>
      <c r="F13" s="3195"/>
      <c r="G13" s="3193"/>
      <c r="H13" s="3195">
        <f t="shared" si="0"/>
        <v>0</v>
      </c>
      <c r="I13" s="3195">
        <f t="shared" si="1"/>
        <v>0</v>
      </c>
      <c r="J13" s="3195">
        <f t="shared" si="2"/>
        <v>0</v>
      </c>
      <c r="K13" s="3195">
        <f t="shared" si="3"/>
        <v>0</v>
      </c>
      <c r="L13" s="3195">
        <f t="shared" si="4"/>
        <v>0</v>
      </c>
      <c r="M13" s="3195">
        <f t="shared" si="5"/>
        <v>0</v>
      </c>
      <c r="N13" s="3195">
        <f t="shared" si="6"/>
        <v>0</v>
      </c>
      <c r="O13" s="3196">
        <v>10.75</v>
      </c>
      <c r="P13" s="3195">
        <f t="shared" si="7"/>
        <v>0</v>
      </c>
      <c r="Q13" s="3206">
        <f t="shared" si="8"/>
        <v>0</v>
      </c>
      <c r="S13">
        <f t="shared" si="9"/>
        <v>0</v>
      </c>
    </row>
    <row r="14" spans="1:19" ht="22.5" customHeight="1">
      <c r="A14" s="3205" t="s">
        <v>3092</v>
      </c>
      <c r="B14" s="3193">
        <v>12</v>
      </c>
      <c r="C14" s="3193" t="s">
        <v>3069</v>
      </c>
      <c r="D14" s="3194" t="s">
        <v>3070</v>
      </c>
      <c r="E14" s="3193">
        <v>1979</v>
      </c>
      <c r="F14" s="3195">
        <v>58.4</v>
      </c>
      <c r="G14" s="3193">
        <v>1000</v>
      </c>
      <c r="H14" s="3195">
        <f t="shared" si="0"/>
        <v>150</v>
      </c>
      <c r="I14" s="3195">
        <f t="shared" si="1"/>
        <v>1150</v>
      </c>
      <c r="J14" s="3195">
        <f t="shared" si="2"/>
        <v>34.5</v>
      </c>
      <c r="K14" s="3195">
        <f t="shared" si="3"/>
        <v>23.69</v>
      </c>
      <c r="L14" s="3195">
        <f t="shared" si="4"/>
        <v>26</v>
      </c>
      <c r="M14" s="3195">
        <f t="shared" si="5"/>
        <v>181.23</v>
      </c>
      <c r="N14" s="3195">
        <f t="shared" si="6"/>
        <v>1415.42</v>
      </c>
      <c r="O14" s="3196">
        <v>0.6</v>
      </c>
      <c r="P14" s="3195">
        <f t="shared" si="7"/>
        <v>849.25</v>
      </c>
      <c r="Q14" s="3206">
        <f t="shared" si="8"/>
        <v>4.96</v>
      </c>
      <c r="S14">
        <f t="shared" si="9"/>
        <v>1208.19</v>
      </c>
    </row>
    <row r="15" spans="1:19" ht="22.5" customHeight="1">
      <c r="A15" s="3210"/>
      <c r="B15" s="3197">
        <v>13</v>
      </c>
      <c r="C15" s="3197" t="s">
        <v>3069</v>
      </c>
      <c r="D15" s="3198" t="s">
        <v>3070</v>
      </c>
      <c r="E15" s="3197">
        <v>1979</v>
      </c>
      <c r="F15" s="3199">
        <v>60.2</v>
      </c>
      <c r="G15" s="3197">
        <f>G14</f>
        <v>1000</v>
      </c>
      <c r="H15" s="3199">
        <f t="shared" si="0"/>
        <v>150</v>
      </c>
      <c r="I15" s="3199">
        <f t="shared" si="1"/>
        <v>1150</v>
      </c>
      <c r="J15" s="3199">
        <f t="shared" si="2"/>
        <v>34.5</v>
      </c>
      <c r="K15" s="3199">
        <f t="shared" si="3"/>
        <v>23.69</v>
      </c>
      <c r="L15" s="3199">
        <f t="shared" si="4"/>
        <v>26</v>
      </c>
      <c r="M15" s="3199">
        <f t="shared" si="5"/>
        <v>181.23</v>
      </c>
      <c r="N15" s="3199">
        <f t="shared" si="6"/>
        <v>1415.42</v>
      </c>
      <c r="O15" s="3200">
        <v>0.5</v>
      </c>
      <c r="P15" s="3199">
        <f t="shared" si="7"/>
        <v>707.71</v>
      </c>
      <c r="Q15" s="3208">
        <f t="shared" si="8"/>
        <v>4.26</v>
      </c>
      <c r="S15">
        <f t="shared" si="9"/>
        <v>1208.19</v>
      </c>
    </row>
    <row r="16" spans="1:19" ht="22.5" customHeight="1">
      <c r="A16" s="3205" t="s">
        <v>3094</v>
      </c>
      <c r="B16" s="3193">
        <v>14</v>
      </c>
      <c r="C16" s="3193" t="s">
        <v>3069</v>
      </c>
      <c r="D16" s="3194" t="s">
        <v>3070</v>
      </c>
      <c r="E16" s="3193">
        <v>1986</v>
      </c>
      <c r="F16" s="3195">
        <v>836.6</v>
      </c>
      <c r="G16" s="3193">
        <f>G14</f>
        <v>1000</v>
      </c>
      <c r="H16" s="3195">
        <f t="shared" si="0"/>
        <v>150</v>
      </c>
      <c r="I16" s="3195">
        <f t="shared" si="1"/>
        <v>1150</v>
      </c>
      <c r="J16" s="3195">
        <f t="shared" si="2"/>
        <v>34.5</v>
      </c>
      <c r="K16" s="3195">
        <f t="shared" si="3"/>
        <v>23.69</v>
      </c>
      <c r="L16" s="3195">
        <f t="shared" si="4"/>
        <v>26</v>
      </c>
      <c r="M16" s="3195">
        <f t="shared" si="5"/>
        <v>181.23</v>
      </c>
      <c r="N16" s="3195">
        <f t="shared" si="6"/>
        <v>1415.42</v>
      </c>
      <c r="O16" s="3196">
        <v>0.6</v>
      </c>
      <c r="P16" s="3195">
        <f t="shared" si="7"/>
        <v>849.25</v>
      </c>
      <c r="Q16" s="3206">
        <f t="shared" si="8"/>
        <v>71.05</v>
      </c>
      <c r="S16">
        <f t="shared" si="9"/>
        <v>1208.19</v>
      </c>
    </row>
    <row r="17" spans="1:19" ht="22.5" customHeight="1">
      <c r="A17" s="3207" t="s">
        <v>3095</v>
      </c>
      <c r="B17" s="3197">
        <v>15</v>
      </c>
      <c r="C17" s="3197" t="s">
        <v>3069</v>
      </c>
      <c r="D17" s="3198" t="s">
        <v>3070</v>
      </c>
      <c r="E17" s="3197">
        <v>1987</v>
      </c>
      <c r="F17" s="3199">
        <v>1792.5</v>
      </c>
      <c r="G17" s="3197">
        <f>G14</f>
        <v>1000</v>
      </c>
      <c r="H17" s="3199">
        <f t="shared" si="0"/>
        <v>150</v>
      </c>
      <c r="I17" s="3199">
        <f t="shared" si="1"/>
        <v>1150</v>
      </c>
      <c r="J17" s="3199">
        <f t="shared" si="2"/>
        <v>34.5</v>
      </c>
      <c r="K17" s="3199">
        <f t="shared" si="3"/>
        <v>23.69</v>
      </c>
      <c r="L17" s="3199">
        <f t="shared" si="4"/>
        <v>26</v>
      </c>
      <c r="M17" s="3199">
        <f t="shared" si="5"/>
        <v>181.23</v>
      </c>
      <c r="N17" s="3199">
        <f t="shared" si="6"/>
        <v>1415.42</v>
      </c>
      <c r="O17" s="3200">
        <v>0.6</v>
      </c>
      <c r="P17" s="3199">
        <f t="shared" si="7"/>
        <v>849.25</v>
      </c>
      <c r="Q17" s="3208">
        <f t="shared" si="8"/>
        <v>152.22999999999999</v>
      </c>
      <c r="S17">
        <f t="shared" si="9"/>
        <v>1208.19</v>
      </c>
    </row>
    <row r="18" spans="1:19" ht="22.5" customHeight="1">
      <c r="A18" s="3205" t="s">
        <v>3097</v>
      </c>
      <c r="B18" s="3193">
        <v>16</v>
      </c>
      <c r="C18" s="3193" t="s">
        <v>3069</v>
      </c>
      <c r="D18" s="3194" t="s">
        <v>3070</v>
      </c>
      <c r="E18" s="3193">
        <v>1987</v>
      </c>
      <c r="F18" s="3195">
        <v>179</v>
      </c>
      <c r="G18" s="3193">
        <f>G14</f>
        <v>1000</v>
      </c>
      <c r="H18" s="3195">
        <f t="shared" si="0"/>
        <v>150</v>
      </c>
      <c r="I18" s="3195">
        <f t="shared" si="1"/>
        <v>1150</v>
      </c>
      <c r="J18" s="3195">
        <f t="shared" si="2"/>
        <v>34.5</v>
      </c>
      <c r="K18" s="3195">
        <f t="shared" si="3"/>
        <v>23.69</v>
      </c>
      <c r="L18" s="3195">
        <f t="shared" si="4"/>
        <v>26</v>
      </c>
      <c r="M18" s="3195">
        <f t="shared" si="5"/>
        <v>181.23</v>
      </c>
      <c r="N18" s="3195">
        <f t="shared" si="6"/>
        <v>1415.42</v>
      </c>
      <c r="O18" s="3196">
        <v>0.6</v>
      </c>
      <c r="P18" s="3195">
        <f t="shared" si="7"/>
        <v>849.25</v>
      </c>
      <c r="Q18" s="3206">
        <f t="shared" si="8"/>
        <v>15.2</v>
      </c>
      <c r="S18">
        <f t="shared" si="9"/>
        <v>1208.19</v>
      </c>
    </row>
    <row r="19" spans="1:19" ht="22.5" customHeight="1">
      <c r="A19" s="3210" t="s">
        <v>3093</v>
      </c>
      <c r="B19" s="3197">
        <v>17</v>
      </c>
      <c r="C19" s="3197" t="s">
        <v>3069</v>
      </c>
      <c r="D19" s="3198" t="s">
        <v>3070</v>
      </c>
      <c r="E19" s="3197">
        <v>1986</v>
      </c>
      <c r="F19" s="3199">
        <v>11252.1</v>
      </c>
      <c r="G19" s="3197">
        <f>G14</f>
        <v>1000</v>
      </c>
      <c r="H19" s="3199">
        <f t="shared" si="0"/>
        <v>150</v>
      </c>
      <c r="I19" s="3199">
        <f t="shared" si="1"/>
        <v>1150</v>
      </c>
      <c r="J19" s="3199">
        <f t="shared" si="2"/>
        <v>34.5</v>
      </c>
      <c r="K19" s="3199">
        <f t="shared" si="3"/>
        <v>23.69</v>
      </c>
      <c r="L19" s="3199">
        <f t="shared" si="4"/>
        <v>26</v>
      </c>
      <c r="M19" s="3199">
        <f t="shared" si="5"/>
        <v>181.23</v>
      </c>
      <c r="N19" s="3199">
        <f t="shared" si="6"/>
        <v>1415.42</v>
      </c>
      <c r="O19" s="3200">
        <v>0.65</v>
      </c>
      <c r="P19" s="3199">
        <f t="shared" si="7"/>
        <v>920.02</v>
      </c>
      <c r="Q19" s="3208">
        <f t="shared" si="8"/>
        <v>1035.22</v>
      </c>
      <c r="S19">
        <f t="shared" si="9"/>
        <v>1208.19</v>
      </c>
    </row>
    <row r="20" spans="1:19" ht="22.5" customHeight="1">
      <c r="A20" s="3205" t="s">
        <v>3098</v>
      </c>
      <c r="B20" s="3193">
        <v>18</v>
      </c>
      <c r="C20" s="3193" t="s">
        <v>3069</v>
      </c>
      <c r="D20" s="3194" t="s">
        <v>3070</v>
      </c>
      <c r="E20" s="3193">
        <v>1987</v>
      </c>
      <c r="F20" s="3195">
        <v>310.89999999999998</v>
      </c>
      <c r="G20" s="3193">
        <f>G14</f>
        <v>1000</v>
      </c>
      <c r="H20" s="3195">
        <f t="shared" si="0"/>
        <v>150</v>
      </c>
      <c r="I20" s="3195">
        <f t="shared" si="1"/>
        <v>1150</v>
      </c>
      <c r="J20" s="3195">
        <f t="shared" si="2"/>
        <v>34.5</v>
      </c>
      <c r="K20" s="3195">
        <f t="shared" si="3"/>
        <v>23.69</v>
      </c>
      <c r="L20" s="3195">
        <f t="shared" si="4"/>
        <v>26</v>
      </c>
      <c r="M20" s="3195">
        <f t="shared" si="5"/>
        <v>181.23</v>
      </c>
      <c r="N20" s="3195">
        <f t="shared" si="6"/>
        <v>1415.42</v>
      </c>
      <c r="O20" s="3196">
        <v>0.6</v>
      </c>
      <c r="P20" s="3195">
        <f t="shared" si="7"/>
        <v>849.25</v>
      </c>
      <c r="Q20" s="3206">
        <f t="shared" si="8"/>
        <v>26.4</v>
      </c>
      <c r="S20">
        <f t="shared" si="9"/>
        <v>1208.19</v>
      </c>
    </row>
    <row r="21" spans="1:19" ht="22.5" customHeight="1">
      <c r="A21" s="3207" t="s">
        <v>3099</v>
      </c>
      <c r="B21" s="3197">
        <v>19</v>
      </c>
      <c r="C21" s="3197" t="s">
        <v>3069</v>
      </c>
      <c r="D21" s="3198" t="s">
        <v>3058</v>
      </c>
      <c r="E21" s="3197">
        <v>1987</v>
      </c>
      <c r="F21" s="3199">
        <v>6069.2</v>
      </c>
      <c r="G21" s="3197">
        <f>G14</f>
        <v>1000</v>
      </c>
      <c r="H21" s="3199">
        <f t="shared" si="0"/>
        <v>150</v>
      </c>
      <c r="I21" s="3199">
        <f t="shared" si="1"/>
        <v>1150</v>
      </c>
      <c r="J21" s="3199">
        <f t="shared" si="2"/>
        <v>34.5</v>
      </c>
      <c r="K21" s="3199">
        <f t="shared" si="3"/>
        <v>23.69</v>
      </c>
      <c r="L21" s="3199">
        <f t="shared" si="4"/>
        <v>26</v>
      </c>
      <c r="M21" s="3199">
        <f t="shared" si="5"/>
        <v>181.23</v>
      </c>
      <c r="N21" s="3199">
        <f t="shared" si="6"/>
        <v>1415.42</v>
      </c>
      <c r="O21" s="3200">
        <v>0.65</v>
      </c>
      <c r="P21" s="3199">
        <f t="shared" si="7"/>
        <v>920.02</v>
      </c>
      <c r="Q21" s="3208">
        <f t="shared" si="8"/>
        <v>558.38</v>
      </c>
      <c r="S21">
        <f t="shared" si="9"/>
        <v>1208.19</v>
      </c>
    </row>
    <row r="22" spans="1:19" ht="22.5" customHeight="1">
      <c r="A22" s="3205" t="s">
        <v>3100</v>
      </c>
      <c r="B22" s="3193">
        <v>20</v>
      </c>
      <c r="C22" s="3193" t="s">
        <v>3069</v>
      </c>
      <c r="D22" s="3194" t="s">
        <v>3070</v>
      </c>
      <c r="E22" s="3193">
        <v>1987</v>
      </c>
      <c r="F22" s="3195">
        <v>1510.6</v>
      </c>
      <c r="G22" s="3193">
        <f>G14</f>
        <v>1000</v>
      </c>
      <c r="H22" s="3195">
        <f t="shared" si="0"/>
        <v>150</v>
      </c>
      <c r="I22" s="3195">
        <f t="shared" si="1"/>
        <v>1150</v>
      </c>
      <c r="J22" s="3195">
        <f t="shared" si="2"/>
        <v>34.5</v>
      </c>
      <c r="K22" s="3195">
        <f t="shared" si="3"/>
        <v>23.69</v>
      </c>
      <c r="L22" s="3195">
        <f t="shared" si="4"/>
        <v>26</v>
      </c>
      <c r="M22" s="3195">
        <f t="shared" si="5"/>
        <v>181.23</v>
      </c>
      <c r="N22" s="3195">
        <f t="shared" si="6"/>
        <v>1415.42</v>
      </c>
      <c r="O22" s="3196">
        <v>0.65</v>
      </c>
      <c r="P22" s="3195">
        <f t="shared" si="7"/>
        <v>920.02</v>
      </c>
      <c r="Q22" s="3206">
        <f t="shared" si="8"/>
        <v>138.97999999999999</v>
      </c>
      <c r="S22">
        <f t="shared" si="9"/>
        <v>1208.19</v>
      </c>
    </row>
    <row r="23" spans="1:19" ht="22.5" customHeight="1">
      <c r="A23" s="3207" t="s">
        <v>3101</v>
      </c>
      <c r="B23" s="3197">
        <v>21</v>
      </c>
      <c r="C23" s="3197" t="s">
        <v>3069</v>
      </c>
      <c r="D23" s="3198" t="s">
        <v>3059</v>
      </c>
      <c r="E23" s="3197">
        <v>1987</v>
      </c>
      <c r="F23" s="3199">
        <v>9213.2000000000007</v>
      </c>
      <c r="G23" s="3197">
        <f>G14</f>
        <v>1000</v>
      </c>
      <c r="H23" s="3199">
        <f t="shared" si="0"/>
        <v>150</v>
      </c>
      <c r="I23" s="3199">
        <f t="shared" si="1"/>
        <v>1150</v>
      </c>
      <c r="J23" s="3199">
        <f t="shared" si="2"/>
        <v>34.5</v>
      </c>
      <c r="K23" s="3199">
        <f t="shared" si="3"/>
        <v>23.69</v>
      </c>
      <c r="L23" s="3199">
        <f t="shared" si="4"/>
        <v>26</v>
      </c>
      <c r="M23" s="3199">
        <f t="shared" si="5"/>
        <v>181.23</v>
      </c>
      <c r="N23" s="3199">
        <f t="shared" si="6"/>
        <v>1415.42</v>
      </c>
      <c r="O23" s="3200">
        <v>0.65</v>
      </c>
      <c r="P23" s="3199">
        <f t="shared" si="7"/>
        <v>920.02</v>
      </c>
      <c r="Q23" s="3208">
        <f t="shared" si="8"/>
        <v>847.63</v>
      </c>
      <c r="S23">
        <f t="shared" si="9"/>
        <v>1208.19</v>
      </c>
    </row>
    <row r="24" spans="1:19" ht="22.5" customHeight="1">
      <c r="A24" s="3205" t="s">
        <v>3102</v>
      </c>
      <c r="B24" s="3193">
        <v>22</v>
      </c>
      <c r="C24" s="3193" t="s">
        <v>3069</v>
      </c>
      <c r="D24" s="3194" t="s">
        <v>3061</v>
      </c>
      <c r="E24" s="3193">
        <v>1987</v>
      </c>
      <c r="F24" s="3195">
        <v>1452.1</v>
      </c>
      <c r="G24" s="3193">
        <f>G14</f>
        <v>1000</v>
      </c>
      <c r="H24" s="3195">
        <f t="shared" si="0"/>
        <v>150</v>
      </c>
      <c r="I24" s="3195">
        <f t="shared" si="1"/>
        <v>1150</v>
      </c>
      <c r="J24" s="3195">
        <f t="shared" si="2"/>
        <v>34.5</v>
      </c>
      <c r="K24" s="3195">
        <f t="shared" si="3"/>
        <v>23.69</v>
      </c>
      <c r="L24" s="3195">
        <f t="shared" si="4"/>
        <v>26</v>
      </c>
      <c r="M24" s="3195">
        <f t="shared" si="5"/>
        <v>181.23</v>
      </c>
      <c r="N24" s="3195">
        <f t="shared" si="6"/>
        <v>1415.42</v>
      </c>
      <c r="O24" s="3196">
        <v>0.65</v>
      </c>
      <c r="P24" s="3195">
        <f t="shared" si="7"/>
        <v>920.02</v>
      </c>
      <c r="Q24" s="3206">
        <f t="shared" si="8"/>
        <v>133.6</v>
      </c>
      <c r="S24">
        <f t="shared" si="9"/>
        <v>1208.19</v>
      </c>
    </row>
    <row r="25" spans="1:19" ht="22.5" customHeight="1">
      <c r="A25" s="3210"/>
      <c r="B25" s="3197">
        <v>23</v>
      </c>
      <c r="C25" s="3197" t="s">
        <v>3069</v>
      </c>
      <c r="D25" s="3198" t="s">
        <v>3062</v>
      </c>
      <c r="E25" s="3197">
        <v>1987</v>
      </c>
      <c r="F25" s="3199">
        <v>3265</v>
      </c>
      <c r="G25" s="3197">
        <f>G14</f>
        <v>1000</v>
      </c>
      <c r="H25" s="3199">
        <f t="shared" si="0"/>
        <v>150</v>
      </c>
      <c r="I25" s="3199">
        <f t="shared" si="1"/>
        <v>1150</v>
      </c>
      <c r="J25" s="3199">
        <f t="shared" si="2"/>
        <v>34.5</v>
      </c>
      <c r="K25" s="3199">
        <f t="shared" si="3"/>
        <v>23.69</v>
      </c>
      <c r="L25" s="3199">
        <f t="shared" si="4"/>
        <v>26</v>
      </c>
      <c r="M25" s="3199">
        <f t="shared" si="5"/>
        <v>181.23</v>
      </c>
      <c r="N25" s="3199">
        <f t="shared" si="6"/>
        <v>1415.42</v>
      </c>
      <c r="O25" s="3200">
        <v>0.6</v>
      </c>
      <c r="P25" s="3199">
        <f t="shared" si="7"/>
        <v>849.25</v>
      </c>
      <c r="Q25" s="3208">
        <f t="shared" si="8"/>
        <v>277.27999999999997</v>
      </c>
      <c r="S25">
        <f t="shared" si="9"/>
        <v>1208.19</v>
      </c>
    </row>
    <row r="26" spans="1:19" ht="22.5" customHeight="1">
      <c r="A26" s="3205" t="s">
        <v>3103</v>
      </c>
      <c r="B26" s="3193">
        <v>24</v>
      </c>
      <c r="C26" s="3193" t="s">
        <v>3072</v>
      </c>
      <c r="D26" s="3194" t="s">
        <v>3070</v>
      </c>
      <c r="E26" s="3193">
        <v>1986</v>
      </c>
      <c r="F26" s="3195">
        <v>2300.5</v>
      </c>
      <c r="G26" s="3193">
        <v>1800</v>
      </c>
      <c r="H26" s="3195">
        <f t="shared" si="0"/>
        <v>270</v>
      </c>
      <c r="I26" s="3195">
        <f t="shared" si="1"/>
        <v>2070</v>
      </c>
      <c r="J26" s="3195">
        <f t="shared" si="2"/>
        <v>62.1</v>
      </c>
      <c r="K26" s="3195">
        <f t="shared" si="3"/>
        <v>42.64</v>
      </c>
      <c r="L26" s="3195">
        <f t="shared" si="4"/>
        <v>46.8</v>
      </c>
      <c r="M26" s="3195">
        <f t="shared" si="5"/>
        <v>326.20999999999998</v>
      </c>
      <c r="N26" s="3195">
        <f t="shared" si="6"/>
        <v>2547.75</v>
      </c>
      <c r="O26" s="3196">
        <v>0.6</v>
      </c>
      <c r="P26" s="3195">
        <f t="shared" si="7"/>
        <v>1528.65</v>
      </c>
      <c r="Q26" s="3206">
        <f t="shared" si="8"/>
        <v>351.67</v>
      </c>
      <c r="S26">
        <f t="shared" si="9"/>
        <v>2174.7399999999998</v>
      </c>
    </row>
    <row r="27" spans="1:19" ht="22.5" hidden="1" customHeight="1">
      <c r="A27" s="3209"/>
      <c r="B27" s="3193">
        <v>25</v>
      </c>
      <c r="C27" s="3193"/>
      <c r="D27" s="3194"/>
      <c r="E27" s="3193"/>
      <c r="F27" s="3195"/>
      <c r="G27" s="3193"/>
      <c r="H27" s="3195">
        <f t="shared" si="0"/>
        <v>0</v>
      </c>
      <c r="I27" s="3195">
        <f t="shared" si="1"/>
        <v>0</v>
      </c>
      <c r="J27" s="3195">
        <f t="shared" si="2"/>
        <v>0</v>
      </c>
      <c r="K27" s="3195">
        <f t="shared" si="3"/>
        <v>0</v>
      </c>
      <c r="L27" s="3195">
        <f t="shared" si="4"/>
        <v>0</v>
      </c>
      <c r="M27" s="3195">
        <f t="shared" si="5"/>
        <v>0</v>
      </c>
      <c r="N27" s="3195">
        <f t="shared" si="6"/>
        <v>0</v>
      </c>
      <c r="O27" s="3196">
        <v>24.75</v>
      </c>
      <c r="P27" s="3195">
        <f t="shared" si="7"/>
        <v>0</v>
      </c>
      <c r="Q27" s="3206">
        <f t="shared" si="8"/>
        <v>0</v>
      </c>
      <c r="S27">
        <f t="shared" si="9"/>
        <v>0</v>
      </c>
    </row>
    <row r="28" spans="1:19" ht="22.5" hidden="1" customHeight="1">
      <c r="A28" s="3209"/>
      <c r="B28" s="3193">
        <v>26</v>
      </c>
      <c r="C28" s="3193"/>
      <c r="D28" s="3194"/>
      <c r="E28" s="3193"/>
      <c r="F28" s="3195"/>
      <c r="G28" s="3193"/>
      <c r="H28" s="3195">
        <f t="shared" si="0"/>
        <v>0</v>
      </c>
      <c r="I28" s="3195">
        <f t="shared" si="1"/>
        <v>0</v>
      </c>
      <c r="J28" s="3195">
        <f t="shared" si="2"/>
        <v>0</v>
      </c>
      <c r="K28" s="3195">
        <f t="shared" si="3"/>
        <v>0</v>
      </c>
      <c r="L28" s="3195">
        <f t="shared" si="4"/>
        <v>0</v>
      </c>
      <c r="M28" s="3195">
        <f t="shared" si="5"/>
        <v>0</v>
      </c>
      <c r="N28" s="3195">
        <f t="shared" si="6"/>
        <v>0</v>
      </c>
      <c r="O28" s="3196">
        <v>25.75</v>
      </c>
      <c r="P28" s="3195">
        <f t="shared" si="7"/>
        <v>0</v>
      </c>
      <c r="Q28" s="3206">
        <f t="shared" si="8"/>
        <v>0</v>
      </c>
      <c r="S28">
        <f t="shared" si="9"/>
        <v>0</v>
      </c>
    </row>
    <row r="29" spans="1:19" ht="22.5" customHeight="1">
      <c r="A29" s="3207" t="s">
        <v>3104</v>
      </c>
      <c r="B29" s="3197">
        <v>27</v>
      </c>
      <c r="C29" s="3197" t="s">
        <v>3069</v>
      </c>
      <c r="D29" s="3198" t="s">
        <v>3070</v>
      </c>
      <c r="E29" s="3197">
        <v>1986</v>
      </c>
      <c r="F29" s="3199">
        <v>256.60000000000002</v>
      </c>
      <c r="G29" s="3197">
        <f>G14</f>
        <v>1000</v>
      </c>
      <c r="H29" s="3199">
        <f t="shared" si="0"/>
        <v>150</v>
      </c>
      <c r="I29" s="3199">
        <f t="shared" si="1"/>
        <v>1150</v>
      </c>
      <c r="J29" s="3199">
        <f t="shared" si="2"/>
        <v>34.5</v>
      </c>
      <c r="K29" s="3199">
        <f t="shared" si="3"/>
        <v>23.69</v>
      </c>
      <c r="L29" s="3199">
        <f t="shared" si="4"/>
        <v>26</v>
      </c>
      <c r="M29" s="3199">
        <f t="shared" si="5"/>
        <v>181.23</v>
      </c>
      <c r="N29" s="3199">
        <f t="shared" si="6"/>
        <v>1415.42</v>
      </c>
      <c r="O29" s="3200">
        <v>0.6</v>
      </c>
      <c r="P29" s="3199">
        <f t="shared" si="7"/>
        <v>849.25</v>
      </c>
      <c r="Q29" s="3208">
        <f t="shared" si="8"/>
        <v>21.79</v>
      </c>
      <c r="S29">
        <f t="shared" si="9"/>
        <v>1208.19</v>
      </c>
    </row>
    <row r="30" spans="1:19" ht="22.5" customHeight="1">
      <c r="A30" s="3209"/>
      <c r="B30" s="3193">
        <v>28</v>
      </c>
      <c r="C30" s="3193" t="s">
        <v>3069</v>
      </c>
      <c r="D30" s="3194" t="s">
        <v>3059</v>
      </c>
      <c r="E30" s="3193">
        <v>1987</v>
      </c>
      <c r="F30" s="3195">
        <v>109.7</v>
      </c>
      <c r="G30" s="3193">
        <f>G14</f>
        <v>1000</v>
      </c>
      <c r="H30" s="3195">
        <f t="shared" si="0"/>
        <v>150</v>
      </c>
      <c r="I30" s="3195">
        <f t="shared" si="1"/>
        <v>1150</v>
      </c>
      <c r="J30" s="3195">
        <f t="shared" si="2"/>
        <v>34.5</v>
      </c>
      <c r="K30" s="3195">
        <f t="shared" si="3"/>
        <v>23.69</v>
      </c>
      <c r="L30" s="3195">
        <f t="shared" si="4"/>
        <v>26</v>
      </c>
      <c r="M30" s="3195">
        <f t="shared" si="5"/>
        <v>181.23</v>
      </c>
      <c r="N30" s="3195">
        <f t="shared" si="6"/>
        <v>1415.42</v>
      </c>
      <c r="O30" s="3196">
        <v>0.65</v>
      </c>
      <c r="P30" s="3195">
        <f t="shared" si="7"/>
        <v>920.02</v>
      </c>
      <c r="Q30" s="3206">
        <f t="shared" si="8"/>
        <v>10.09</v>
      </c>
      <c r="S30">
        <f t="shared" si="9"/>
        <v>1208.19</v>
      </c>
    </row>
    <row r="31" spans="1:19" ht="22.5" customHeight="1">
      <c r="A31" s="3210"/>
      <c r="B31" s="3197">
        <v>29</v>
      </c>
      <c r="C31" s="3197" t="s">
        <v>3069</v>
      </c>
      <c r="D31" s="3198" t="s">
        <v>3070</v>
      </c>
      <c r="E31" s="3197">
        <v>1987</v>
      </c>
      <c r="F31" s="3199">
        <v>140.19999999999999</v>
      </c>
      <c r="G31" s="3197">
        <f>G14</f>
        <v>1000</v>
      </c>
      <c r="H31" s="3199">
        <f t="shared" si="0"/>
        <v>150</v>
      </c>
      <c r="I31" s="3199">
        <f t="shared" si="1"/>
        <v>1150</v>
      </c>
      <c r="J31" s="3199">
        <f t="shared" si="2"/>
        <v>34.5</v>
      </c>
      <c r="K31" s="3199">
        <f t="shared" si="3"/>
        <v>23.69</v>
      </c>
      <c r="L31" s="3199">
        <f t="shared" si="4"/>
        <v>26</v>
      </c>
      <c r="M31" s="3199">
        <f t="shared" si="5"/>
        <v>181.23</v>
      </c>
      <c r="N31" s="3199">
        <f t="shared" si="6"/>
        <v>1415.42</v>
      </c>
      <c r="O31" s="3200">
        <v>0.65</v>
      </c>
      <c r="P31" s="3199">
        <f t="shared" si="7"/>
        <v>920.02</v>
      </c>
      <c r="Q31" s="3208">
        <f t="shared" si="8"/>
        <v>12.9</v>
      </c>
      <c r="S31">
        <f t="shared" si="9"/>
        <v>1208.19</v>
      </c>
    </row>
    <row r="32" spans="1:19" ht="22.5" customHeight="1">
      <c r="A32" s="3209"/>
      <c r="B32" s="3193">
        <v>30</v>
      </c>
      <c r="C32" s="3193" t="s">
        <v>3069</v>
      </c>
      <c r="D32" s="3194" t="s">
        <v>3070</v>
      </c>
      <c r="E32" s="3193">
        <v>1988</v>
      </c>
      <c r="F32" s="3195">
        <v>90.2</v>
      </c>
      <c r="G32" s="3193">
        <f>G14</f>
        <v>1000</v>
      </c>
      <c r="H32" s="3195">
        <f t="shared" si="0"/>
        <v>150</v>
      </c>
      <c r="I32" s="3195">
        <f t="shared" si="1"/>
        <v>1150</v>
      </c>
      <c r="J32" s="3195">
        <f t="shared" si="2"/>
        <v>34.5</v>
      </c>
      <c r="K32" s="3195">
        <f t="shared" si="3"/>
        <v>23.69</v>
      </c>
      <c r="L32" s="3195">
        <f t="shared" si="4"/>
        <v>26</v>
      </c>
      <c r="M32" s="3195">
        <f t="shared" si="5"/>
        <v>181.23</v>
      </c>
      <c r="N32" s="3195">
        <f t="shared" si="6"/>
        <v>1415.42</v>
      </c>
      <c r="O32" s="3196">
        <v>0.6</v>
      </c>
      <c r="P32" s="3195">
        <f t="shared" si="7"/>
        <v>849.25</v>
      </c>
      <c r="Q32" s="3206">
        <f t="shared" si="8"/>
        <v>7.66</v>
      </c>
      <c r="S32">
        <f t="shared" si="9"/>
        <v>1208.19</v>
      </c>
    </row>
    <row r="33" spans="1:19" ht="22.5" customHeight="1">
      <c r="A33" s="3210"/>
      <c r="B33" s="3197">
        <v>31</v>
      </c>
      <c r="C33" s="3197" t="s">
        <v>3069</v>
      </c>
      <c r="D33" s="3198" t="s">
        <v>3070</v>
      </c>
      <c r="E33" s="3197">
        <v>1987</v>
      </c>
      <c r="F33" s="3199">
        <v>87.9</v>
      </c>
      <c r="G33" s="3197">
        <f>G14</f>
        <v>1000</v>
      </c>
      <c r="H33" s="3199">
        <f t="shared" si="0"/>
        <v>150</v>
      </c>
      <c r="I33" s="3199">
        <f t="shared" si="1"/>
        <v>1150</v>
      </c>
      <c r="J33" s="3199">
        <f t="shared" si="2"/>
        <v>34.5</v>
      </c>
      <c r="K33" s="3199">
        <f t="shared" si="3"/>
        <v>23.69</v>
      </c>
      <c r="L33" s="3199">
        <f t="shared" si="4"/>
        <v>26</v>
      </c>
      <c r="M33" s="3199">
        <f t="shared" si="5"/>
        <v>181.23</v>
      </c>
      <c r="N33" s="3199">
        <f t="shared" si="6"/>
        <v>1415.42</v>
      </c>
      <c r="O33" s="3200">
        <v>0.65</v>
      </c>
      <c r="P33" s="3199">
        <f t="shared" si="7"/>
        <v>920.02</v>
      </c>
      <c r="Q33" s="3208">
        <f t="shared" si="8"/>
        <v>8.09</v>
      </c>
      <c r="S33">
        <f t="shared" si="9"/>
        <v>1208.19</v>
      </c>
    </row>
    <row r="34" spans="1:19" ht="22.5" customHeight="1">
      <c r="A34" s="3209"/>
      <c r="B34" s="3193"/>
      <c r="C34" s="3193"/>
      <c r="D34" s="3194" t="s">
        <v>3073</v>
      </c>
      <c r="E34" s="3193"/>
      <c r="F34" s="3195">
        <v>87.9</v>
      </c>
      <c r="G34" s="3193">
        <f>G14</f>
        <v>1000</v>
      </c>
      <c r="H34" s="3195">
        <f t="shared" si="0"/>
        <v>150</v>
      </c>
      <c r="I34" s="3195">
        <f t="shared" si="1"/>
        <v>1150</v>
      </c>
      <c r="J34" s="3195">
        <f t="shared" si="2"/>
        <v>34.5</v>
      </c>
      <c r="K34" s="3195">
        <f t="shared" si="3"/>
        <v>23.69</v>
      </c>
      <c r="L34" s="3195">
        <f t="shared" si="4"/>
        <v>26</v>
      </c>
      <c r="M34" s="3195">
        <f t="shared" si="5"/>
        <v>181.23</v>
      </c>
      <c r="N34" s="3195">
        <f t="shared" si="6"/>
        <v>1415.42</v>
      </c>
      <c r="O34" s="3196">
        <v>0.65</v>
      </c>
      <c r="P34" s="3195">
        <f t="shared" si="7"/>
        <v>920.02</v>
      </c>
      <c r="Q34" s="3206">
        <f t="shared" si="8"/>
        <v>8.09</v>
      </c>
      <c r="S34">
        <f t="shared" si="9"/>
        <v>1208.19</v>
      </c>
    </row>
    <row r="35" spans="1:19" ht="22.5" customHeight="1">
      <c r="A35" s="3210"/>
      <c r="B35" s="3197">
        <v>32</v>
      </c>
      <c r="C35" s="3197" t="s">
        <v>3069</v>
      </c>
      <c r="D35" s="3198" t="s">
        <v>3070</v>
      </c>
      <c r="E35" s="3197">
        <v>1987</v>
      </c>
      <c r="F35" s="3199">
        <v>174.2</v>
      </c>
      <c r="G35" s="3197">
        <f>G14</f>
        <v>1000</v>
      </c>
      <c r="H35" s="3199">
        <f t="shared" si="0"/>
        <v>150</v>
      </c>
      <c r="I35" s="3199">
        <f t="shared" si="1"/>
        <v>1150</v>
      </c>
      <c r="J35" s="3199">
        <f t="shared" si="2"/>
        <v>34.5</v>
      </c>
      <c r="K35" s="3199">
        <f t="shared" si="3"/>
        <v>23.69</v>
      </c>
      <c r="L35" s="3199">
        <f t="shared" si="4"/>
        <v>26</v>
      </c>
      <c r="M35" s="3199">
        <f t="shared" si="5"/>
        <v>181.23</v>
      </c>
      <c r="N35" s="3199">
        <f t="shared" si="6"/>
        <v>1415.42</v>
      </c>
      <c r="O35" s="3200">
        <v>0.65</v>
      </c>
      <c r="P35" s="3199">
        <f t="shared" si="7"/>
        <v>920.02</v>
      </c>
      <c r="Q35" s="3208">
        <f t="shared" si="8"/>
        <v>16.03</v>
      </c>
      <c r="S35">
        <f t="shared" si="9"/>
        <v>1208.19</v>
      </c>
    </row>
    <row r="36" spans="1:19" ht="22.5" customHeight="1">
      <c r="A36" s="3205" t="s">
        <v>3105</v>
      </c>
      <c r="B36" s="3193">
        <v>33</v>
      </c>
      <c r="C36" s="3193" t="s">
        <v>3069</v>
      </c>
      <c r="D36" s="3194" t="s">
        <v>3070</v>
      </c>
      <c r="E36" s="3193">
        <v>1986</v>
      </c>
      <c r="F36" s="3195">
        <v>1001.7</v>
      </c>
      <c r="G36" s="3193">
        <f>G14</f>
        <v>1000</v>
      </c>
      <c r="H36" s="3195">
        <f t="shared" si="0"/>
        <v>150</v>
      </c>
      <c r="I36" s="3195">
        <f t="shared" si="1"/>
        <v>1150</v>
      </c>
      <c r="J36" s="3195">
        <f t="shared" si="2"/>
        <v>34.5</v>
      </c>
      <c r="K36" s="3195">
        <f t="shared" si="3"/>
        <v>23.69</v>
      </c>
      <c r="L36" s="3195">
        <f t="shared" si="4"/>
        <v>26</v>
      </c>
      <c r="M36" s="3195">
        <f t="shared" si="5"/>
        <v>181.23</v>
      </c>
      <c r="N36" s="3195">
        <f t="shared" si="6"/>
        <v>1415.42</v>
      </c>
      <c r="O36" s="3196">
        <v>0.6</v>
      </c>
      <c r="P36" s="3195">
        <f t="shared" si="7"/>
        <v>849.25</v>
      </c>
      <c r="Q36" s="3206">
        <f t="shared" si="8"/>
        <v>85.07</v>
      </c>
      <c r="S36">
        <f t="shared" si="9"/>
        <v>1208.19</v>
      </c>
    </row>
    <row r="37" spans="1:19" ht="22.5" customHeight="1">
      <c r="A37" s="3207" t="s">
        <v>3106</v>
      </c>
      <c r="B37" s="3197">
        <v>34</v>
      </c>
      <c r="C37" s="3197" t="s">
        <v>3069</v>
      </c>
      <c r="D37" s="3198" t="s">
        <v>3070</v>
      </c>
      <c r="E37" s="3197">
        <v>1986</v>
      </c>
      <c r="F37" s="3199">
        <v>822.6</v>
      </c>
      <c r="G37" s="3197">
        <f>G14</f>
        <v>1000</v>
      </c>
      <c r="H37" s="3199">
        <f t="shared" si="0"/>
        <v>150</v>
      </c>
      <c r="I37" s="3199">
        <f t="shared" si="1"/>
        <v>1150</v>
      </c>
      <c r="J37" s="3199">
        <f t="shared" si="2"/>
        <v>34.5</v>
      </c>
      <c r="K37" s="3199">
        <f t="shared" si="3"/>
        <v>23.69</v>
      </c>
      <c r="L37" s="3199">
        <f t="shared" si="4"/>
        <v>26</v>
      </c>
      <c r="M37" s="3199">
        <f t="shared" si="5"/>
        <v>181.23</v>
      </c>
      <c r="N37" s="3199">
        <f t="shared" si="6"/>
        <v>1415.42</v>
      </c>
      <c r="O37" s="3200">
        <v>0.6</v>
      </c>
      <c r="P37" s="3199">
        <f t="shared" si="7"/>
        <v>849.25</v>
      </c>
      <c r="Q37" s="3208">
        <f t="shared" si="8"/>
        <v>69.86</v>
      </c>
      <c r="S37">
        <f t="shared" si="9"/>
        <v>1208.19</v>
      </c>
    </row>
    <row r="38" spans="1:19" ht="22.5" customHeight="1">
      <c r="A38" s="3209" t="s">
        <v>3107</v>
      </c>
      <c r="B38" s="3193">
        <v>35</v>
      </c>
      <c r="C38" s="3193" t="s">
        <v>3069</v>
      </c>
      <c r="D38" s="3194" t="s">
        <v>3191</v>
      </c>
      <c r="E38" s="3193">
        <v>1987</v>
      </c>
      <c r="F38" s="3195">
        <v>1847.9</v>
      </c>
      <c r="G38" s="3193">
        <f>G14</f>
        <v>1000</v>
      </c>
      <c r="H38" s="3195">
        <f t="shared" si="0"/>
        <v>150</v>
      </c>
      <c r="I38" s="3195">
        <f t="shared" si="1"/>
        <v>1150</v>
      </c>
      <c r="J38" s="3195">
        <f t="shared" si="2"/>
        <v>34.5</v>
      </c>
      <c r="K38" s="3195">
        <f t="shared" si="3"/>
        <v>23.69</v>
      </c>
      <c r="L38" s="3195">
        <f t="shared" si="4"/>
        <v>26</v>
      </c>
      <c r="M38" s="3195">
        <f t="shared" si="5"/>
        <v>181.23</v>
      </c>
      <c r="N38" s="3195">
        <f t="shared" si="6"/>
        <v>1415.42</v>
      </c>
      <c r="O38" s="3196">
        <v>0.65</v>
      </c>
      <c r="P38" s="3195">
        <f t="shared" si="7"/>
        <v>920.02</v>
      </c>
      <c r="Q38" s="3206">
        <f t="shared" si="8"/>
        <v>170.01</v>
      </c>
      <c r="S38" s="3190">
        <f t="shared" si="9"/>
        <v>1208.19</v>
      </c>
    </row>
    <row r="39" spans="1:19" ht="22.5" customHeight="1">
      <c r="A39" s="3207" t="s">
        <v>3108</v>
      </c>
      <c r="B39" s="3197">
        <v>36</v>
      </c>
      <c r="C39" s="3197" t="s">
        <v>3069</v>
      </c>
      <c r="D39" s="3198" t="s">
        <v>3059</v>
      </c>
      <c r="E39" s="3197">
        <v>1987</v>
      </c>
      <c r="F39" s="3199">
        <v>5042.6000000000004</v>
      </c>
      <c r="G39" s="3197">
        <f>G14</f>
        <v>1000</v>
      </c>
      <c r="H39" s="3199">
        <f t="shared" si="0"/>
        <v>150</v>
      </c>
      <c r="I39" s="3199">
        <f t="shared" si="1"/>
        <v>1150</v>
      </c>
      <c r="J39" s="3199">
        <f t="shared" si="2"/>
        <v>34.5</v>
      </c>
      <c r="K39" s="3199">
        <f t="shared" si="3"/>
        <v>23.69</v>
      </c>
      <c r="L39" s="3199">
        <f t="shared" si="4"/>
        <v>26</v>
      </c>
      <c r="M39" s="3199">
        <f t="shared" si="5"/>
        <v>181.23</v>
      </c>
      <c r="N39" s="3199">
        <f t="shared" si="6"/>
        <v>1415.42</v>
      </c>
      <c r="O39" s="3200">
        <v>0.65</v>
      </c>
      <c r="P39" s="3199">
        <f t="shared" si="7"/>
        <v>920.02</v>
      </c>
      <c r="Q39" s="3208">
        <f t="shared" si="8"/>
        <v>463.93</v>
      </c>
      <c r="S39">
        <f t="shared" si="9"/>
        <v>1208.19</v>
      </c>
    </row>
    <row r="40" spans="1:19" ht="22.5" customHeight="1">
      <c r="A40" s="3205" t="s">
        <v>3085</v>
      </c>
      <c r="B40" s="3193">
        <v>37</v>
      </c>
      <c r="C40" s="3193" t="s">
        <v>3069</v>
      </c>
      <c r="D40" s="3194" t="s">
        <v>3059</v>
      </c>
      <c r="E40" s="3193">
        <v>1988</v>
      </c>
      <c r="F40" s="3195">
        <v>2200.3000000000002</v>
      </c>
      <c r="G40" s="3193">
        <f>G14</f>
        <v>1000</v>
      </c>
      <c r="H40" s="3195">
        <f t="shared" si="0"/>
        <v>150</v>
      </c>
      <c r="I40" s="3195">
        <f t="shared" si="1"/>
        <v>1150</v>
      </c>
      <c r="J40" s="3195">
        <f t="shared" si="2"/>
        <v>34.5</v>
      </c>
      <c r="K40" s="3195">
        <f t="shared" si="3"/>
        <v>23.69</v>
      </c>
      <c r="L40" s="3195">
        <f t="shared" si="4"/>
        <v>26</v>
      </c>
      <c r="M40" s="3195">
        <f t="shared" si="5"/>
        <v>181.23</v>
      </c>
      <c r="N40" s="3195">
        <f t="shared" si="6"/>
        <v>1415.42</v>
      </c>
      <c r="O40" s="3196">
        <v>0.65</v>
      </c>
      <c r="P40" s="3195">
        <f t="shared" si="7"/>
        <v>920.02</v>
      </c>
      <c r="Q40" s="3206">
        <f t="shared" si="8"/>
        <v>202.43</v>
      </c>
      <c r="S40">
        <f t="shared" si="9"/>
        <v>1208.19</v>
      </c>
    </row>
    <row r="41" spans="1:19" ht="22.5" customHeight="1">
      <c r="A41" s="3210"/>
      <c r="B41" s="3197"/>
      <c r="C41" s="3197"/>
      <c r="D41" s="3198" t="s">
        <v>3073</v>
      </c>
      <c r="E41" s="3197"/>
      <c r="F41" s="3199">
        <v>1023.2</v>
      </c>
      <c r="G41" s="3197">
        <f>G14</f>
        <v>1000</v>
      </c>
      <c r="H41" s="3199">
        <f t="shared" si="0"/>
        <v>150</v>
      </c>
      <c r="I41" s="3199">
        <f t="shared" si="1"/>
        <v>1150</v>
      </c>
      <c r="J41" s="3199">
        <f t="shared" si="2"/>
        <v>34.5</v>
      </c>
      <c r="K41" s="3199">
        <f t="shared" si="3"/>
        <v>23.69</v>
      </c>
      <c r="L41" s="3199">
        <f t="shared" si="4"/>
        <v>26</v>
      </c>
      <c r="M41" s="3199">
        <f t="shared" si="5"/>
        <v>181.23</v>
      </c>
      <c r="N41" s="3199">
        <f t="shared" si="6"/>
        <v>1415.42</v>
      </c>
      <c r="O41" s="3200">
        <f>O40</f>
        <v>0.65</v>
      </c>
      <c r="P41" s="3199">
        <f t="shared" si="7"/>
        <v>920.02</v>
      </c>
      <c r="Q41" s="3208">
        <f t="shared" si="8"/>
        <v>94.14</v>
      </c>
      <c r="S41">
        <f t="shared" si="9"/>
        <v>1208.19</v>
      </c>
    </row>
    <row r="42" spans="1:19" ht="22.5" customHeight="1" thickBot="1">
      <c r="A42" s="3211" t="s">
        <v>3096</v>
      </c>
      <c r="B42" s="3201">
        <v>38</v>
      </c>
      <c r="C42" s="3201" t="s">
        <v>3069</v>
      </c>
      <c r="D42" s="3202" t="s">
        <v>3070</v>
      </c>
      <c r="E42" s="3201">
        <v>1979</v>
      </c>
      <c r="F42" s="3203">
        <v>371.9</v>
      </c>
      <c r="G42" s="3201">
        <f>G14</f>
        <v>1000</v>
      </c>
      <c r="H42" s="3203">
        <f t="shared" si="0"/>
        <v>150</v>
      </c>
      <c r="I42" s="3203">
        <f t="shared" si="1"/>
        <v>1150</v>
      </c>
      <c r="J42" s="3203">
        <f t="shared" si="2"/>
        <v>34.5</v>
      </c>
      <c r="K42" s="3203">
        <f t="shared" si="3"/>
        <v>23.69</v>
      </c>
      <c r="L42" s="3203">
        <f t="shared" si="4"/>
        <v>26</v>
      </c>
      <c r="M42" s="3203">
        <f t="shared" si="5"/>
        <v>181.23</v>
      </c>
      <c r="N42" s="3203">
        <f t="shared" si="6"/>
        <v>1415.42</v>
      </c>
      <c r="O42" s="3204">
        <v>0.65</v>
      </c>
      <c r="P42" s="3203">
        <f t="shared" si="7"/>
        <v>920.02</v>
      </c>
      <c r="Q42" s="3212">
        <f t="shared" si="8"/>
        <v>34.22</v>
      </c>
      <c r="S42">
        <f t="shared" si="9"/>
        <v>1208.19</v>
      </c>
    </row>
    <row r="43" spans="1:19" ht="22.5" customHeight="1" thickTop="1" thickBot="1">
      <c r="A43" s="3213" t="s">
        <v>3110</v>
      </c>
      <c r="B43" s="3214"/>
      <c r="C43" s="3214"/>
      <c r="D43" s="3215"/>
      <c r="E43" s="3214"/>
      <c r="F43" s="3216">
        <f>SUM(F3:F42)</f>
        <v>60473.499999999985</v>
      </c>
      <c r="G43" s="3214"/>
      <c r="H43" s="3214"/>
      <c r="I43" s="3214"/>
      <c r="J43" s="3214"/>
      <c r="K43" s="3214"/>
      <c r="L43" s="3214"/>
      <c r="M43" s="3214"/>
      <c r="N43" s="3214"/>
      <c r="O43" s="3214"/>
      <c r="P43" s="3214"/>
      <c r="Q43" s="3217">
        <f>SUM(Q3:Q42)</f>
        <v>6004.7400000000007</v>
      </c>
    </row>
    <row r="44" spans="1:19" ht="22.5" customHeight="1" thickBot="1">
      <c r="A44" s="3906" t="s">
        <v>3190</v>
      </c>
      <c r="B44" s="3907"/>
      <c r="C44" s="3907"/>
      <c r="D44" s="3907"/>
      <c r="E44" s="3907"/>
      <c r="F44" s="3907"/>
      <c r="G44" s="3907"/>
      <c r="H44" s="3907"/>
      <c r="I44" s="3907"/>
      <c r="J44" s="3907"/>
      <c r="K44" s="3907"/>
      <c r="L44" s="3907"/>
      <c r="M44" s="3907"/>
      <c r="N44" s="3907"/>
      <c r="O44" s="3907"/>
      <c r="P44" s="3907"/>
      <c r="Q44" s="3907"/>
    </row>
    <row r="45" spans="1:19" ht="22.5" customHeight="1">
      <c r="A45" s="3903" t="s">
        <v>3064</v>
      </c>
      <c r="B45" s="3903" t="s">
        <v>3065</v>
      </c>
      <c r="C45" s="3903" t="s">
        <v>3063</v>
      </c>
      <c r="D45" s="3910" t="s">
        <v>3066</v>
      </c>
      <c r="E45" s="3903" t="s">
        <v>3074</v>
      </c>
      <c r="F45" s="3903" t="s">
        <v>3067</v>
      </c>
      <c r="G45" s="3903" t="s">
        <v>3075</v>
      </c>
      <c r="H45" s="3903" t="s">
        <v>3076</v>
      </c>
      <c r="I45" s="3903" t="s">
        <v>3077</v>
      </c>
      <c r="J45" s="3903" t="s">
        <v>3078</v>
      </c>
      <c r="K45" s="3903" t="s">
        <v>3079</v>
      </c>
      <c r="L45" s="3903" t="s">
        <v>3080</v>
      </c>
      <c r="M45" s="3903" t="s">
        <v>3081</v>
      </c>
      <c r="N45" s="3903" t="s">
        <v>3082</v>
      </c>
      <c r="O45" s="3903" t="s">
        <v>3083</v>
      </c>
      <c r="P45" s="3905" t="s">
        <v>3109</v>
      </c>
      <c r="Q45" s="3903" t="s">
        <v>3068</v>
      </c>
    </row>
    <row r="46" spans="1:19" ht="22.5" customHeight="1" thickBot="1">
      <c r="A46" s="3904"/>
      <c r="B46" s="3904"/>
      <c r="C46" s="3904"/>
      <c r="D46" s="3911"/>
      <c r="E46" s="3904"/>
      <c r="F46" s="3904"/>
      <c r="G46" s="3904"/>
      <c r="H46" s="3904"/>
      <c r="I46" s="3904"/>
      <c r="J46" s="3904"/>
      <c r="K46" s="3904"/>
      <c r="L46" s="3904"/>
      <c r="M46" s="3904"/>
      <c r="N46" s="3904"/>
      <c r="O46" s="3904"/>
      <c r="P46" s="3904"/>
      <c r="Q46" s="3904"/>
    </row>
    <row r="47" spans="1:19" ht="22.5" customHeight="1" thickTop="1">
      <c r="A47" s="3218" t="s">
        <v>3163</v>
      </c>
      <c r="B47" s="3219">
        <v>13</v>
      </c>
      <c r="C47" s="3219" t="s">
        <v>3161</v>
      </c>
      <c r="D47" s="3220" t="s">
        <v>3162</v>
      </c>
      <c r="E47" s="3219">
        <v>1991</v>
      </c>
      <c r="F47" s="3221">
        <v>234.44</v>
      </c>
      <c r="G47" s="3222">
        <v>1000</v>
      </c>
      <c r="H47" s="3221">
        <f>G47*15/100</f>
        <v>150</v>
      </c>
      <c r="I47" s="3221">
        <f>G47+H47</f>
        <v>1150</v>
      </c>
      <c r="J47" s="3221">
        <f>I47*3/100</f>
        <v>34.5</v>
      </c>
      <c r="K47" s="3221">
        <f>ROUND((I47+J47)*2/100,2)</f>
        <v>23.69</v>
      </c>
      <c r="L47" s="3221">
        <f>ROUND((I47+J47+K47)*((1+0.0435)^(1/2)-1),2)</f>
        <v>26</v>
      </c>
      <c r="M47" s="3221">
        <f>ROUND((S47*15/100),2)</f>
        <v>181.23</v>
      </c>
      <c r="N47" s="3221">
        <f>I47+J47+K47+L47+M47</f>
        <v>1415.42</v>
      </c>
      <c r="O47" s="3223">
        <v>0.65</v>
      </c>
      <c r="P47" s="3221">
        <f>ROUND(N47*O47,2)</f>
        <v>920.02</v>
      </c>
      <c r="Q47" s="3224">
        <f>ROUND(P47*F47/10000,2)</f>
        <v>21.57</v>
      </c>
      <c r="S47">
        <f>I47+J47+K47</f>
        <v>1208.19</v>
      </c>
    </row>
    <row r="48" spans="1:19" s="3432" customFormat="1" ht="22.5" customHeight="1">
      <c r="A48" s="3428" t="s">
        <v>3151</v>
      </c>
      <c r="B48" s="3197">
        <v>26</v>
      </c>
      <c r="C48" s="3428" t="s">
        <v>3155</v>
      </c>
      <c r="D48" s="3198" t="s">
        <v>3154</v>
      </c>
      <c r="E48" s="3197">
        <v>1988</v>
      </c>
      <c r="F48" s="3197">
        <v>1073</v>
      </c>
      <c r="G48" s="3197">
        <v>1200</v>
      </c>
      <c r="H48" s="3197">
        <f t="shared" ref="H48:H52" si="10">G48*15/100</f>
        <v>180</v>
      </c>
      <c r="I48" s="3197">
        <f t="shared" ref="I48:I52" si="11">G48+H48</f>
        <v>1380</v>
      </c>
      <c r="J48" s="3199">
        <f t="shared" ref="J48:J52" si="12">I48*3/100</f>
        <v>41.4</v>
      </c>
      <c r="K48" s="3429">
        <f t="shared" ref="K48:K52" si="13">ROUND((I48+J48)*2/100,2)</f>
        <v>28.43</v>
      </c>
      <c r="L48" s="3429">
        <f t="shared" ref="L48:L52" si="14">ROUND((I48+J48+K48)*((1+0.0435)^(1/2)-1),2)</f>
        <v>31.2</v>
      </c>
      <c r="M48" s="3429">
        <f t="shared" ref="M48:M52" si="15">ROUND((S48*15/100),2)</f>
        <v>217.47</v>
      </c>
      <c r="N48" s="3429">
        <f t="shared" ref="N48:N52" si="16">I48+J48+K48+L48+M48</f>
        <v>1698.5000000000002</v>
      </c>
      <c r="O48" s="3430">
        <v>0.6</v>
      </c>
      <c r="P48" s="3429">
        <f t="shared" ref="P48:P52" si="17">ROUND(N48*O48,2)</f>
        <v>1019.1</v>
      </c>
      <c r="Q48" s="3431">
        <f t="shared" ref="Q48:Q52" si="18">ROUND(P48*F48/10000,2)</f>
        <v>109.35</v>
      </c>
      <c r="S48" s="3433">
        <f t="shared" ref="S48:S52" si="19">I48+J48+K48</f>
        <v>1449.8300000000002</v>
      </c>
    </row>
    <row r="49" spans="1:19" ht="22.5" customHeight="1">
      <c r="A49" s="3237" t="s">
        <v>3588</v>
      </c>
      <c r="B49" s="3193">
        <v>14</v>
      </c>
      <c r="C49" s="3237" t="s">
        <v>3152</v>
      </c>
      <c r="D49" s="3194" t="s">
        <v>3153</v>
      </c>
      <c r="E49" s="3193">
        <v>1994</v>
      </c>
      <c r="F49" s="3193">
        <v>38.75</v>
      </c>
      <c r="G49" s="3193">
        <v>1000</v>
      </c>
      <c r="H49" s="3193">
        <f t="shared" si="10"/>
        <v>150</v>
      </c>
      <c r="I49" s="3193">
        <f t="shared" si="11"/>
        <v>1150</v>
      </c>
      <c r="J49" s="3195">
        <f t="shared" si="12"/>
        <v>34.5</v>
      </c>
      <c r="K49" s="3221">
        <f t="shared" si="13"/>
        <v>23.69</v>
      </c>
      <c r="L49" s="3221">
        <f t="shared" si="14"/>
        <v>26</v>
      </c>
      <c r="M49" s="3221">
        <f t="shared" si="15"/>
        <v>181.23</v>
      </c>
      <c r="N49" s="3221">
        <f t="shared" si="16"/>
        <v>1415.42</v>
      </c>
      <c r="O49" s="3223">
        <v>0.65</v>
      </c>
      <c r="P49" s="3221">
        <f t="shared" si="17"/>
        <v>920.02</v>
      </c>
      <c r="Q49" s="3224">
        <f t="shared" si="18"/>
        <v>3.57</v>
      </c>
      <c r="S49">
        <f t="shared" si="19"/>
        <v>1208.19</v>
      </c>
    </row>
    <row r="50" spans="1:19" s="3432" customFormat="1" ht="22.5" customHeight="1">
      <c r="A50" s="3428" t="s">
        <v>3156</v>
      </c>
      <c r="B50" s="3197">
        <v>18</v>
      </c>
      <c r="C50" s="3428" t="s">
        <v>3158</v>
      </c>
      <c r="D50" s="3198" t="s">
        <v>3153</v>
      </c>
      <c r="E50" s="3197">
        <v>1994</v>
      </c>
      <c r="F50" s="3197">
        <v>78.430000000000007</v>
      </c>
      <c r="G50" s="3197">
        <v>1200</v>
      </c>
      <c r="H50" s="3197">
        <f t="shared" si="10"/>
        <v>180</v>
      </c>
      <c r="I50" s="3197">
        <f t="shared" si="11"/>
        <v>1380</v>
      </c>
      <c r="J50" s="3199">
        <f t="shared" si="12"/>
        <v>41.4</v>
      </c>
      <c r="K50" s="3429">
        <f t="shared" si="13"/>
        <v>28.43</v>
      </c>
      <c r="L50" s="3429">
        <f t="shared" si="14"/>
        <v>31.2</v>
      </c>
      <c r="M50" s="3429">
        <f t="shared" si="15"/>
        <v>217.47</v>
      </c>
      <c r="N50" s="3429">
        <f t="shared" si="16"/>
        <v>1698.5000000000002</v>
      </c>
      <c r="O50" s="3430">
        <v>0.6</v>
      </c>
      <c r="P50" s="3429">
        <f t="shared" si="17"/>
        <v>1019.1</v>
      </c>
      <c r="Q50" s="3431">
        <f t="shared" si="18"/>
        <v>7.99</v>
      </c>
      <c r="S50" s="3433">
        <f t="shared" si="19"/>
        <v>1449.8300000000002</v>
      </c>
    </row>
    <row r="51" spans="1:19" ht="22.5" customHeight="1">
      <c r="A51" s="3237" t="s">
        <v>3157</v>
      </c>
      <c r="B51" s="3193">
        <v>12</v>
      </c>
      <c r="C51" s="3237" t="s">
        <v>3152</v>
      </c>
      <c r="D51" s="3194" t="s">
        <v>3153</v>
      </c>
      <c r="E51" s="3193">
        <v>1992</v>
      </c>
      <c r="F51" s="3193">
        <v>210.25</v>
      </c>
      <c r="G51" s="3193">
        <v>1000</v>
      </c>
      <c r="H51" s="3193">
        <f t="shared" si="10"/>
        <v>150</v>
      </c>
      <c r="I51" s="3193">
        <f t="shared" si="11"/>
        <v>1150</v>
      </c>
      <c r="J51" s="3195">
        <f t="shared" si="12"/>
        <v>34.5</v>
      </c>
      <c r="K51" s="3221">
        <f t="shared" si="13"/>
        <v>23.69</v>
      </c>
      <c r="L51" s="3221">
        <f t="shared" si="14"/>
        <v>26</v>
      </c>
      <c r="M51" s="3221">
        <f t="shared" si="15"/>
        <v>181.23</v>
      </c>
      <c r="N51" s="3221">
        <f t="shared" si="16"/>
        <v>1415.42</v>
      </c>
      <c r="O51" s="3223">
        <v>0.65</v>
      </c>
      <c r="P51" s="3221">
        <f t="shared" si="17"/>
        <v>920.02</v>
      </c>
      <c r="Q51" s="3224">
        <f t="shared" si="18"/>
        <v>19.34</v>
      </c>
      <c r="S51">
        <f t="shared" si="19"/>
        <v>1208.19</v>
      </c>
    </row>
    <row r="52" spans="1:19" s="3432" customFormat="1" ht="22.5" customHeight="1" thickBot="1">
      <c r="A52" s="3434" t="s">
        <v>3160</v>
      </c>
      <c r="B52" s="3435">
        <v>37</v>
      </c>
      <c r="C52" s="3435" t="s">
        <v>3161</v>
      </c>
      <c r="D52" s="3436" t="s">
        <v>3162</v>
      </c>
      <c r="E52" s="3435">
        <v>1989</v>
      </c>
      <c r="F52" s="3437">
        <v>607</v>
      </c>
      <c r="G52" s="3435">
        <v>1300</v>
      </c>
      <c r="H52" s="3437">
        <f t="shared" si="10"/>
        <v>195</v>
      </c>
      <c r="I52" s="3437">
        <f t="shared" si="11"/>
        <v>1495</v>
      </c>
      <c r="J52" s="3437">
        <f t="shared" si="12"/>
        <v>44.85</v>
      </c>
      <c r="K52" s="3437">
        <f t="shared" si="13"/>
        <v>30.8</v>
      </c>
      <c r="L52" s="3437">
        <f t="shared" si="14"/>
        <v>33.799999999999997</v>
      </c>
      <c r="M52" s="3437">
        <f t="shared" si="15"/>
        <v>235.6</v>
      </c>
      <c r="N52" s="3437">
        <f t="shared" si="16"/>
        <v>1840.0499999999997</v>
      </c>
      <c r="O52" s="3438">
        <v>0.6</v>
      </c>
      <c r="P52" s="3437">
        <f t="shared" si="17"/>
        <v>1104.03</v>
      </c>
      <c r="Q52" s="3439">
        <f t="shared" si="18"/>
        <v>67.010000000000005</v>
      </c>
      <c r="S52" s="3433">
        <f t="shared" si="19"/>
        <v>1570.6499999999999</v>
      </c>
    </row>
    <row r="53" spans="1:19" ht="22.5" customHeight="1" thickTop="1" thickBot="1">
      <c r="A53" s="3213" t="s">
        <v>3159</v>
      </c>
      <c r="B53" s="3214"/>
      <c r="C53" s="3214"/>
      <c r="D53" s="3215"/>
      <c r="E53" s="3214"/>
      <c r="F53" s="3216">
        <f>SUM(F47:F52)</f>
        <v>2241.87</v>
      </c>
      <c r="G53" s="3214"/>
      <c r="H53" s="3214"/>
      <c r="I53" s="3214"/>
      <c r="J53" s="3214"/>
      <c r="K53" s="3214"/>
      <c r="L53" s="3214"/>
      <c r="M53" s="3214"/>
      <c r="N53" s="3214"/>
      <c r="O53" s="3214"/>
      <c r="P53" s="3214"/>
      <c r="Q53" s="3217">
        <f>SUM(Q47:Q52)</f>
        <v>228.82999999999998</v>
      </c>
    </row>
    <row r="55" spans="1:19" ht="22.5" customHeight="1">
      <c r="F55" s="3465">
        <f>F43+F53</f>
        <v>62715.369999999988</v>
      </c>
      <c r="Q55" s="3241">
        <f>Q43+Q53</f>
        <v>6233.5700000000006</v>
      </c>
    </row>
    <row r="57" spans="1:19" ht="22.5" customHeight="1" thickBot="1">
      <c r="A57" s="3908" t="s">
        <v>3227</v>
      </c>
      <c r="B57" s="3909"/>
      <c r="C57" s="3909"/>
      <c r="D57" s="3909"/>
      <c r="E57" s="3909"/>
      <c r="F57" s="3909"/>
      <c r="G57" s="3909"/>
      <c r="H57" s="3909"/>
      <c r="I57" s="3909"/>
      <c r="J57" s="3909"/>
      <c r="K57" s="3909"/>
      <c r="L57" s="3909"/>
      <c r="M57" s="3909"/>
      <c r="N57" s="3909"/>
      <c r="O57" s="3909"/>
      <c r="P57" s="3909"/>
      <c r="Q57" s="3909"/>
    </row>
    <row r="58" spans="1:19" ht="22.5" customHeight="1">
      <c r="A58" s="3903" t="s">
        <v>3064</v>
      </c>
      <c r="B58" s="3903" t="s">
        <v>3065</v>
      </c>
      <c r="C58" s="3903" t="s">
        <v>3063</v>
      </c>
      <c r="D58" s="3910" t="s">
        <v>3066</v>
      </c>
      <c r="E58" s="3903" t="s">
        <v>3074</v>
      </c>
      <c r="F58" s="3903" t="s">
        <v>3067</v>
      </c>
      <c r="G58" s="3903" t="s">
        <v>3075</v>
      </c>
      <c r="H58" s="3903" t="s">
        <v>3076</v>
      </c>
      <c r="I58" s="3903" t="s">
        <v>3077</v>
      </c>
      <c r="J58" s="3903" t="s">
        <v>3078</v>
      </c>
      <c r="K58" s="3903" t="s">
        <v>3079</v>
      </c>
      <c r="L58" s="3903" t="s">
        <v>3080</v>
      </c>
      <c r="M58" s="3903" t="s">
        <v>3081</v>
      </c>
      <c r="N58" s="3903" t="s">
        <v>3082</v>
      </c>
      <c r="O58" s="3903" t="s">
        <v>3083</v>
      </c>
      <c r="P58" s="3905" t="s">
        <v>3109</v>
      </c>
      <c r="Q58" s="3903" t="s">
        <v>3068</v>
      </c>
    </row>
    <row r="59" spans="1:19" ht="22.5" customHeight="1" thickBot="1">
      <c r="A59" s="3904"/>
      <c r="B59" s="3904"/>
      <c r="C59" s="3904"/>
      <c r="D59" s="3911"/>
      <c r="E59" s="3904"/>
      <c r="F59" s="3904"/>
      <c r="G59" s="3904"/>
      <c r="H59" s="3904"/>
      <c r="I59" s="3904"/>
      <c r="J59" s="3904"/>
      <c r="K59" s="3904"/>
      <c r="L59" s="3904"/>
      <c r="M59" s="3904"/>
      <c r="N59" s="3904"/>
      <c r="O59" s="3904"/>
      <c r="P59" s="3904"/>
      <c r="Q59" s="3904"/>
    </row>
    <row r="60" spans="1:19" ht="22.5" customHeight="1" thickTop="1">
      <c r="A60" s="3218" t="s">
        <v>3192</v>
      </c>
      <c r="B60" s="3219">
        <v>1</v>
      </c>
      <c r="C60" s="3219" t="s">
        <v>3193</v>
      </c>
      <c r="D60" s="3220" t="s">
        <v>3194</v>
      </c>
      <c r="E60" s="3219"/>
      <c r="F60" s="3221">
        <f>90*31</f>
        <v>2790</v>
      </c>
      <c r="G60" s="3222">
        <v>1200</v>
      </c>
      <c r="H60" s="3221">
        <f>G60*0/100</f>
        <v>0</v>
      </c>
      <c r="I60" s="3221">
        <f>G60+H60</f>
        <v>1200</v>
      </c>
      <c r="J60" s="3221">
        <f>I60*3/100</f>
        <v>36</v>
      </c>
      <c r="K60" s="3221">
        <f>ROUND((I60+J60)*2/100,2)</f>
        <v>24.72</v>
      </c>
      <c r="L60" s="3221">
        <f>ROUND((I60+J60+K60)*((1+0.0435)^(1/2)-1),2)</f>
        <v>27.13</v>
      </c>
      <c r="M60" s="3221">
        <f>ROUND((S60*0/100),2)</f>
        <v>0</v>
      </c>
      <c r="N60" s="3221">
        <f>I60+J60+K60+L60+M60</f>
        <v>1287.8500000000001</v>
      </c>
      <c r="O60" s="3223">
        <v>0.6</v>
      </c>
      <c r="P60" s="3221">
        <f>ROUND(N60*O60,2)</f>
        <v>772.71</v>
      </c>
      <c r="Q60" s="3224">
        <f>ROUND(P60*F60/10000,2)</f>
        <v>215.59</v>
      </c>
      <c r="S60">
        <f>I60+J60+K60</f>
        <v>1260.72</v>
      </c>
    </row>
    <row r="61" spans="1:19" s="3432" customFormat="1" ht="22.5" customHeight="1">
      <c r="A61" s="3428" t="s">
        <v>3195</v>
      </c>
      <c r="B61" s="3197">
        <v>2</v>
      </c>
      <c r="C61" s="3428" t="s">
        <v>3193</v>
      </c>
      <c r="D61" s="3198" t="s">
        <v>3194</v>
      </c>
      <c r="E61" s="3197"/>
      <c r="F61" s="3197">
        <f>115*86</f>
        <v>9890</v>
      </c>
      <c r="G61" s="3197">
        <f>G60</f>
        <v>1200</v>
      </c>
      <c r="H61" s="3429">
        <f t="shared" ref="H61:H88" si="20">G61*0/100</f>
        <v>0</v>
      </c>
      <c r="I61" s="3429">
        <f t="shared" ref="I61:I88" si="21">G61+H61</f>
        <v>1200</v>
      </c>
      <c r="J61" s="3429">
        <f t="shared" ref="J61:J88" si="22">I61*3/100</f>
        <v>36</v>
      </c>
      <c r="K61" s="3429">
        <f t="shared" ref="K61:K88" si="23">ROUND((I61+J61)*2/100,2)</f>
        <v>24.72</v>
      </c>
      <c r="L61" s="3429">
        <f t="shared" ref="L61:L88" si="24">ROUND((I61+J61+K61)*((1+0.0435)^(1/2)-1),2)</f>
        <v>27.13</v>
      </c>
      <c r="M61" s="3429">
        <f t="shared" ref="M61:M88" si="25">ROUND((S61*0/100),2)</f>
        <v>0</v>
      </c>
      <c r="N61" s="3429">
        <f t="shared" ref="N61:N88" si="26">I61+J61+K61+L61+M61</f>
        <v>1287.8500000000001</v>
      </c>
      <c r="O61" s="3430">
        <v>0.6</v>
      </c>
      <c r="P61" s="3429">
        <f t="shared" ref="P61:P88" si="27">ROUND(N61*O61,2)</f>
        <v>772.71</v>
      </c>
      <c r="Q61" s="3431">
        <f t="shared" ref="Q61:Q88" si="28">ROUND(P61*F61/10000,2)</f>
        <v>764.21</v>
      </c>
      <c r="S61" s="3433">
        <f t="shared" ref="S61:S88" si="29">I61+J61+K61</f>
        <v>1260.72</v>
      </c>
    </row>
    <row r="62" spans="1:19" ht="22.5" customHeight="1">
      <c r="A62" s="3237" t="s">
        <v>3196</v>
      </c>
      <c r="B62" s="3193">
        <v>3</v>
      </c>
      <c r="C62" s="3237" t="s">
        <v>3197</v>
      </c>
      <c r="D62" s="3194" t="s">
        <v>3198</v>
      </c>
      <c r="E62" s="3193"/>
      <c r="F62" s="3193">
        <f>48*22*2+22*17</f>
        <v>2486</v>
      </c>
      <c r="G62" s="3193">
        <v>1200</v>
      </c>
      <c r="H62" s="3221">
        <f t="shared" si="20"/>
        <v>0</v>
      </c>
      <c r="I62" s="3221">
        <f t="shared" si="21"/>
        <v>1200</v>
      </c>
      <c r="J62" s="3221">
        <f t="shared" si="22"/>
        <v>36</v>
      </c>
      <c r="K62" s="3221">
        <f t="shared" si="23"/>
        <v>24.72</v>
      </c>
      <c r="L62" s="3221">
        <f t="shared" si="24"/>
        <v>27.13</v>
      </c>
      <c r="M62" s="3221">
        <f t="shared" si="25"/>
        <v>0</v>
      </c>
      <c r="N62" s="3221">
        <f t="shared" si="26"/>
        <v>1287.8500000000001</v>
      </c>
      <c r="O62" s="3223">
        <v>0.6</v>
      </c>
      <c r="P62" s="3221">
        <f t="shared" si="27"/>
        <v>772.71</v>
      </c>
      <c r="Q62" s="3224">
        <f t="shared" si="28"/>
        <v>192.1</v>
      </c>
      <c r="S62">
        <f t="shared" si="29"/>
        <v>1260.72</v>
      </c>
    </row>
    <row r="63" spans="1:19" s="3432" customFormat="1" ht="22.5" customHeight="1">
      <c r="A63" s="3428" t="s">
        <v>3199</v>
      </c>
      <c r="B63" s="3197">
        <v>4</v>
      </c>
      <c r="C63" s="3428" t="s">
        <v>3200</v>
      </c>
      <c r="D63" s="3198"/>
      <c r="E63" s="3197"/>
      <c r="F63" s="3197">
        <f>18.4*8.4</f>
        <v>154.56</v>
      </c>
      <c r="G63" s="3197">
        <f>G60</f>
        <v>1200</v>
      </c>
      <c r="H63" s="3429">
        <f t="shared" si="20"/>
        <v>0</v>
      </c>
      <c r="I63" s="3429">
        <f t="shared" si="21"/>
        <v>1200</v>
      </c>
      <c r="J63" s="3429">
        <f t="shared" si="22"/>
        <v>36</v>
      </c>
      <c r="K63" s="3429">
        <f t="shared" si="23"/>
        <v>24.72</v>
      </c>
      <c r="L63" s="3429">
        <f t="shared" si="24"/>
        <v>27.13</v>
      </c>
      <c r="M63" s="3429">
        <f t="shared" si="25"/>
        <v>0</v>
      </c>
      <c r="N63" s="3429">
        <f t="shared" si="26"/>
        <v>1287.8500000000001</v>
      </c>
      <c r="O63" s="3430">
        <v>0.6</v>
      </c>
      <c r="P63" s="3429">
        <f t="shared" si="27"/>
        <v>772.71</v>
      </c>
      <c r="Q63" s="3431">
        <f t="shared" si="28"/>
        <v>11.94</v>
      </c>
      <c r="S63" s="3433">
        <f t="shared" si="29"/>
        <v>1260.72</v>
      </c>
    </row>
    <row r="64" spans="1:19" ht="22.5" customHeight="1">
      <c r="A64" s="3237" t="s">
        <v>3201</v>
      </c>
      <c r="B64" s="3193">
        <v>5</v>
      </c>
      <c r="C64" s="3237" t="s">
        <v>3200</v>
      </c>
      <c r="D64" s="3194"/>
      <c r="E64" s="3193"/>
      <c r="F64" s="3193">
        <f>7.5*47.5</f>
        <v>356.25</v>
      </c>
      <c r="G64" s="3193">
        <f>G60</f>
        <v>1200</v>
      </c>
      <c r="H64" s="3221">
        <f t="shared" si="20"/>
        <v>0</v>
      </c>
      <c r="I64" s="3221">
        <f t="shared" si="21"/>
        <v>1200</v>
      </c>
      <c r="J64" s="3221">
        <f t="shared" si="22"/>
        <v>36</v>
      </c>
      <c r="K64" s="3221">
        <f t="shared" si="23"/>
        <v>24.72</v>
      </c>
      <c r="L64" s="3221">
        <f t="shared" si="24"/>
        <v>27.13</v>
      </c>
      <c r="M64" s="3221">
        <f t="shared" si="25"/>
        <v>0</v>
      </c>
      <c r="N64" s="3221">
        <f t="shared" si="26"/>
        <v>1287.8500000000001</v>
      </c>
      <c r="O64" s="3223">
        <v>0.6</v>
      </c>
      <c r="P64" s="3221">
        <f t="shared" si="27"/>
        <v>772.71</v>
      </c>
      <c r="Q64" s="3224">
        <f t="shared" si="28"/>
        <v>27.53</v>
      </c>
      <c r="S64">
        <f t="shared" si="29"/>
        <v>1260.72</v>
      </c>
    </row>
    <row r="65" spans="1:19" s="3432" customFormat="1" ht="22.5" customHeight="1">
      <c r="A65" s="3428" t="s">
        <v>3202</v>
      </c>
      <c r="B65" s="3197">
        <v>6</v>
      </c>
      <c r="C65" s="3428" t="s">
        <v>3200</v>
      </c>
      <c r="D65" s="3198"/>
      <c r="E65" s="3197"/>
      <c r="F65" s="3197">
        <f>7*26.3</f>
        <v>184.1</v>
      </c>
      <c r="G65" s="3197">
        <f>G60</f>
        <v>1200</v>
      </c>
      <c r="H65" s="3429">
        <f t="shared" si="20"/>
        <v>0</v>
      </c>
      <c r="I65" s="3429">
        <f t="shared" si="21"/>
        <v>1200</v>
      </c>
      <c r="J65" s="3429">
        <f t="shared" si="22"/>
        <v>36</v>
      </c>
      <c r="K65" s="3429">
        <f t="shared" si="23"/>
        <v>24.72</v>
      </c>
      <c r="L65" s="3429">
        <f t="shared" si="24"/>
        <v>27.13</v>
      </c>
      <c r="M65" s="3429">
        <f t="shared" si="25"/>
        <v>0</v>
      </c>
      <c r="N65" s="3429">
        <f t="shared" si="26"/>
        <v>1287.8500000000001</v>
      </c>
      <c r="O65" s="3430">
        <v>0.6</v>
      </c>
      <c r="P65" s="3429">
        <f t="shared" si="27"/>
        <v>772.71</v>
      </c>
      <c r="Q65" s="3431">
        <f t="shared" si="28"/>
        <v>14.23</v>
      </c>
      <c r="S65" s="3433">
        <f t="shared" si="29"/>
        <v>1260.72</v>
      </c>
    </row>
    <row r="66" spans="1:19" ht="22.5" customHeight="1">
      <c r="A66" s="3237" t="s">
        <v>3203</v>
      </c>
      <c r="B66" s="3193">
        <v>7</v>
      </c>
      <c r="C66" s="3237" t="s">
        <v>3197</v>
      </c>
      <c r="D66" s="3194"/>
      <c r="E66" s="3193"/>
      <c r="F66" s="3193">
        <f>88*7.7+30*7.1+25.5*7.1</f>
        <v>1071.6500000000001</v>
      </c>
      <c r="G66" s="3193">
        <v>500</v>
      </c>
      <c r="H66" s="3221">
        <f t="shared" si="20"/>
        <v>0</v>
      </c>
      <c r="I66" s="3221">
        <f t="shared" si="21"/>
        <v>500</v>
      </c>
      <c r="J66" s="3221">
        <f t="shared" si="22"/>
        <v>15</v>
      </c>
      <c r="K66" s="3221">
        <f t="shared" si="23"/>
        <v>10.3</v>
      </c>
      <c r="L66" s="3221">
        <f t="shared" si="24"/>
        <v>11.3</v>
      </c>
      <c r="M66" s="3221">
        <f t="shared" si="25"/>
        <v>0</v>
      </c>
      <c r="N66" s="3221">
        <f t="shared" si="26"/>
        <v>536.59999999999991</v>
      </c>
      <c r="O66" s="3223">
        <v>0.6</v>
      </c>
      <c r="P66" s="3221">
        <f t="shared" si="27"/>
        <v>321.95999999999998</v>
      </c>
      <c r="Q66" s="3224">
        <f t="shared" si="28"/>
        <v>34.5</v>
      </c>
      <c r="S66">
        <f t="shared" si="29"/>
        <v>525.29999999999995</v>
      </c>
    </row>
    <row r="67" spans="1:19" s="3432" customFormat="1" ht="22.5" customHeight="1">
      <c r="A67" s="3428" t="s">
        <v>3204</v>
      </c>
      <c r="B67" s="3197">
        <v>8</v>
      </c>
      <c r="C67" s="3428" t="s">
        <v>3197</v>
      </c>
      <c r="D67" s="3198"/>
      <c r="E67" s="3197"/>
      <c r="F67" s="3197">
        <f>9.4*21.9</f>
        <v>205.85999999999999</v>
      </c>
      <c r="G67" s="3197">
        <f>G62</f>
        <v>1200</v>
      </c>
      <c r="H67" s="3429">
        <f t="shared" si="20"/>
        <v>0</v>
      </c>
      <c r="I67" s="3429">
        <f t="shared" si="21"/>
        <v>1200</v>
      </c>
      <c r="J67" s="3429">
        <f t="shared" si="22"/>
        <v>36</v>
      </c>
      <c r="K67" s="3429">
        <f t="shared" si="23"/>
        <v>24.72</v>
      </c>
      <c r="L67" s="3429">
        <f t="shared" si="24"/>
        <v>27.13</v>
      </c>
      <c r="M67" s="3429">
        <f t="shared" si="25"/>
        <v>0</v>
      </c>
      <c r="N67" s="3429">
        <f t="shared" si="26"/>
        <v>1287.8500000000001</v>
      </c>
      <c r="O67" s="3430">
        <v>0.6</v>
      </c>
      <c r="P67" s="3429">
        <f t="shared" si="27"/>
        <v>772.71</v>
      </c>
      <c r="Q67" s="3431">
        <f t="shared" si="28"/>
        <v>15.91</v>
      </c>
      <c r="S67" s="3433">
        <f t="shared" si="29"/>
        <v>1260.72</v>
      </c>
    </row>
    <row r="68" spans="1:19" ht="22.5" customHeight="1">
      <c r="A68" s="3237" t="s">
        <v>3205</v>
      </c>
      <c r="B68" s="3193">
        <v>9</v>
      </c>
      <c r="C68" s="3237" t="s">
        <v>3206</v>
      </c>
      <c r="D68" s="3194"/>
      <c r="E68" s="3193"/>
      <c r="F68" s="3193">
        <f>12.2*(37.8-7.5)</f>
        <v>369.65999999999997</v>
      </c>
      <c r="G68" s="3193">
        <f>G47</f>
        <v>1000</v>
      </c>
      <c r="H68" s="3221">
        <f t="shared" si="20"/>
        <v>0</v>
      </c>
      <c r="I68" s="3221">
        <f t="shared" si="21"/>
        <v>1000</v>
      </c>
      <c r="J68" s="3221">
        <f t="shared" si="22"/>
        <v>30</v>
      </c>
      <c r="K68" s="3221">
        <f t="shared" si="23"/>
        <v>20.6</v>
      </c>
      <c r="L68" s="3221">
        <f t="shared" si="24"/>
        <v>22.61</v>
      </c>
      <c r="M68" s="3221">
        <f t="shared" si="25"/>
        <v>0</v>
      </c>
      <c r="N68" s="3221">
        <f t="shared" si="26"/>
        <v>1073.2099999999998</v>
      </c>
      <c r="O68" s="3223">
        <v>0.6</v>
      </c>
      <c r="P68" s="3221">
        <f t="shared" si="27"/>
        <v>643.92999999999995</v>
      </c>
      <c r="Q68" s="3224">
        <f t="shared" si="28"/>
        <v>23.8</v>
      </c>
      <c r="S68">
        <f t="shared" si="29"/>
        <v>1050.5999999999999</v>
      </c>
    </row>
    <row r="69" spans="1:19" s="3432" customFormat="1" ht="22.5" customHeight="1">
      <c r="A69" s="3428" t="s">
        <v>3207</v>
      </c>
      <c r="B69" s="3197">
        <v>10</v>
      </c>
      <c r="C69" s="3428" t="s">
        <v>3200</v>
      </c>
      <c r="D69" s="3198"/>
      <c r="E69" s="3197"/>
      <c r="F69" s="3197">
        <f>7.3*(31.9-7.5)</f>
        <v>178.11999999999998</v>
      </c>
      <c r="G69" s="3197">
        <f>G60</f>
        <v>1200</v>
      </c>
      <c r="H69" s="3429">
        <f t="shared" si="20"/>
        <v>0</v>
      </c>
      <c r="I69" s="3429">
        <f t="shared" si="21"/>
        <v>1200</v>
      </c>
      <c r="J69" s="3429">
        <f t="shared" si="22"/>
        <v>36</v>
      </c>
      <c r="K69" s="3429">
        <f t="shared" si="23"/>
        <v>24.72</v>
      </c>
      <c r="L69" s="3429">
        <f t="shared" si="24"/>
        <v>27.13</v>
      </c>
      <c r="M69" s="3429">
        <f t="shared" si="25"/>
        <v>0</v>
      </c>
      <c r="N69" s="3429">
        <f t="shared" si="26"/>
        <v>1287.8500000000001</v>
      </c>
      <c r="O69" s="3430">
        <v>0.6</v>
      </c>
      <c r="P69" s="3429">
        <f t="shared" si="27"/>
        <v>772.71</v>
      </c>
      <c r="Q69" s="3431">
        <f t="shared" si="28"/>
        <v>13.76</v>
      </c>
      <c r="S69" s="3433">
        <f t="shared" si="29"/>
        <v>1260.72</v>
      </c>
    </row>
    <row r="70" spans="1:19" ht="22.5" customHeight="1">
      <c r="A70" s="3237" t="s">
        <v>3208</v>
      </c>
      <c r="B70" s="3193">
        <v>11</v>
      </c>
      <c r="C70" s="3237" t="s">
        <v>3200</v>
      </c>
      <c r="D70" s="3194"/>
      <c r="E70" s="3193"/>
      <c r="F70" s="3193">
        <f>17.7*72.8</f>
        <v>1288.56</v>
      </c>
      <c r="G70" s="3193">
        <f>G60</f>
        <v>1200</v>
      </c>
      <c r="H70" s="3221">
        <f t="shared" si="20"/>
        <v>0</v>
      </c>
      <c r="I70" s="3221">
        <f t="shared" si="21"/>
        <v>1200</v>
      </c>
      <c r="J70" s="3221">
        <f t="shared" si="22"/>
        <v>36</v>
      </c>
      <c r="K70" s="3221">
        <f t="shared" si="23"/>
        <v>24.72</v>
      </c>
      <c r="L70" s="3221">
        <f t="shared" si="24"/>
        <v>27.13</v>
      </c>
      <c r="M70" s="3221">
        <f t="shared" si="25"/>
        <v>0</v>
      </c>
      <c r="N70" s="3221">
        <f t="shared" si="26"/>
        <v>1287.8500000000001</v>
      </c>
      <c r="O70" s="3223">
        <v>0.6</v>
      </c>
      <c r="P70" s="3221">
        <f t="shared" si="27"/>
        <v>772.71</v>
      </c>
      <c r="Q70" s="3224">
        <f t="shared" si="28"/>
        <v>99.57</v>
      </c>
      <c r="S70">
        <f t="shared" si="29"/>
        <v>1260.72</v>
      </c>
    </row>
    <row r="71" spans="1:19" s="3432" customFormat="1" ht="22.5" customHeight="1">
      <c r="A71" s="3428" t="s">
        <v>3209</v>
      </c>
      <c r="B71" s="3197">
        <v>12</v>
      </c>
      <c r="C71" s="3428" t="s">
        <v>3206</v>
      </c>
      <c r="D71" s="3198"/>
      <c r="E71" s="3197"/>
      <c r="F71" s="3197">
        <f>6*3.5+6*15</f>
        <v>111</v>
      </c>
      <c r="G71" s="3197">
        <f>G68</f>
        <v>1000</v>
      </c>
      <c r="H71" s="3429">
        <f t="shared" si="20"/>
        <v>0</v>
      </c>
      <c r="I71" s="3429">
        <f t="shared" si="21"/>
        <v>1000</v>
      </c>
      <c r="J71" s="3429">
        <f t="shared" si="22"/>
        <v>30</v>
      </c>
      <c r="K71" s="3429">
        <f t="shared" si="23"/>
        <v>20.6</v>
      </c>
      <c r="L71" s="3429">
        <f t="shared" si="24"/>
        <v>22.61</v>
      </c>
      <c r="M71" s="3429">
        <f t="shared" si="25"/>
        <v>0</v>
      </c>
      <c r="N71" s="3429">
        <f t="shared" si="26"/>
        <v>1073.2099999999998</v>
      </c>
      <c r="O71" s="3430">
        <v>0.6</v>
      </c>
      <c r="P71" s="3429">
        <f t="shared" si="27"/>
        <v>643.92999999999995</v>
      </c>
      <c r="Q71" s="3431">
        <f t="shared" si="28"/>
        <v>7.15</v>
      </c>
      <c r="S71" s="3433">
        <f t="shared" si="29"/>
        <v>1050.5999999999999</v>
      </c>
    </row>
    <row r="72" spans="1:19" ht="22.5" customHeight="1">
      <c r="A72" s="3237" t="s">
        <v>3210</v>
      </c>
      <c r="B72" s="3193">
        <v>15</v>
      </c>
      <c r="C72" s="3237" t="s">
        <v>3206</v>
      </c>
      <c r="D72" s="3194"/>
      <c r="E72" s="3193"/>
      <c r="F72" s="3193">
        <f>35.5*8.4</f>
        <v>298.2</v>
      </c>
      <c r="G72" s="3193">
        <f>G68</f>
        <v>1000</v>
      </c>
      <c r="H72" s="3221">
        <f t="shared" si="20"/>
        <v>0</v>
      </c>
      <c r="I72" s="3221">
        <f t="shared" si="21"/>
        <v>1000</v>
      </c>
      <c r="J72" s="3221">
        <f t="shared" si="22"/>
        <v>30</v>
      </c>
      <c r="K72" s="3221">
        <f t="shared" si="23"/>
        <v>20.6</v>
      </c>
      <c r="L72" s="3221">
        <f t="shared" si="24"/>
        <v>22.61</v>
      </c>
      <c r="M72" s="3221">
        <f t="shared" si="25"/>
        <v>0</v>
      </c>
      <c r="N72" s="3221">
        <f t="shared" si="26"/>
        <v>1073.2099999999998</v>
      </c>
      <c r="O72" s="3223">
        <v>0.6</v>
      </c>
      <c r="P72" s="3221">
        <f t="shared" si="27"/>
        <v>643.92999999999995</v>
      </c>
      <c r="Q72" s="3224">
        <f t="shared" si="28"/>
        <v>19.2</v>
      </c>
      <c r="S72">
        <f t="shared" si="29"/>
        <v>1050.5999999999999</v>
      </c>
    </row>
    <row r="73" spans="1:19" s="3432" customFormat="1" ht="22.5" customHeight="1">
      <c r="A73" s="3428" t="s">
        <v>3211</v>
      </c>
      <c r="B73" s="3197">
        <v>16</v>
      </c>
      <c r="C73" s="3428" t="s">
        <v>3206</v>
      </c>
      <c r="D73" s="3198"/>
      <c r="E73" s="3197"/>
      <c r="F73" s="3197">
        <f>16.2*6.4</f>
        <v>103.68</v>
      </c>
      <c r="G73" s="3197">
        <f>G68</f>
        <v>1000</v>
      </c>
      <c r="H73" s="3429">
        <f t="shared" si="20"/>
        <v>0</v>
      </c>
      <c r="I73" s="3429">
        <f t="shared" si="21"/>
        <v>1000</v>
      </c>
      <c r="J73" s="3429">
        <f t="shared" si="22"/>
        <v>30</v>
      </c>
      <c r="K73" s="3429">
        <f t="shared" si="23"/>
        <v>20.6</v>
      </c>
      <c r="L73" s="3429">
        <f t="shared" si="24"/>
        <v>22.61</v>
      </c>
      <c r="M73" s="3429">
        <f t="shared" si="25"/>
        <v>0</v>
      </c>
      <c r="N73" s="3429">
        <f t="shared" si="26"/>
        <v>1073.2099999999998</v>
      </c>
      <c r="O73" s="3430">
        <v>0.6</v>
      </c>
      <c r="P73" s="3429">
        <f t="shared" si="27"/>
        <v>643.92999999999995</v>
      </c>
      <c r="Q73" s="3431">
        <f t="shared" si="28"/>
        <v>6.68</v>
      </c>
      <c r="S73" s="3433">
        <f t="shared" si="29"/>
        <v>1050.5999999999999</v>
      </c>
    </row>
    <row r="74" spans="1:19" ht="22.5" customHeight="1">
      <c r="A74" s="3237" t="s">
        <v>3212</v>
      </c>
      <c r="B74" s="3193">
        <v>17</v>
      </c>
      <c r="C74" s="3237" t="s">
        <v>3206</v>
      </c>
      <c r="D74" s="3194"/>
      <c r="E74" s="3193"/>
      <c r="F74" s="3193">
        <f>27*6.6</f>
        <v>178.2</v>
      </c>
      <c r="G74" s="3193">
        <f>G68</f>
        <v>1000</v>
      </c>
      <c r="H74" s="3221">
        <f t="shared" si="20"/>
        <v>0</v>
      </c>
      <c r="I74" s="3221">
        <f t="shared" si="21"/>
        <v>1000</v>
      </c>
      <c r="J74" s="3221">
        <f t="shared" si="22"/>
        <v>30</v>
      </c>
      <c r="K74" s="3221">
        <f t="shared" si="23"/>
        <v>20.6</v>
      </c>
      <c r="L74" s="3221">
        <f t="shared" si="24"/>
        <v>22.61</v>
      </c>
      <c r="M74" s="3221">
        <f t="shared" si="25"/>
        <v>0</v>
      </c>
      <c r="N74" s="3221">
        <f t="shared" si="26"/>
        <v>1073.2099999999998</v>
      </c>
      <c r="O74" s="3223">
        <v>0.6</v>
      </c>
      <c r="P74" s="3221">
        <f t="shared" si="27"/>
        <v>643.92999999999995</v>
      </c>
      <c r="Q74" s="3224">
        <f t="shared" si="28"/>
        <v>11.47</v>
      </c>
      <c r="S74">
        <f t="shared" si="29"/>
        <v>1050.5999999999999</v>
      </c>
    </row>
    <row r="75" spans="1:19" s="3432" customFormat="1" ht="22.5" customHeight="1">
      <c r="A75" s="3428" t="s">
        <v>3213</v>
      </c>
      <c r="B75" s="3197">
        <v>19</v>
      </c>
      <c r="C75" s="3428" t="s">
        <v>3206</v>
      </c>
      <c r="D75" s="3198"/>
      <c r="E75" s="3197"/>
      <c r="F75" s="3197">
        <f>6.3*11.4+8.5*28.8</f>
        <v>316.62</v>
      </c>
      <c r="G75" s="3197">
        <f>G68</f>
        <v>1000</v>
      </c>
      <c r="H75" s="3429">
        <f t="shared" si="20"/>
        <v>0</v>
      </c>
      <c r="I75" s="3429">
        <f t="shared" si="21"/>
        <v>1000</v>
      </c>
      <c r="J75" s="3429">
        <f t="shared" si="22"/>
        <v>30</v>
      </c>
      <c r="K75" s="3429">
        <f t="shared" si="23"/>
        <v>20.6</v>
      </c>
      <c r="L75" s="3429">
        <f t="shared" si="24"/>
        <v>22.61</v>
      </c>
      <c r="M75" s="3429">
        <f t="shared" si="25"/>
        <v>0</v>
      </c>
      <c r="N75" s="3429">
        <f t="shared" si="26"/>
        <v>1073.2099999999998</v>
      </c>
      <c r="O75" s="3430">
        <v>0.6</v>
      </c>
      <c r="P75" s="3429">
        <f t="shared" si="27"/>
        <v>643.92999999999995</v>
      </c>
      <c r="Q75" s="3431">
        <f t="shared" si="28"/>
        <v>20.39</v>
      </c>
      <c r="S75" s="3433">
        <f t="shared" si="29"/>
        <v>1050.5999999999999</v>
      </c>
    </row>
    <row r="76" spans="1:19" ht="22.5" customHeight="1">
      <c r="A76" s="3237" t="s">
        <v>3214</v>
      </c>
      <c r="B76" s="3193">
        <v>20</v>
      </c>
      <c r="C76" s="3237" t="s">
        <v>3206</v>
      </c>
      <c r="D76" s="3194"/>
      <c r="E76" s="3193"/>
      <c r="F76" s="3193">
        <f>5.1*3.2</f>
        <v>16.32</v>
      </c>
      <c r="G76" s="3193">
        <f>G68</f>
        <v>1000</v>
      </c>
      <c r="H76" s="3221">
        <f t="shared" si="20"/>
        <v>0</v>
      </c>
      <c r="I76" s="3221">
        <f t="shared" si="21"/>
        <v>1000</v>
      </c>
      <c r="J76" s="3221">
        <f t="shared" si="22"/>
        <v>30</v>
      </c>
      <c r="K76" s="3221">
        <f t="shared" si="23"/>
        <v>20.6</v>
      </c>
      <c r="L76" s="3221">
        <f t="shared" si="24"/>
        <v>22.61</v>
      </c>
      <c r="M76" s="3221">
        <f t="shared" si="25"/>
        <v>0</v>
      </c>
      <c r="N76" s="3221">
        <f t="shared" si="26"/>
        <v>1073.2099999999998</v>
      </c>
      <c r="O76" s="3223">
        <v>0.6</v>
      </c>
      <c r="P76" s="3221">
        <f t="shared" si="27"/>
        <v>643.92999999999995</v>
      </c>
      <c r="Q76" s="3224">
        <f t="shared" si="28"/>
        <v>1.05</v>
      </c>
      <c r="S76">
        <f t="shared" si="29"/>
        <v>1050.5999999999999</v>
      </c>
    </row>
    <row r="77" spans="1:19" s="3432" customFormat="1" ht="22.5" customHeight="1">
      <c r="A77" s="3428" t="s">
        <v>3215</v>
      </c>
      <c r="B77" s="3197">
        <v>21</v>
      </c>
      <c r="C77" s="3428" t="s">
        <v>3206</v>
      </c>
      <c r="D77" s="3198"/>
      <c r="E77" s="3197"/>
      <c r="F77" s="3197">
        <f>7.6*8.5</f>
        <v>64.599999999999994</v>
      </c>
      <c r="G77" s="3197">
        <f>G68</f>
        <v>1000</v>
      </c>
      <c r="H77" s="3429">
        <f t="shared" si="20"/>
        <v>0</v>
      </c>
      <c r="I77" s="3429">
        <f t="shared" si="21"/>
        <v>1000</v>
      </c>
      <c r="J77" s="3429">
        <f t="shared" si="22"/>
        <v>30</v>
      </c>
      <c r="K77" s="3429">
        <f t="shared" si="23"/>
        <v>20.6</v>
      </c>
      <c r="L77" s="3429">
        <f t="shared" si="24"/>
        <v>22.61</v>
      </c>
      <c r="M77" s="3429">
        <f t="shared" si="25"/>
        <v>0</v>
      </c>
      <c r="N77" s="3429">
        <f t="shared" si="26"/>
        <v>1073.2099999999998</v>
      </c>
      <c r="O77" s="3430">
        <v>0.6</v>
      </c>
      <c r="P77" s="3429">
        <f t="shared" si="27"/>
        <v>643.92999999999995</v>
      </c>
      <c r="Q77" s="3431">
        <f t="shared" si="28"/>
        <v>4.16</v>
      </c>
      <c r="S77" s="3433">
        <f t="shared" si="29"/>
        <v>1050.5999999999999</v>
      </c>
    </row>
    <row r="78" spans="1:19" ht="22.5" customHeight="1">
      <c r="A78" s="3237" t="s">
        <v>3216</v>
      </c>
      <c r="B78" s="3193">
        <v>22</v>
      </c>
      <c r="C78" s="3237" t="s">
        <v>3197</v>
      </c>
      <c r="D78" s="3194"/>
      <c r="E78" s="3193"/>
      <c r="F78" s="3193">
        <f>5.4*35.5</f>
        <v>191.70000000000002</v>
      </c>
      <c r="G78" s="3193">
        <f>G62</f>
        <v>1200</v>
      </c>
      <c r="H78" s="3221">
        <f t="shared" si="20"/>
        <v>0</v>
      </c>
      <c r="I78" s="3221">
        <f t="shared" si="21"/>
        <v>1200</v>
      </c>
      <c r="J78" s="3221">
        <f t="shared" si="22"/>
        <v>36</v>
      </c>
      <c r="K78" s="3221">
        <f t="shared" si="23"/>
        <v>24.72</v>
      </c>
      <c r="L78" s="3221">
        <f t="shared" si="24"/>
        <v>27.13</v>
      </c>
      <c r="M78" s="3221">
        <f t="shared" si="25"/>
        <v>0</v>
      </c>
      <c r="N78" s="3221">
        <f t="shared" si="26"/>
        <v>1287.8500000000001</v>
      </c>
      <c r="O78" s="3223">
        <v>0.6</v>
      </c>
      <c r="P78" s="3221">
        <f t="shared" si="27"/>
        <v>772.71</v>
      </c>
      <c r="Q78" s="3224">
        <f t="shared" si="28"/>
        <v>14.81</v>
      </c>
      <c r="S78">
        <f t="shared" si="29"/>
        <v>1260.72</v>
      </c>
    </row>
    <row r="79" spans="1:19" s="3432" customFormat="1" ht="22.5" customHeight="1">
      <c r="A79" s="3428" t="s">
        <v>3217</v>
      </c>
      <c r="B79" s="3197">
        <v>23</v>
      </c>
      <c r="C79" s="3428" t="s">
        <v>3197</v>
      </c>
      <c r="D79" s="3198"/>
      <c r="E79" s="3197"/>
      <c r="F79" s="3197">
        <f>45*5.5</f>
        <v>247.5</v>
      </c>
      <c r="G79" s="3197">
        <f>G62</f>
        <v>1200</v>
      </c>
      <c r="H79" s="3429">
        <f t="shared" si="20"/>
        <v>0</v>
      </c>
      <c r="I79" s="3429">
        <f t="shared" si="21"/>
        <v>1200</v>
      </c>
      <c r="J79" s="3429">
        <f t="shared" si="22"/>
        <v>36</v>
      </c>
      <c r="K79" s="3429">
        <f t="shared" si="23"/>
        <v>24.72</v>
      </c>
      <c r="L79" s="3429">
        <f t="shared" si="24"/>
        <v>27.13</v>
      </c>
      <c r="M79" s="3429">
        <f t="shared" si="25"/>
        <v>0</v>
      </c>
      <c r="N79" s="3429">
        <f t="shared" si="26"/>
        <v>1287.8500000000001</v>
      </c>
      <c r="O79" s="3430">
        <v>0.6</v>
      </c>
      <c r="P79" s="3429">
        <f t="shared" si="27"/>
        <v>772.71</v>
      </c>
      <c r="Q79" s="3431">
        <f t="shared" si="28"/>
        <v>19.12</v>
      </c>
      <c r="S79" s="3433">
        <f t="shared" si="29"/>
        <v>1260.72</v>
      </c>
    </row>
    <row r="80" spans="1:19" ht="22.5" customHeight="1">
      <c r="A80" s="3237" t="s">
        <v>3218</v>
      </c>
      <c r="B80" s="3193">
        <v>24</v>
      </c>
      <c r="C80" s="3237" t="s">
        <v>3206</v>
      </c>
      <c r="D80" s="3194"/>
      <c r="E80" s="3193"/>
      <c r="F80" s="3193">
        <f>6.3*6.3</f>
        <v>39.69</v>
      </c>
      <c r="G80" s="3193">
        <f>G68</f>
        <v>1000</v>
      </c>
      <c r="H80" s="3221">
        <f t="shared" si="20"/>
        <v>0</v>
      </c>
      <c r="I80" s="3221">
        <f t="shared" si="21"/>
        <v>1000</v>
      </c>
      <c r="J80" s="3221">
        <f t="shared" si="22"/>
        <v>30</v>
      </c>
      <c r="K80" s="3221">
        <f t="shared" si="23"/>
        <v>20.6</v>
      </c>
      <c r="L80" s="3221">
        <f t="shared" si="24"/>
        <v>22.61</v>
      </c>
      <c r="M80" s="3221">
        <f t="shared" si="25"/>
        <v>0</v>
      </c>
      <c r="N80" s="3221">
        <f t="shared" si="26"/>
        <v>1073.2099999999998</v>
      </c>
      <c r="O80" s="3223">
        <v>0.6</v>
      </c>
      <c r="P80" s="3221">
        <f t="shared" si="27"/>
        <v>643.92999999999995</v>
      </c>
      <c r="Q80" s="3224">
        <f t="shared" si="28"/>
        <v>2.56</v>
      </c>
      <c r="S80">
        <f t="shared" si="29"/>
        <v>1050.5999999999999</v>
      </c>
    </row>
    <row r="81" spans="1:19" s="3432" customFormat="1" ht="22.5" customHeight="1">
      <c r="A81" s="3428" t="s">
        <v>3219</v>
      </c>
      <c r="B81" s="3197">
        <v>25</v>
      </c>
      <c r="C81" s="3428" t="s">
        <v>3197</v>
      </c>
      <c r="D81" s="3198"/>
      <c r="E81" s="3197"/>
      <c r="F81" s="3197">
        <f>10.2*(14.6*3+5.9*2+5.6)</f>
        <v>624.2399999999999</v>
      </c>
      <c r="G81" s="3197">
        <f>G62</f>
        <v>1200</v>
      </c>
      <c r="H81" s="3429">
        <f t="shared" si="20"/>
        <v>0</v>
      </c>
      <c r="I81" s="3429">
        <f t="shared" si="21"/>
        <v>1200</v>
      </c>
      <c r="J81" s="3429">
        <f t="shared" si="22"/>
        <v>36</v>
      </c>
      <c r="K81" s="3429">
        <f t="shared" si="23"/>
        <v>24.72</v>
      </c>
      <c r="L81" s="3429">
        <f t="shared" si="24"/>
        <v>27.13</v>
      </c>
      <c r="M81" s="3429">
        <f t="shared" si="25"/>
        <v>0</v>
      </c>
      <c r="N81" s="3429">
        <f t="shared" si="26"/>
        <v>1287.8500000000001</v>
      </c>
      <c r="O81" s="3430">
        <v>0.6</v>
      </c>
      <c r="P81" s="3429">
        <f t="shared" si="27"/>
        <v>772.71</v>
      </c>
      <c r="Q81" s="3431">
        <f t="shared" si="28"/>
        <v>48.24</v>
      </c>
      <c r="S81" s="3433">
        <f t="shared" si="29"/>
        <v>1260.72</v>
      </c>
    </row>
    <row r="82" spans="1:19" ht="22.5" customHeight="1">
      <c r="A82" s="3237" t="s">
        <v>3220</v>
      </c>
      <c r="B82" s="3193">
        <v>27</v>
      </c>
      <c r="C82" s="3237" t="s">
        <v>3206</v>
      </c>
      <c r="D82" s="3194"/>
      <c r="E82" s="3193"/>
      <c r="F82" s="3193">
        <f>22*5.5</f>
        <v>121</v>
      </c>
      <c r="G82" s="3193">
        <f>G68</f>
        <v>1000</v>
      </c>
      <c r="H82" s="3221">
        <f t="shared" si="20"/>
        <v>0</v>
      </c>
      <c r="I82" s="3221">
        <f t="shared" si="21"/>
        <v>1000</v>
      </c>
      <c r="J82" s="3221">
        <f t="shared" si="22"/>
        <v>30</v>
      </c>
      <c r="K82" s="3221">
        <f t="shared" si="23"/>
        <v>20.6</v>
      </c>
      <c r="L82" s="3221">
        <f t="shared" si="24"/>
        <v>22.61</v>
      </c>
      <c r="M82" s="3221">
        <f t="shared" si="25"/>
        <v>0</v>
      </c>
      <c r="N82" s="3221">
        <f t="shared" si="26"/>
        <v>1073.2099999999998</v>
      </c>
      <c r="O82" s="3223">
        <v>0.6</v>
      </c>
      <c r="P82" s="3221">
        <f t="shared" si="27"/>
        <v>643.92999999999995</v>
      </c>
      <c r="Q82" s="3224">
        <f t="shared" si="28"/>
        <v>7.79</v>
      </c>
      <c r="S82">
        <f t="shared" si="29"/>
        <v>1050.5999999999999</v>
      </c>
    </row>
    <row r="83" spans="1:19" s="3432" customFormat="1" ht="22.5" customHeight="1">
      <c r="A83" s="3428" t="s">
        <v>3221</v>
      </c>
      <c r="B83" s="3197">
        <v>28</v>
      </c>
      <c r="C83" s="3428" t="s">
        <v>3206</v>
      </c>
      <c r="D83" s="3198"/>
      <c r="E83" s="3197"/>
      <c r="F83" s="3197">
        <f>4.7*6.3</f>
        <v>29.61</v>
      </c>
      <c r="G83" s="3197">
        <f>G68</f>
        <v>1000</v>
      </c>
      <c r="H83" s="3429">
        <f t="shared" si="20"/>
        <v>0</v>
      </c>
      <c r="I83" s="3429">
        <f t="shared" si="21"/>
        <v>1000</v>
      </c>
      <c r="J83" s="3429">
        <f t="shared" si="22"/>
        <v>30</v>
      </c>
      <c r="K83" s="3429">
        <f t="shared" si="23"/>
        <v>20.6</v>
      </c>
      <c r="L83" s="3429">
        <f t="shared" si="24"/>
        <v>22.61</v>
      </c>
      <c r="M83" s="3429">
        <f t="shared" si="25"/>
        <v>0</v>
      </c>
      <c r="N83" s="3429">
        <f t="shared" si="26"/>
        <v>1073.2099999999998</v>
      </c>
      <c r="O83" s="3430">
        <v>0.6</v>
      </c>
      <c r="P83" s="3429">
        <f t="shared" si="27"/>
        <v>643.92999999999995</v>
      </c>
      <c r="Q83" s="3431">
        <f t="shared" si="28"/>
        <v>1.91</v>
      </c>
      <c r="S83" s="3433">
        <f t="shared" si="29"/>
        <v>1050.5999999999999</v>
      </c>
    </row>
    <row r="84" spans="1:19" ht="22.5" customHeight="1">
      <c r="A84" s="3237" t="s">
        <v>3222</v>
      </c>
      <c r="B84" s="3193">
        <v>29</v>
      </c>
      <c r="C84" s="3237" t="s">
        <v>3206</v>
      </c>
      <c r="D84" s="3194"/>
      <c r="E84" s="3193"/>
      <c r="F84" s="3193">
        <f>F83</f>
        <v>29.61</v>
      </c>
      <c r="G84" s="3193">
        <f>G68</f>
        <v>1000</v>
      </c>
      <c r="H84" s="3221">
        <f t="shared" si="20"/>
        <v>0</v>
      </c>
      <c r="I84" s="3221">
        <f t="shared" si="21"/>
        <v>1000</v>
      </c>
      <c r="J84" s="3221">
        <f t="shared" si="22"/>
        <v>30</v>
      </c>
      <c r="K84" s="3221">
        <f t="shared" si="23"/>
        <v>20.6</v>
      </c>
      <c r="L84" s="3221">
        <f t="shared" si="24"/>
        <v>22.61</v>
      </c>
      <c r="M84" s="3221">
        <f t="shared" si="25"/>
        <v>0</v>
      </c>
      <c r="N84" s="3221">
        <f t="shared" si="26"/>
        <v>1073.2099999999998</v>
      </c>
      <c r="O84" s="3223">
        <v>0.6</v>
      </c>
      <c r="P84" s="3221">
        <f t="shared" si="27"/>
        <v>643.92999999999995</v>
      </c>
      <c r="Q84" s="3224">
        <f t="shared" si="28"/>
        <v>1.91</v>
      </c>
      <c r="S84">
        <f t="shared" si="29"/>
        <v>1050.5999999999999</v>
      </c>
    </row>
    <row r="85" spans="1:19" s="3432" customFormat="1" ht="22.5" customHeight="1">
      <c r="A85" s="3428" t="s">
        <v>3223</v>
      </c>
      <c r="B85" s="3197">
        <v>30</v>
      </c>
      <c r="C85" s="3428" t="s">
        <v>3200</v>
      </c>
      <c r="D85" s="3198"/>
      <c r="E85" s="3197"/>
      <c r="F85" s="3197">
        <f>7.5*37.6</f>
        <v>282</v>
      </c>
      <c r="G85" s="3197">
        <f>G60</f>
        <v>1200</v>
      </c>
      <c r="H85" s="3429">
        <f t="shared" si="20"/>
        <v>0</v>
      </c>
      <c r="I85" s="3429">
        <f t="shared" si="21"/>
        <v>1200</v>
      </c>
      <c r="J85" s="3429">
        <f t="shared" si="22"/>
        <v>36</v>
      </c>
      <c r="K85" s="3429">
        <f t="shared" si="23"/>
        <v>24.72</v>
      </c>
      <c r="L85" s="3429">
        <f t="shared" si="24"/>
        <v>27.13</v>
      </c>
      <c r="M85" s="3429">
        <f t="shared" si="25"/>
        <v>0</v>
      </c>
      <c r="N85" s="3429">
        <f t="shared" si="26"/>
        <v>1287.8500000000001</v>
      </c>
      <c r="O85" s="3430">
        <v>0.6</v>
      </c>
      <c r="P85" s="3429">
        <f t="shared" si="27"/>
        <v>772.71</v>
      </c>
      <c r="Q85" s="3431">
        <f t="shared" si="28"/>
        <v>21.79</v>
      </c>
      <c r="S85" s="3433">
        <f t="shared" si="29"/>
        <v>1260.72</v>
      </c>
    </row>
    <row r="86" spans="1:19" ht="22.5" customHeight="1">
      <c r="A86" s="3237" t="s">
        <v>3224</v>
      </c>
      <c r="B86" s="3193">
        <v>31</v>
      </c>
      <c r="C86" s="3237" t="s">
        <v>3200</v>
      </c>
      <c r="D86" s="3194"/>
      <c r="E86" s="3193"/>
      <c r="F86" s="3193">
        <f>4.6*7.5</f>
        <v>34.5</v>
      </c>
      <c r="G86" s="3193">
        <f>G60</f>
        <v>1200</v>
      </c>
      <c r="H86" s="3221">
        <f t="shared" si="20"/>
        <v>0</v>
      </c>
      <c r="I86" s="3221">
        <f t="shared" si="21"/>
        <v>1200</v>
      </c>
      <c r="J86" s="3221">
        <f t="shared" si="22"/>
        <v>36</v>
      </c>
      <c r="K86" s="3221">
        <f t="shared" si="23"/>
        <v>24.72</v>
      </c>
      <c r="L86" s="3221">
        <f t="shared" si="24"/>
        <v>27.13</v>
      </c>
      <c r="M86" s="3221">
        <f t="shared" si="25"/>
        <v>0</v>
      </c>
      <c r="N86" s="3221">
        <f t="shared" si="26"/>
        <v>1287.8500000000001</v>
      </c>
      <c r="O86" s="3223">
        <v>0.6</v>
      </c>
      <c r="P86" s="3221">
        <f t="shared" si="27"/>
        <v>772.71</v>
      </c>
      <c r="Q86" s="3224">
        <f t="shared" si="28"/>
        <v>2.67</v>
      </c>
      <c r="S86">
        <f t="shared" si="29"/>
        <v>1260.72</v>
      </c>
    </row>
    <row r="87" spans="1:19" s="3432" customFormat="1" ht="22.5" customHeight="1">
      <c r="A87" s="3428" t="s">
        <v>3225</v>
      </c>
      <c r="B87" s="3197">
        <v>32</v>
      </c>
      <c r="C87" s="3428" t="s">
        <v>3206</v>
      </c>
      <c r="D87" s="3198"/>
      <c r="E87" s="3197"/>
      <c r="F87" s="3197">
        <f>22.5*4</f>
        <v>90</v>
      </c>
      <c r="G87" s="3197">
        <f>G68</f>
        <v>1000</v>
      </c>
      <c r="H87" s="3429">
        <f t="shared" si="20"/>
        <v>0</v>
      </c>
      <c r="I87" s="3429">
        <f t="shared" si="21"/>
        <v>1000</v>
      </c>
      <c r="J87" s="3429">
        <f t="shared" si="22"/>
        <v>30</v>
      </c>
      <c r="K87" s="3429">
        <f t="shared" si="23"/>
        <v>20.6</v>
      </c>
      <c r="L87" s="3429">
        <f t="shared" si="24"/>
        <v>22.61</v>
      </c>
      <c r="M87" s="3429">
        <f t="shared" si="25"/>
        <v>0</v>
      </c>
      <c r="N87" s="3429">
        <f t="shared" si="26"/>
        <v>1073.2099999999998</v>
      </c>
      <c r="O87" s="3430">
        <v>0.6</v>
      </c>
      <c r="P87" s="3429">
        <f t="shared" si="27"/>
        <v>643.92999999999995</v>
      </c>
      <c r="Q87" s="3431">
        <f t="shared" si="28"/>
        <v>5.8</v>
      </c>
      <c r="S87" s="3433">
        <f t="shared" si="29"/>
        <v>1050.5999999999999</v>
      </c>
    </row>
    <row r="88" spans="1:19" ht="22.5" customHeight="1" thickBot="1">
      <c r="A88" s="3237" t="s">
        <v>3226</v>
      </c>
      <c r="B88" s="3193">
        <v>33</v>
      </c>
      <c r="C88" s="3237" t="s">
        <v>3206</v>
      </c>
      <c r="D88" s="3194"/>
      <c r="E88" s="3193"/>
      <c r="F88" s="3193">
        <f>6.8*15.5</f>
        <v>105.39999999999999</v>
      </c>
      <c r="G88" s="3193">
        <f>G68</f>
        <v>1000</v>
      </c>
      <c r="H88" s="3221">
        <f t="shared" si="20"/>
        <v>0</v>
      </c>
      <c r="I88" s="3221">
        <f t="shared" si="21"/>
        <v>1000</v>
      </c>
      <c r="J88" s="3221">
        <f t="shared" si="22"/>
        <v>30</v>
      </c>
      <c r="K88" s="3221">
        <f t="shared" si="23"/>
        <v>20.6</v>
      </c>
      <c r="L88" s="3221">
        <f t="shared" si="24"/>
        <v>22.61</v>
      </c>
      <c r="M88" s="3221">
        <f t="shared" si="25"/>
        <v>0</v>
      </c>
      <c r="N88" s="3221">
        <f t="shared" si="26"/>
        <v>1073.2099999999998</v>
      </c>
      <c r="O88" s="3223">
        <v>0.6</v>
      </c>
      <c r="P88" s="3221">
        <f t="shared" si="27"/>
        <v>643.92999999999995</v>
      </c>
      <c r="Q88" s="3224">
        <f t="shared" si="28"/>
        <v>6.79</v>
      </c>
      <c r="S88">
        <f t="shared" si="29"/>
        <v>1050.5999999999999</v>
      </c>
    </row>
    <row r="89" spans="1:19" ht="22.5" customHeight="1" thickTop="1" thickBot="1">
      <c r="A89" s="3459" t="s">
        <v>3535</v>
      </c>
      <c r="B89" s="3214"/>
      <c r="C89" s="3214"/>
      <c r="D89" s="3215"/>
      <c r="E89" s="3214"/>
      <c r="F89" s="3216">
        <f>SUM(F60:F88)</f>
        <v>21858.630000000005</v>
      </c>
      <c r="G89" s="3214"/>
      <c r="H89" s="3214"/>
      <c r="I89" s="3214"/>
      <c r="J89" s="3214"/>
      <c r="K89" s="3214"/>
      <c r="L89" s="3214"/>
      <c r="M89" s="3214"/>
      <c r="N89" s="3214"/>
      <c r="O89" s="3214"/>
      <c r="P89" s="3214"/>
      <c r="Q89" s="3217">
        <f>SUM(Q60:Q88)</f>
        <v>1616.6300000000003</v>
      </c>
    </row>
    <row r="91" spans="1:19" ht="22.5" customHeight="1">
      <c r="Q91" s="3241">
        <f>Q43+Q53+Q89</f>
        <v>7850.2000000000007</v>
      </c>
    </row>
    <row r="93" spans="1:19" ht="22.5" customHeight="1">
      <c r="F93" s="3465">
        <f>F89+F53+F43</f>
        <v>84573.999999999985</v>
      </c>
    </row>
  </sheetData>
  <mergeCells count="54">
    <mergeCell ref="H45:H46"/>
    <mergeCell ref="I45:I46"/>
    <mergeCell ref="J45:J46"/>
    <mergeCell ref="P45:P46"/>
    <mergeCell ref="Q45:Q46"/>
    <mergeCell ref="K45:K46"/>
    <mergeCell ref="L45:L46"/>
    <mergeCell ref="M45:M46"/>
    <mergeCell ref="N45:N46"/>
    <mergeCell ref="O45:O46"/>
    <mergeCell ref="Q1:Q2"/>
    <mergeCell ref="F1:F2"/>
    <mergeCell ref="G1:G2"/>
    <mergeCell ref="H1:H2"/>
    <mergeCell ref="I1:I2"/>
    <mergeCell ref="J1:J2"/>
    <mergeCell ref="K1:K2"/>
    <mergeCell ref="L1:L2"/>
    <mergeCell ref="M1:M2"/>
    <mergeCell ref="N1:N2"/>
    <mergeCell ref="O1:O2"/>
    <mergeCell ref="P1:P2"/>
    <mergeCell ref="L58:L59"/>
    <mergeCell ref="M58:M59"/>
    <mergeCell ref="N58:N59"/>
    <mergeCell ref="A8:A11"/>
    <mergeCell ref="A1:A2"/>
    <mergeCell ref="B1:B2"/>
    <mergeCell ref="C1:C2"/>
    <mergeCell ref="D1:D2"/>
    <mergeCell ref="E1:E2"/>
    <mergeCell ref="A45:A46"/>
    <mergeCell ref="B45:B46"/>
    <mergeCell ref="C45:C46"/>
    <mergeCell ref="D45:D46"/>
    <mergeCell ref="E45:E46"/>
    <mergeCell ref="F45:F46"/>
    <mergeCell ref="G45:G46"/>
    <mergeCell ref="O58:O59"/>
    <mergeCell ref="P58:P59"/>
    <mergeCell ref="Q58:Q59"/>
    <mergeCell ref="A44:Q44"/>
    <mergeCell ref="A57:Q57"/>
    <mergeCell ref="A58:A59"/>
    <mergeCell ref="B58:B59"/>
    <mergeCell ref="C58:C59"/>
    <mergeCell ref="D58:D59"/>
    <mergeCell ref="E58:E59"/>
    <mergeCell ref="F58:F59"/>
    <mergeCell ref="G58:G59"/>
    <mergeCell ref="H58:H59"/>
    <mergeCell ref="I58:I59"/>
    <mergeCell ref="J58:J59"/>
    <mergeCell ref="K58:K59"/>
  </mergeCells>
  <phoneticPr fontId="23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3"/>
  <sheetViews>
    <sheetView workbookViewId="0">
      <selection activeCell="D19" sqref="D19:E19"/>
    </sheetView>
  </sheetViews>
  <sheetFormatPr defaultRowHeight="13.5"/>
  <cols>
    <col min="2" max="2" width="18.875" customWidth="1"/>
    <col min="3" max="3" width="13.125" customWidth="1"/>
    <col min="4" max="4" width="12.75" bestFit="1" customWidth="1"/>
    <col min="5" max="5" width="11.25" customWidth="1"/>
    <col min="6" max="6" width="11.75" customWidth="1"/>
    <col min="8" max="8" width="9.5" bestFit="1" customWidth="1"/>
  </cols>
  <sheetData>
    <row r="2" spans="2:7" ht="27" customHeight="1">
      <c r="B2" s="3902" t="s">
        <v>3114</v>
      </c>
      <c r="C2" s="3902"/>
      <c r="D2" s="3902"/>
      <c r="E2" s="3902"/>
    </row>
    <row r="3" spans="2:7">
      <c r="B3" s="3753" t="s">
        <v>3119</v>
      </c>
      <c r="C3" s="3753"/>
      <c r="D3" s="3754">
        <v>0.8</v>
      </c>
      <c r="E3" s="3754"/>
    </row>
    <row r="4" spans="2:7">
      <c r="B4" s="3753" t="s">
        <v>3117</v>
      </c>
      <c r="C4" s="3753"/>
      <c r="D4" s="3754">
        <v>30</v>
      </c>
      <c r="E4" s="3754"/>
    </row>
    <row r="5" spans="2:7">
      <c r="B5" s="3753" t="s">
        <v>3118</v>
      </c>
      <c r="C5" s="3753"/>
      <c r="D5" s="3754">
        <f>'数据-基础表'!B3+2241.85</f>
        <v>62715.349999999984</v>
      </c>
      <c r="E5" s="3754"/>
    </row>
    <row r="6" spans="2:7">
      <c r="B6" s="3753" t="s">
        <v>3116</v>
      </c>
      <c r="C6" s="3753"/>
      <c r="D6" s="3754">
        <f>ROUND(D3*D4*D5/10000,2)</f>
        <v>150.52000000000001</v>
      </c>
      <c r="E6" s="3754"/>
    </row>
    <row r="8" spans="2:7" ht="27" customHeight="1">
      <c r="B8" s="3902" t="s">
        <v>3121</v>
      </c>
      <c r="C8" s="3902"/>
      <c r="D8" s="3902"/>
      <c r="E8" s="3902"/>
      <c r="G8" s="3192" t="s">
        <v>3590</v>
      </c>
    </row>
    <row r="9" spans="2:7">
      <c r="B9" s="3228"/>
      <c r="C9" s="3229" t="s">
        <v>3122</v>
      </c>
      <c r="D9" s="3230" t="s">
        <v>3536</v>
      </c>
      <c r="E9" s="3230" t="s">
        <v>3123</v>
      </c>
      <c r="G9" s="3234">
        <f>ROUND((D6+C14+D19)*D24,2)</f>
        <v>4109.3599999999997</v>
      </c>
    </row>
    <row r="10" spans="2:7">
      <c r="B10" s="3228" t="s">
        <v>3120</v>
      </c>
      <c r="C10" s="3231">
        <v>24000951.109999999</v>
      </c>
      <c r="D10" s="3230" t="s">
        <v>3124</v>
      </c>
      <c r="E10" s="3232">
        <f>ROUND(C10/12,2)</f>
        <v>2000079.26</v>
      </c>
    </row>
    <row r="11" spans="2:7">
      <c r="B11" s="3228" t="s">
        <v>3537</v>
      </c>
      <c r="C11" s="3229" t="s">
        <v>3124</v>
      </c>
      <c r="D11" s="3231">
        <v>11808028.619999999</v>
      </c>
      <c r="E11" s="3232">
        <f>ROUND(D11/5,2)</f>
        <v>2361605.7200000002</v>
      </c>
    </row>
    <row r="12" spans="2:7">
      <c r="B12" s="3228" t="s">
        <v>3127</v>
      </c>
      <c r="C12" s="3899">
        <f>ROUND((E10*7+E11*5)/12,2)</f>
        <v>2150715.29</v>
      </c>
      <c r="D12" s="3899"/>
      <c r="E12" s="3899"/>
      <c r="G12" s="3192"/>
    </row>
    <row r="13" spans="2:7">
      <c r="B13" s="3228" t="s">
        <v>3125</v>
      </c>
      <c r="C13" s="3754">
        <v>1.2</v>
      </c>
      <c r="D13" s="3754"/>
      <c r="E13" s="3754"/>
    </row>
    <row r="14" spans="2:7">
      <c r="B14" s="3228" t="s">
        <v>3126</v>
      </c>
      <c r="C14" s="3754">
        <f>ROUND(C12*C13/10000,2)</f>
        <v>258.08999999999997</v>
      </c>
      <c r="D14" s="3754"/>
      <c r="E14" s="3754"/>
    </row>
    <row r="16" spans="2:7" ht="27" customHeight="1">
      <c r="B16" s="3902" t="s">
        <v>3128</v>
      </c>
      <c r="C16" s="3902"/>
      <c r="D16" s="3902"/>
      <c r="E16" s="3902"/>
    </row>
    <row r="17" spans="2:8">
      <c r="B17" s="3753" t="s">
        <v>3129</v>
      </c>
      <c r="C17" s="3753"/>
      <c r="D17" s="3754">
        <v>403</v>
      </c>
      <c r="E17" s="3754"/>
    </row>
    <row r="18" spans="2:8">
      <c r="B18" s="3913" t="s">
        <v>3130</v>
      </c>
      <c r="C18" s="3913"/>
      <c r="D18" s="3754">
        <v>2000</v>
      </c>
      <c r="E18" s="3754"/>
    </row>
    <row r="19" spans="2:8">
      <c r="B19" s="3913" t="s">
        <v>3116</v>
      </c>
      <c r="C19" s="3913"/>
      <c r="D19" s="3914">
        <f>ROUND(D17*D18/10000,2)</f>
        <v>80.599999999999994</v>
      </c>
      <c r="E19" s="3914"/>
    </row>
    <row r="21" spans="2:8" ht="27" customHeight="1">
      <c r="B21" s="3902" t="s">
        <v>3131</v>
      </c>
      <c r="C21" s="3902"/>
      <c r="D21" s="3902"/>
      <c r="E21" s="3902"/>
    </row>
    <row r="22" spans="2:8">
      <c r="B22" s="3753" t="s">
        <v>3132</v>
      </c>
      <c r="C22" s="3753"/>
      <c r="D22" s="3754">
        <v>7</v>
      </c>
      <c r="E22" s="3754"/>
    </row>
    <row r="23" spans="2:8">
      <c r="B23" s="3753" t="s">
        <v>3133</v>
      </c>
      <c r="C23" s="3753"/>
      <c r="D23" s="3754">
        <v>1.2</v>
      </c>
      <c r="E23" s="3754"/>
    </row>
    <row r="24" spans="2:8">
      <c r="B24" s="3753" t="s">
        <v>3115</v>
      </c>
      <c r="C24" s="3753"/>
      <c r="D24" s="3754">
        <f>D22*D23</f>
        <v>8.4</v>
      </c>
      <c r="E24" s="3754"/>
    </row>
    <row r="26" spans="2:8" ht="27" customHeight="1">
      <c r="B26" s="3902" t="s">
        <v>3232</v>
      </c>
      <c r="C26" s="3902"/>
      <c r="D26" s="3902"/>
      <c r="E26" s="3902"/>
      <c r="F26" s="3902"/>
    </row>
    <row r="27" spans="2:8" ht="19.5" customHeight="1">
      <c r="B27" s="3246"/>
      <c r="C27" s="3245" t="s">
        <v>3233</v>
      </c>
      <c r="D27" s="3245" t="s">
        <v>3234</v>
      </c>
      <c r="E27" s="3245" t="s">
        <v>3235</v>
      </c>
      <c r="F27" s="3245" t="s">
        <v>3236</v>
      </c>
    </row>
    <row r="28" spans="2:8" ht="19.5" customHeight="1">
      <c r="B28" s="3246">
        <v>2016</v>
      </c>
      <c r="C28" s="3246">
        <v>2786326.89</v>
      </c>
      <c r="D28" s="3246">
        <v>3469815.75</v>
      </c>
      <c r="E28" s="3246">
        <v>2100387.9</v>
      </c>
      <c r="F28" s="3246">
        <v>0</v>
      </c>
    </row>
    <row r="29" spans="2:8" ht="19.5" customHeight="1">
      <c r="B29" s="3246">
        <v>2017</v>
      </c>
      <c r="C29" s="3246">
        <v>2189387.89</v>
      </c>
      <c r="D29" s="3246">
        <v>4253423.3099999996</v>
      </c>
      <c r="E29" s="3246">
        <v>1492644.47</v>
      </c>
      <c r="F29" s="3246">
        <v>256668.24</v>
      </c>
    </row>
    <row r="30" spans="2:8" ht="19.5" customHeight="1">
      <c r="B30" s="3246">
        <v>2018</v>
      </c>
      <c r="C30" s="3246">
        <v>1665874.21</v>
      </c>
      <c r="D30" s="3245" t="s">
        <v>3237</v>
      </c>
      <c r="E30" s="3245" t="s">
        <v>3237</v>
      </c>
      <c r="F30" s="3245" t="s">
        <v>3237</v>
      </c>
      <c r="H30">
        <f>C30+D29+E29+F29</f>
        <v>7668610.2299999995</v>
      </c>
    </row>
    <row r="31" spans="2:8">
      <c r="H31" s="3248"/>
    </row>
    <row r="32" spans="2:8">
      <c r="H32">
        <f>H30/12</f>
        <v>639050.85249999992</v>
      </c>
    </row>
    <row r="33" spans="8:8">
      <c r="H33" s="3247">
        <f>H32/0.25*0.75</f>
        <v>1917152.5574999996</v>
      </c>
    </row>
  </sheetData>
  <mergeCells count="28">
    <mergeCell ref="B5:C5"/>
    <mergeCell ref="B6:C6"/>
    <mergeCell ref="D6:E6"/>
    <mergeCell ref="B8:E8"/>
    <mergeCell ref="B2:E2"/>
    <mergeCell ref="D3:E3"/>
    <mergeCell ref="D4:E4"/>
    <mergeCell ref="D5:E5"/>
    <mergeCell ref="B3:C3"/>
    <mergeCell ref="B4:C4"/>
    <mergeCell ref="C12:E12"/>
    <mergeCell ref="C13:E13"/>
    <mergeCell ref="C14:E14"/>
    <mergeCell ref="B16:E16"/>
    <mergeCell ref="B17:C17"/>
    <mergeCell ref="B19:C19"/>
    <mergeCell ref="D17:E17"/>
    <mergeCell ref="D18:E18"/>
    <mergeCell ref="D19:E19"/>
    <mergeCell ref="B21:E21"/>
    <mergeCell ref="B18:C18"/>
    <mergeCell ref="B26:F26"/>
    <mergeCell ref="B23:C23"/>
    <mergeCell ref="D22:E22"/>
    <mergeCell ref="D23:E23"/>
    <mergeCell ref="B24:C24"/>
    <mergeCell ref="D24:E24"/>
    <mergeCell ref="B22:C22"/>
  </mergeCells>
  <phoneticPr fontId="23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55" t="s">
        <v>2067</v>
      </c>
      <c r="B1" s="3555"/>
      <c r="C1" s="3555"/>
      <c r="D1" s="3555"/>
    </row>
    <row r="2" spans="1:4" ht="47.25" customHeight="1">
      <c r="A2" s="3559" t="str">
        <f>"1.权利限制："&amp;项目基本情况!L24&amp;"未设定租赁等其他他项权利。"</f>
        <v>1.权利限制：根据估价对象《不动产权证书》原件、《国有土地使用权》复印件，截至估价期日，估价对象抵押权未见登记。未设定租赁等其他他项权利。</v>
      </c>
      <c r="B2" s="3559"/>
      <c r="C2" s="3559"/>
      <c r="D2" s="3559"/>
    </row>
    <row r="3" spans="1:4" ht="48" customHeight="1">
      <c r="A3" s="355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5"/>
      <c r="C3" s="3555"/>
      <c r="D3" s="3555"/>
    </row>
    <row r="4" spans="1:4" ht="36.75" customHeight="1">
      <c r="A4" s="3555" t="str">
        <f>"3.估价规划限制条件：详见"&amp;项目基本情况!E21&amp;"。"</f>
        <v>3.估价规划限制条件：详见《建设工程规划许可证》[]、《出让合同》[]。</v>
      </c>
      <c r="B4" s="3555"/>
      <c r="C4" s="3555"/>
      <c r="D4" s="3555"/>
    </row>
    <row r="5" spans="1:4">
      <c r="A5" s="3558" t="s">
        <v>2068</v>
      </c>
      <c r="B5" s="3558"/>
      <c r="C5" s="3558"/>
      <c r="D5" s="3558"/>
    </row>
    <row r="6" spans="1:4">
      <c r="A6" s="3555" t="s">
        <v>2046</v>
      </c>
      <c r="B6" s="3555"/>
      <c r="C6" s="3555"/>
      <c r="D6" s="3555"/>
    </row>
    <row r="7" spans="1:4" ht="33" customHeight="1">
      <c r="A7" s="3555" t="s">
        <v>2578</v>
      </c>
      <c r="B7" s="3555"/>
      <c r="C7" s="3555"/>
      <c r="D7" s="3555"/>
    </row>
    <row r="8" spans="1:4" ht="32.25" customHeight="1">
      <c r="A8" s="35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55"/>
      <c r="C8" s="3555"/>
      <c r="D8" s="3555"/>
    </row>
    <row r="9" spans="1:4" ht="33.75" customHeight="1">
      <c r="A9" s="3555" t="str">
        <f>IF(项目基本情况!B8="抵押","3.抵押双方在办理抵押登记手续时，应使用本公司出具的正式《土地估价报告》，特提请报告使用者注意。","——")</f>
        <v>——</v>
      </c>
      <c r="B9" s="3555"/>
      <c r="C9" s="3555"/>
      <c r="D9" s="3555"/>
    </row>
    <row r="10" spans="1:4">
      <c r="A10" s="3555" t="str">
        <f>IF(项目基本情况!B8="抵押","4.估价师所知悉的法定优先受偿款情况为：","——")</f>
        <v>——</v>
      </c>
      <c r="B10" s="3555"/>
      <c r="C10" s="3555"/>
      <c r="D10" s="3555"/>
    </row>
    <row r="11" spans="1:4" ht="37.5" customHeight="1">
      <c r="A11" s="3557" t="str">
        <f>IF(项目基本情况!B8="抵押","（1）"&amp;CONCATENATE(项目基本情况!L24,项目基本情况!L25,项目基本情况!L26),"——")</f>
        <v>——</v>
      </c>
      <c r="B11" s="3557"/>
      <c r="C11" s="3557"/>
      <c r="D11" s="3557"/>
    </row>
    <row r="12" spans="1:4" ht="168" customHeight="1">
      <c r="A12" s="3558" t="s">
        <v>2070</v>
      </c>
      <c r="B12" s="3558"/>
      <c r="C12" s="3558"/>
      <c r="D12" s="3558"/>
    </row>
    <row r="13" spans="1:4">
      <c r="A13" s="3556" t="s">
        <v>2749</v>
      </c>
      <c r="B13" s="3556"/>
      <c r="C13" s="3556"/>
      <c r="D13" s="3556"/>
    </row>
    <row r="14" spans="1:4">
      <c r="A14" s="3557" t="str">
        <f>IF(项目基本情况!B8="抵押","综上，"&amp;结果表!K47,"——")</f>
        <v>——</v>
      </c>
      <c r="B14" s="3557"/>
      <c r="C14" s="3557"/>
      <c r="D14" s="3557"/>
    </row>
    <row r="15" spans="1:4" ht="58.5" customHeight="1">
      <c r="A15" s="35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5"/>
      <c r="C15" s="3555"/>
      <c r="D15" s="3555"/>
    </row>
    <row r="16" spans="1:4" ht="70.5" customHeight="1">
      <c r="A16" s="35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5"/>
      <c r="C16" s="3555"/>
      <c r="D16" s="3555"/>
    </row>
    <row r="17" spans="1:4">
      <c r="A17" s="3555" t="s">
        <v>2705</v>
      </c>
      <c r="B17" s="3555"/>
      <c r="C17" s="3555"/>
      <c r="D17" s="3555"/>
    </row>
    <row r="18" spans="1:4">
      <c r="A18" s="3555" t="s">
        <v>2697</v>
      </c>
      <c r="B18" s="3555"/>
      <c r="C18" s="3555"/>
      <c r="D18" s="3555"/>
    </row>
    <row r="19" spans="1:4">
      <c r="A19" s="2893" t="s">
        <v>2698</v>
      </c>
      <c r="B19" s="2893" t="s">
        <v>2699</v>
      </c>
      <c r="C19" s="2893" t="s">
        <v>2700</v>
      </c>
      <c r="D19" s="2893" t="s">
        <v>2701</v>
      </c>
    </row>
    <row r="20" spans="1:4">
      <c r="A20" s="2893" t="str">
        <f>项目基本情况!B4</f>
        <v>陈颖</v>
      </c>
      <c r="B20" s="2893">
        <f ca="1">项目基本情况!C4</f>
        <v>2004110096</v>
      </c>
      <c r="C20" s="2895"/>
      <c r="D20" s="1801" t="s">
        <v>2706</v>
      </c>
    </row>
    <row r="21" spans="1:4">
      <c r="A21" s="2893" t="str">
        <f>项目基本情况!D4</f>
        <v>杨红英</v>
      </c>
      <c r="B21" s="2893">
        <f>项目基本情况!E4</f>
        <v>2004110128</v>
      </c>
      <c r="C21" s="2895"/>
      <c r="D21" s="1801" t="s">
        <v>2707</v>
      </c>
    </row>
    <row r="23" spans="1:4">
      <c r="A23" s="3555" t="s">
        <v>2702</v>
      </c>
      <c r="B23" s="3555"/>
      <c r="C23" s="3555"/>
      <c r="D23" s="3555"/>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S75"/>
  <sheetViews>
    <sheetView workbookViewId="0">
      <selection activeCell="A105" sqref="A105"/>
    </sheetView>
  </sheetViews>
  <sheetFormatPr defaultRowHeight="13.5"/>
  <sheetData>
    <row r="2" spans="18:18">
      <c r="R2" s="3226" t="s">
        <v>3112</v>
      </c>
    </row>
    <row r="75" spans="19:19">
      <c r="S75" s="3226" t="s">
        <v>3113</v>
      </c>
    </row>
  </sheetData>
  <phoneticPr fontId="237" type="noConversion"/>
  <hyperlinks>
    <hyperlink ref="R2" display="http://bj.58.com/fangchan/33805538417467x.shtml?psid=112471133200141147762811969&amp;ClickID=3&amp;cookie=|||c5/nn1sCbOFuBgk6KXsWAg==&amp;PGTID=0d30576d-0047-7322-be2b-a7da41451f03&amp;apptype=0&amp;entinfo=33805538417467_0&amp;fzbref=0&amp;iuType=gz_2&amp;key=&amp;pubid=31315306&amp;params=bus"/>
    <hyperlink ref="S75" display="http://bj.58.com/fangchan/34007820244421x.shtml?psid=112471133200141147762811969&amp;ClickID=5&amp;cookie=|||c5/nn1sCbOFuBgk6KXsWAg==&amp;PGTID=0d30576d-0047-7322-be2b-a7da41451f03&amp;apptype=0&amp;entinfo=34007820244421_0&amp;fzbref=0&amp;iuType=gz_2&amp;key=&amp;pubid=33738209&amp;params=bus"/>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L2" sqref="L2"/>
    </sheetView>
  </sheetViews>
  <sheetFormatPr defaultRowHeight="13.5"/>
  <cols>
    <col min="2" max="2" width="11.625" bestFit="1" customWidth="1"/>
    <col min="3" max="4" width="28.875" customWidth="1"/>
    <col min="7" max="7" width="10.5" bestFit="1" customWidth="1"/>
    <col min="8" max="8" width="11.625" bestFit="1" customWidth="1"/>
    <col min="11" max="11" width="12.75" bestFit="1" customWidth="1"/>
    <col min="12" max="12" width="10.5" bestFit="1" customWidth="1"/>
  </cols>
  <sheetData>
    <row r="1" spans="1:12" s="2" customFormat="1" ht="27">
      <c r="A1" s="3238" t="s">
        <v>3164</v>
      </c>
      <c r="B1" s="3238" t="s">
        <v>3165</v>
      </c>
      <c r="C1" s="3238" t="s">
        <v>3171</v>
      </c>
      <c r="D1" s="3238" t="s">
        <v>3148</v>
      </c>
      <c r="E1" s="3238" t="s">
        <v>3149</v>
      </c>
      <c r="F1" s="3238" t="s">
        <v>3150</v>
      </c>
      <c r="G1" s="3238" t="s">
        <v>3166</v>
      </c>
      <c r="H1" s="3238" t="s">
        <v>3167</v>
      </c>
      <c r="I1" s="3238" t="s">
        <v>3169</v>
      </c>
    </row>
    <row r="2" spans="1:12" s="2" customFormat="1" ht="115.5" customHeight="1">
      <c r="A2" s="3239">
        <v>1</v>
      </c>
      <c r="B2" s="3240">
        <v>42052</v>
      </c>
      <c r="C2" s="3238" t="s">
        <v>3168</v>
      </c>
      <c r="D2" s="3238" t="s">
        <v>3172</v>
      </c>
      <c r="E2" s="3238" t="s">
        <v>3178</v>
      </c>
      <c r="F2" s="3238" t="s">
        <v>3170</v>
      </c>
      <c r="G2" s="3239">
        <v>226133.4</v>
      </c>
      <c r="H2" s="3239">
        <v>2564541000</v>
      </c>
      <c r="I2" s="3239">
        <f>ROUND(H2/G2,0)</f>
        <v>11341</v>
      </c>
      <c r="K2" s="2">
        <f>ROUND((I2+I3+I4)/3,0)</f>
        <v>13174</v>
      </c>
      <c r="L2" s="2">
        <f>项目基本情况!C22</f>
        <v>182153.37</v>
      </c>
    </row>
    <row r="3" spans="1:12" s="2" customFormat="1" ht="94.5">
      <c r="A3" s="3239">
        <v>2</v>
      </c>
      <c r="B3" s="3240">
        <v>42354</v>
      </c>
      <c r="C3" s="3238" t="s">
        <v>3175</v>
      </c>
      <c r="D3" s="3238" t="s">
        <v>3173</v>
      </c>
      <c r="E3" s="3238" t="s">
        <v>3177</v>
      </c>
      <c r="F3" s="3238" t="s">
        <v>3170</v>
      </c>
      <c r="G3" s="3239">
        <v>59493.582000000002</v>
      </c>
      <c r="H3" s="3239">
        <v>837522000</v>
      </c>
      <c r="I3" s="3239">
        <f t="shared" ref="I3:I5" si="0">ROUND(H3/G3,0)</f>
        <v>14078</v>
      </c>
      <c r="K3" s="2">
        <f>K2*L2/10000</f>
        <v>239968.84963800001</v>
      </c>
    </row>
    <row r="4" spans="1:12" s="2" customFormat="1" ht="121.5">
      <c r="A4" s="3239">
        <v>3</v>
      </c>
      <c r="B4" s="3240">
        <v>42354</v>
      </c>
      <c r="C4" s="3238" t="s">
        <v>3180</v>
      </c>
      <c r="D4" s="3238" t="s">
        <v>3174</v>
      </c>
      <c r="E4" s="3238" t="s">
        <v>3176</v>
      </c>
      <c r="F4" s="3238" t="s">
        <v>3170</v>
      </c>
      <c r="G4" s="3239">
        <v>76016.952999999994</v>
      </c>
      <c r="H4" s="3239">
        <v>1072001700</v>
      </c>
      <c r="I4" s="3239">
        <f t="shared" si="0"/>
        <v>14102</v>
      </c>
    </row>
    <row r="5" spans="1:12" s="2" customFormat="1" ht="54">
      <c r="A5" s="3239">
        <v>4</v>
      </c>
      <c r="B5" s="3240">
        <v>42102</v>
      </c>
      <c r="C5" s="3238" t="s">
        <v>3181</v>
      </c>
      <c r="D5" s="3238" t="s">
        <v>3179</v>
      </c>
      <c r="E5" s="3238" t="s">
        <v>3182</v>
      </c>
      <c r="F5" s="3238" t="s">
        <v>3170</v>
      </c>
      <c r="G5" s="3239">
        <f>27393.334-200</f>
        <v>27193.333999999999</v>
      </c>
      <c r="H5" s="3239">
        <v>937881151</v>
      </c>
      <c r="I5" s="3239">
        <f t="shared" si="0"/>
        <v>34489</v>
      </c>
    </row>
    <row r="6" spans="1:12" s="2" customFormat="1"/>
  </sheetData>
  <phoneticPr fontId="23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567" t="s">
        <v>53</v>
      </c>
      <c r="B15" s="3568" t="s">
        <v>845</v>
      </c>
      <c r="C15" s="3564"/>
    </row>
    <row r="16" spans="1:7" ht="14.25">
      <c r="A16" s="3567"/>
      <c r="B16" s="3565" t="s">
        <v>54</v>
      </c>
      <c r="C16" s="1172" t="s">
        <v>53</v>
      </c>
    </row>
    <row r="17" spans="1:3" ht="14.25">
      <c r="A17" s="3567"/>
      <c r="B17" s="3565"/>
      <c r="C17" s="1172" t="s">
        <v>55</v>
      </c>
    </row>
    <row r="18" spans="1:3" ht="14.25">
      <c r="A18" s="3567"/>
      <c r="B18" s="3565"/>
      <c r="C18" s="1172" t="s">
        <v>56</v>
      </c>
    </row>
    <row r="19" spans="1:3" ht="14.25">
      <c r="A19" s="3567"/>
      <c r="B19" s="3563" t="s">
        <v>57</v>
      </c>
      <c r="C19" s="3564"/>
    </row>
    <row r="20" spans="1:3" ht="14.25">
      <c r="A20" s="1173" t="s">
        <v>58</v>
      </c>
      <c r="B20" s="1174"/>
      <c r="C20" s="1175"/>
    </row>
    <row r="21" spans="1:3" ht="14.25">
      <c r="A21" s="3566" t="s">
        <v>59</v>
      </c>
      <c r="B21" s="3563" t="s">
        <v>60</v>
      </c>
      <c r="C21" s="3564"/>
    </row>
    <row r="22" spans="1:3" ht="14.25">
      <c r="A22" s="3566"/>
      <c r="B22" s="3563" t="s">
        <v>61</v>
      </c>
      <c r="C22" s="3564"/>
    </row>
    <row r="23" spans="1:3" ht="14.25">
      <c r="A23" s="3566"/>
      <c r="B23" s="3563" t="s">
        <v>62</v>
      </c>
      <c r="C23" s="3564"/>
    </row>
    <row r="24" spans="1:3" ht="14.25">
      <c r="A24" s="3566"/>
      <c r="B24" s="3569" t="s">
        <v>63</v>
      </c>
      <c r="C24" s="1176" t="s">
        <v>836</v>
      </c>
    </row>
    <row r="25" spans="1:3" ht="14.25">
      <c r="A25" s="3566"/>
      <c r="B25" s="3570"/>
      <c r="C25" s="1176" t="s">
        <v>837</v>
      </c>
    </row>
    <row r="26" spans="1:3" ht="14.25">
      <c r="A26" s="3566"/>
      <c r="B26" s="3570"/>
      <c r="C26" s="1176" t="s">
        <v>838</v>
      </c>
    </row>
    <row r="27" spans="1:3" ht="14.25">
      <c r="A27" s="3566"/>
      <c r="B27" s="3570"/>
      <c r="C27" s="1176" t="s">
        <v>839</v>
      </c>
    </row>
    <row r="28" spans="1:3" ht="14.25">
      <c r="A28" s="3566"/>
      <c r="B28" s="3570"/>
      <c r="C28" s="1176" t="s">
        <v>840</v>
      </c>
    </row>
    <row r="29" spans="1:3" ht="14.25">
      <c r="A29" s="3566"/>
      <c r="B29" s="3570"/>
      <c r="C29" s="1176" t="s">
        <v>841</v>
      </c>
    </row>
    <row r="30" spans="1:3" ht="14.25">
      <c r="A30" s="3566"/>
      <c r="B30" s="3570"/>
      <c r="C30" s="1176" t="s">
        <v>842</v>
      </c>
    </row>
    <row r="31" spans="1:3" ht="14.25">
      <c r="A31" s="3566"/>
      <c r="B31" s="3570"/>
      <c r="C31" s="1176" t="s">
        <v>843</v>
      </c>
    </row>
    <row r="32" spans="1:3" ht="14.25">
      <c r="A32" s="3566"/>
      <c r="B32" s="3570"/>
      <c r="C32" s="1176" t="s">
        <v>1646</v>
      </c>
    </row>
    <row r="33" spans="1:3" ht="14.25">
      <c r="A33" s="3566"/>
      <c r="B33" s="3560" t="s">
        <v>1652</v>
      </c>
      <c r="C33" s="1176" t="s">
        <v>1647</v>
      </c>
    </row>
    <row r="34" spans="1:3" ht="14.25">
      <c r="A34" s="3566"/>
      <c r="B34" s="3561"/>
      <c r="C34" s="1181" t="s">
        <v>1648</v>
      </c>
    </row>
    <row r="35" spans="1:3" ht="14.25">
      <c r="A35" s="3566"/>
      <c r="B35" s="3561"/>
      <c r="C35" s="1182" t="s">
        <v>1649</v>
      </c>
    </row>
    <row r="36" spans="1:3" ht="14.25">
      <c r="A36" s="3566"/>
      <c r="B36" s="3561"/>
      <c r="C36" s="1182" t="s">
        <v>1650</v>
      </c>
    </row>
    <row r="37" spans="1:3" ht="14.25">
      <c r="A37" s="3566"/>
      <c r="B37" s="3562"/>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10" sqref="E10"/>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43521</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t="str">
        <f ca="1">IF(C7&lt;B2,"已过期",1120050019)</f>
        <v>已过期</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t="str">
        <f ca="1">IF(C10&lt;B2,"已过期",1120060040)</f>
        <v>已过期</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t="str">
        <f ca="1">IF(C22&lt;B2,"已过期",1120020033)</f>
        <v>已过期</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571" t="s">
        <v>1928</v>
      </c>
      <c r="B25" s="3571"/>
      <c r="C25" s="3571"/>
      <c r="D25" s="3571"/>
      <c r="E25" s="3571"/>
      <c r="F25" s="3571"/>
      <c r="G25" s="3571"/>
    </row>
    <row r="26" spans="1:7" ht="20.25" customHeight="1">
      <c r="A26" s="3572" t="s">
        <v>1929</v>
      </c>
      <c r="B26" s="3572"/>
      <c r="C26" s="3572"/>
      <c r="D26" s="3572" t="s">
        <v>1930</v>
      </c>
      <c r="E26" s="3572"/>
      <c r="F26" s="3572"/>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7" type="noConversion"/>
  <conditionalFormatting sqref="C24:D24">
    <cfRule type="expression" dxfId="227" priority="71">
      <formula>AND($C24-TODAY()&lt;30,TODAY()&lt;$C24)</formula>
    </cfRule>
  </conditionalFormatting>
  <conditionalFormatting sqref="C28">
    <cfRule type="expression" dxfId="226" priority="70">
      <formula>AND($C28-TODAY()&lt;30,TODAY()&lt;$C28)</formula>
    </cfRule>
  </conditionalFormatting>
  <conditionalFormatting sqref="C28 F4">
    <cfRule type="cellIs" dxfId="225" priority="72" stopIfTrue="1" operator="lessThan">
      <formula>$B$2</formula>
    </cfRule>
  </conditionalFormatting>
  <conditionalFormatting sqref="F5">
    <cfRule type="cellIs" dxfId="224" priority="68" stopIfTrue="1" operator="lessThan">
      <formula>$B$2</formula>
    </cfRule>
  </conditionalFormatting>
  <conditionalFormatting sqref="F6 F8 F10">
    <cfRule type="cellIs" dxfId="223" priority="66" stopIfTrue="1" operator="lessThan">
      <formula>$B$2</formula>
    </cfRule>
  </conditionalFormatting>
  <conditionalFormatting sqref="C24:D24">
    <cfRule type="expression" dxfId="222" priority="64">
      <formula>AND($C24-TODAY()&lt;30,TODAY()&lt;$C24)</formula>
    </cfRule>
  </conditionalFormatting>
  <conditionalFormatting sqref="F7 F9 F11 C24:D24">
    <cfRule type="cellIs" dxfId="221" priority="65" stopIfTrue="1" operator="lessThan">
      <formula>$B$2</formula>
    </cfRule>
  </conditionalFormatting>
  <conditionalFormatting sqref="F16">
    <cfRule type="cellIs" dxfId="220" priority="38" stopIfTrue="1" operator="lessThan">
      <formula>$B$2</formula>
    </cfRule>
  </conditionalFormatting>
  <conditionalFormatting sqref="F18">
    <cfRule type="cellIs" dxfId="219" priority="37" stopIfTrue="1" operator="lessThan">
      <formula>$B$2</formula>
    </cfRule>
  </conditionalFormatting>
  <conditionalFormatting sqref="F22">
    <cfRule type="cellIs" dxfId="218" priority="36" stopIfTrue="1" operator="lessThan">
      <formula>$B$2</formula>
    </cfRule>
  </conditionalFormatting>
  <conditionalFormatting sqref="F21">
    <cfRule type="cellIs" dxfId="217" priority="35" stopIfTrue="1" operator="lessThan">
      <formula>$B$2</formula>
    </cfRule>
  </conditionalFormatting>
  <conditionalFormatting sqref="F17">
    <cfRule type="cellIs" dxfId="216" priority="34" stopIfTrue="1" operator="lessThan">
      <formula>$B$2</formula>
    </cfRule>
  </conditionalFormatting>
  <conditionalFormatting sqref="B4:B14 E4:E14 E16:E23 B16:B23">
    <cfRule type="cellIs" dxfId="215" priority="33" stopIfTrue="1" operator="equal">
      <formula>"已过期"</formula>
    </cfRule>
  </conditionalFormatting>
  <conditionalFormatting sqref="F28">
    <cfRule type="cellIs" dxfId="214" priority="30" stopIfTrue="1" operator="lessThan">
      <formula>$B$2</formula>
    </cfRule>
  </conditionalFormatting>
  <conditionalFormatting sqref="F29">
    <cfRule type="cellIs" dxfId="213" priority="28" stopIfTrue="1" operator="lessThan">
      <formula>$B$2</formula>
    </cfRule>
  </conditionalFormatting>
  <conditionalFormatting sqref="F28">
    <cfRule type="expression" dxfId="212" priority="74">
      <formula>AND($E28-TODAY()&lt;30,TODAY()&lt;$E28)</formula>
    </cfRule>
  </conditionalFormatting>
  <conditionalFormatting sqref="F29">
    <cfRule type="expression" dxfId="211" priority="75" stopIfTrue="1">
      <formula>AND($E29-TODAY()&lt;30,TODAY()&lt;$E29)</formula>
    </cfRule>
  </conditionalFormatting>
  <conditionalFormatting sqref="C5">
    <cfRule type="expression" dxfId="210" priority="25">
      <formula>AND($C5-TODAY()&lt;30,TODAY()&lt;$C5)</formula>
    </cfRule>
  </conditionalFormatting>
  <conditionalFormatting sqref="C5">
    <cfRule type="cellIs" dxfId="209" priority="26" stopIfTrue="1" operator="lessThan">
      <formula>$B$2</formula>
    </cfRule>
  </conditionalFormatting>
  <conditionalFormatting sqref="C4:C6">
    <cfRule type="expression" dxfId="208" priority="23">
      <formula>AND($C4-TODAY()&lt;30,TODAY()&lt;$C4)</formula>
    </cfRule>
  </conditionalFormatting>
  <conditionalFormatting sqref="C4:C6">
    <cfRule type="cellIs" dxfId="207" priority="24" stopIfTrue="1" operator="lessThan">
      <formula>$B$2</formula>
    </cfRule>
  </conditionalFormatting>
  <conditionalFormatting sqref="C8:C9">
    <cfRule type="expression" dxfId="206" priority="21">
      <formula>AND($C8-TODAY()&lt;30,TODAY()&lt;$C8)</formula>
    </cfRule>
  </conditionalFormatting>
  <conditionalFormatting sqref="C8:C9">
    <cfRule type="cellIs" dxfId="205" priority="22" stopIfTrue="1" operator="lessThan">
      <formula>$B$2</formula>
    </cfRule>
  </conditionalFormatting>
  <conditionalFormatting sqref="B15 E15">
    <cfRule type="cellIs" dxfId="204" priority="9" stopIfTrue="1" operator="equal">
      <formula>"已过期"</formula>
    </cfRule>
  </conditionalFormatting>
  <conditionalFormatting sqref="F15">
    <cfRule type="cellIs" dxfId="203" priority="6" stopIfTrue="1" operator="lessThan">
      <formula>$B$2</formula>
    </cfRule>
  </conditionalFormatting>
  <conditionalFormatting sqref="C7">
    <cfRule type="expression" dxfId="202" priority="4">
      <formula>AND($C7-TODAY()&lt;30,TODAY()&lt;$C7)</formula>
    </cfRule>
  </conditionalFormatting>
  <conditionalFormatting sqref="C7">
    <cfRule type="cellIs" dxfId="201" priority="5" stopIfTrue="1" operator="lessThan">
      <formula>$B$2</formula>
    </cfRule>
  </conditionalFormatting>
  <conditionalFormatting sqref="C10:C23">
    <cfRule type="expression" dxfId="200" priority="2">
      <formula>AND($C10-TODAY()&lt;30,TODAY()&lt;$C10)</formula>
    </cfRule>
  </conditionalFormatting>
  <conditionalFormatting sqref="C10:C23">
    <cfRule type="cellIs" dxfId="199" priority="3" stopIfTrue="1" operator="lessThan">
      <formula>$B$2</formula>
    </cfRule>
  </conditionalFormatting>
  <conditionalFormatting sqref="F13">
    <cfRule type="cellIs" dxfId="19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22" sqref="X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c r="A4" s="8" t="s">
        <v>87</v>
      </c>
      <c r="B4" s="8" t="s">
        <v>151</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c r="A5" s="8" t="s">
        <v>94</v>
      </c>
      <c r="B5" s="8" t="s">
        <v>152</v>
      </c>
      <c r="C5" s="1551"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c r="A7" s="8" t="s">
        <v>102</v>
      </c>
      <c r="B7" s="8" t="s">
        <v>103</v>
      </c>
      <c r="C7" s="1551" t="s">
        <v>1714</v>
      </c>
      <c r="F7" s="9" t="s">
        <v>153</v>
      </c>
      <c r="H7" s="9" t="s">
        <v>104</v>
      </c>
      <c r="I7" s="9" t="s">
        <v>105</v>
      </c>
    </row>
    <row r="8" spans="1:23">
      <c r="A8" s="8" t="s">
        <v>106</v>
      </c>
      <c r="B8" s="1149" t="s">
        <v>3011</v>
      </c>
      <c r="C8" s="1551" t="s">
        <v>1715</v>
      </c>
      <c r="F8" s="9" t="s">
        <v>154</v>
      </c>
      <c r="H8" s="9"/>
      <c r="I8" s="9" t="s">
        <v>107</v>
      </c>
    </row>
    <row r="9" spans="1:23">
      <c r="A9" s="8" t="s">
        <v>108</v>
      </c>
      <c r="B9" s="8" t="s">
        <v>155</v>
      </c>
      <c r="C9" s="1551" t="s">
        <v>1716</v>
      </c>
      <c r="F9" s="9" t="s">
        <v>109</v>
      </c>
      <c r="H9" s="9"/>
    </row>
    <row r="10" spans="1:23">
      <c r="A10" s="8" t="s">
        <v>110</v>
      </c>
      <c r="B10" s="8" t="s">
        <v>156</v>
      </c>
      <c r="C10" s="1551" t="s">
        <v>1717</v>
      </c>
      <c r="F10" s="9" t="s">
        <v>6</v>
      </c>
    </row>
    <row r="11" spans="1:23">
      <c r="A11" s="8" t="s">
        <v>111</v>
      </c>
      <c r="B11" s="8" t="s">
        <v>157</v>
      </c>
      <c r="C11" s="1551" t="s">
        <v>1718</v>
      </c>
    </row>
    <row r="12" spans="1:23">
      <c r="A12" s="8" t="s">
        <v>112</v>
      </c>
      <c r="B12" s="8" t="s">
        <v>158</v>
      </c>
      <c r="C12" s="1551" t="s">
        <v>1719</v>
      </c>
    </row>
    <row r="13" spans="1:23">
      <c r="A13" s="8" t="s">
        <v>113</v>
      </c>
      <c r="B13" s="8" t="s">
        <v>159</v>
      </c>
      <c r="C13" s="1551" t="s">
        <v>1720</v>
      </c>
    </row>
    <row r="14" spans="1:23">
      <c r="A14" s="8" t="s">
        <v>114</v>
      </c>
      <c r="B14" s="8" t="s">
        <v>160</v>
      </c>
      <c r="C14" s="1554" t="s">
        <v>1896</v>
      </c>
    </row>
    <row r="15" spans="1:23">
      <c r="A15" s="8" t="s">
        <v>115</v>
      </c>
      <c r="B15" s="8" t="s">
        <v>1681</v>
      </c>
      <c r="C15" s="1554"/>
    </row>
    <row r="16" spans="1:23">
      <c r="A16" s="8" t="s">
        <v>116</v>
      </c>
      <c r="B16" s="8" t="s">
        <v>1682</v>
      </c>
      <c r="C16" s="1554"/>
    </row>
    <row r="17" spans="1:3">
      <c r="A17" s="8" t="s">
        <v>117</v>
      </c>
      <c r="B17" s="8" t="s">
        <v>1683</v>
      </c>
      <c r="C17" s="1554"/>
    </row>
    <row r="18" spans="1:3">
      <c r="A18" s="8" t="s">
        <v>118</v>
      </c>
      <c r="B18" s="3138" t="s">
        <v>2956</v>
      </c>
      <c r="C18" s="1554"/>
    </row>
    <row r="19" spans="1:3">
      <c r="A19" s="8" t="s">
        <v>119</v>
      </c>
      <c r="B19" s="3138" t="s">
        <v>2964</v>
      </c>
      <c r="C19" s="1554"/>
    </row>
    <row r="20" spans="1:3">
      <c r="A20" s="8" t="s">
        <v>120</v>
      </c>
      <c r="B20" s="8" t="s">
        <v>3013</v>
      </c>
      <c r="C20" s="1554"/>
    </row>
    <row r="21" spans="1:3">
      <c r="A21" s="8" t="s">
        <v>121</v>
      </c>
      <c r="B21" s="8" t="s">
        <v>3014</v>
      </c>
      <c r="C21" s="1554"/>
    </row>
    <row r="22" spans="1:3">
      <c r="A22" s="8" t="s">
        <v>122</v>
      </c>
      <c r="B22" s="8" t="s">
        <v>3015</v>
      </c>
      <c r="C22" s="1554"/>
    </row>
    <row r="23" spans="1:3">
      <c r="A23" s="8" t="s">
        <v>123</v>
      </c>
      <c r="B23" s="8" t="s">
        <v>3016</v>
      </c>
      <c r="C23" s="1554"/>
    </row>
    <row r="24" spans="1:3">
      <c r="A24" s="8" t="s">
        <v>12</v>
      </c>
      <c r="B24" s="8" t="s">
        <v>3017</v>
      </c>
      <c r="C24" s="1554"/>
    </row>
    <row r="25" spans="1:3">
      <c r="A25" s="8" t="s">
        <v>124</v>
      </c>
      <c r="B25" s="8" t="s">
        <v>1641</v>
      </c>
      <c r="C25" s="1554"/>
    </row>
    <row r="26" spans="1:3">
      <c r="A26" s="8" t="s">
        <v>125</v>
      </c>
      <c r="B26" s="8" t="s">
        <v>1641</v>
      </c>
      <c r="C26" s="1554"/>
    </row>
    <row r="27" spans="1:3">
      <c r="A27" s="3138" t="s">
        <v>2982</v>
      </c>
      <c r="B27" s="8" t="s">
        <v>1641</v>
      </c>
      <c r="C27" s="1554"/>
    </row>
    <row r="28" spans="1:3">
      <c r="A28" s="8" t="s">
        <v>2983</v>
      </c>
      <c r="B28" s="8" t="s">
        <v>1641</v>
      </c>
      <c r="C28" s="1554"/>
    </row>
    <row r="29" spans="1:3">
      <c r="A29" s="8" t="s">
        <v>2984</v>
      </c>
      <c r="B29" s="8" t="s">
        <v>1641</v>
      </c>
      <c r="C29" s="1554"/>
    </row>
    <row r="30" spans="1:3">
      <c r="A30" s="8" t="s">
        <v>2985</v>
      </c>
      <c r="B30" s="8" t="s">
        <v>1641</v>
      </c>
      <c r="C30" s="1554"/>
    </row>
    <row r="31" spans="1:3">
      <c r="A31" s="8" t="s">
        <v>2986</v>
      </c>
      <c r="B31" s="8" t="s">
        <v>1641</v>
      </c>
      <c r="C31" s="1554"/>
    </row>
    <row r="32" spans="1:3">
      <c r="A32" s="8" t="s">
        <v>2987</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三旗建材城中路2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573"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c r="D53" s="1768"/>
      <c r="E53" s="1768"/>
    </row>
    <row r="54" spans="1:5">
      <c r="A54" s="3573"/>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73"/>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73"/>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73"/>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133</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结果一览表</vt:lpstr>
      <vt:lpstr>结果一览表 (基)</vt:lpstr>
      <vt:lpstr>结果（终）</vt:lpstr>
      <vt:lpstr>001汇总表</vt:lpstr>
      <vt:lpstr>基准地价</vt:lpstr>
      <vt:lpstr>修正</vt:lpstr>
      <vt:lpstr>区片价</vt:lpstr>
      <vt:lpstr>容积率修正</vt:lpstr>
      <vt:lpstr>因素修正幅度</vt:lpstr>
      <vt:lpstr>基准地价（汇总）</vt:lpstr>
      <vt:lpstr>收益还原法</vt:lpstr>
      <vt:lpstr>不动产收益法平</vt:lpstr>
      <vt:lpstr>酒店收入计算</vt:lpstr>
      <vt:lpstr>不动产收益法2</vt:lpstr>
      <vt:lpstr>不动产收益法3</vt:lpstr>
      <vt:lpstr>不动产收益法4</vt:lpstr>
      <vt:lpstr>不动产收益法5</vt:lpstr>
      <vt:lpstr>不动产收益法6</vt:lpstr>
      <vt:lpstr>基准地价 (划拨)</vt:lpstr>
      <vt:lpstr>比较法-工业</vt:lpstr>
      <vt:lpstr>顺义案例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成本逼近法 (划拨)</vt:lpstr>
      <vt:lpstr>成本案例</vt:lpstr>
      <vt:lpstr>地价</vt:lpstr>
      <vt:lpstr>附属物-树木</vt:lpstr>
      <vt:lpstr>存贷款利率</vt:lpstr>
      <vt:lpstr>附属物-墙地泉</vt:lpstr>
      <vt:lpstr>附属物列表</vt:lpstr>
      <vt:lpstr>搬迁费</vt:lpstr>
      <vt:lpstr>建筑物价格</vt:lpstr>
      <vt:lpstr>停产停业损失补偿</vt:lpstr>
      <vt:lpstr>租金案例</vt:lpstr>
      <vt:lpstr>土地案例（昌平未来城）</vt:lpstr>
      <vt:lpstr>成本案例!Print_Area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(划拨)'!季度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2018-06-15T05:43:31Z</cp:lastPrinted>
  <dcterms:created xsi:type="dcterms:W3CDTF">2015-07-13T07:17:23Z</dcterms:created>
  <dcterms:modified xsi:type="dcterms:W3CDTF">2019-02-25T07:28:08Z</dcterms:modified>
</cp:coreProperties>
</file>