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r:id="rId20"/>
    <sheet name="剩余法-待开发" sheetId="12"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土地案例" sheetId="70"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'[1]土地比较法-工业'!$B$112:$M$112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40" l="1"/>
  <c r="I9" i="40"/>
  <c r="G9" i="40"/>
  <c r="E9" i="40"/>
  <c r="I13" i="3"/>
  <c r="I43" i="40" l="1"/>
  <c r="G43" i="40"/>
  <c r="E43" i="40"/>
  <c r="I36" i="40"/>
  <c r="G36" i="40"/>
  <c r="E36" i="40"/>
  <c r="I7" i="40"/>
  <c r="G7" i="40"/>
  <c r="E7" i="40"/>
  <c r="L3" i="70"/>
  <c r="L4" i="70"/>
  <c r="L5" i="70"/>
  <c r="L6" i="70"/>
  <c r="L7" i="70"/>
  <c r="L8" i="70"/>
  <c r="L9" i="70"/>
  <c r="L10" i="70"/>
  <c r="L11" i="70"/>
  <c r="L12" i="70"/>
  <c r="L13"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2" i="70"/>
  <c r="D14" i="9" l="1"/>
  <c r="C36" i="40"/>
  <c r="F19" i="6"/>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1" i="55"/>
  <c r="A10" i="55"/>
  <c r="A9" i="55"/>
  <c r="A8" i="55"/>
  <c r="A6" i="54"/>
  <c r="B49" i="63" s="1"/>
  <c r="A8" i="54"/>
  <c r="A7" i="54"/>
  <c r="B51" i="63" s="1"/>
  <c r="A28" i="5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A15" i="51"/>
  <c r="B12" i="63" s="1"/>
  <c r="A14" i="51"/>
  <c r="B11" i="63"/>
  <c r="B66" i="63"/>
  <c r="A4" i="55"/>
  <c r="B57" i="63"/>
  <c r="B41" i="63"/>
  <c r="G5" i="54"/>
  <c r="B34" i="63"/>
  <c r="E5" i="54"/>
  <c r="B32" i="63"/>
  <c r="R2" i="54"/>
  <c r="B24" i="63" s="1"/>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C25" i="12"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G8" i="1" s="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s="1"/>
  <c r="A18" i="51"/>
  <c r="B14" i="63" s="1"/>
  <c r="BA16" i="3"/>
  <c r="BA17" i="3"/>
  <c r="AZ17" i="3"/>
  <c r="F3" i="35"/>
  <c r="K1" i="43"/>
  <c r="K1" i="12"/>
  <c r="G1" i="44"/>
  <c r="I4" i="6"/>
  <c r="G3" i="46" s="1"/>
  <c r="AZ15" i="3"/>
  <c r="G5" i="3"/>
  <c r="B3" i="3" s="1"/>
  <c r="BK5" i="3"/>
  <c r="BO5" i="3"/>
  <c r="BP5" i="3"/>
  <c r="BN5" i="3"/>
  <c r="BL18" i="3"/>
  <c r="AZ18" i="3"/>
  <c r="BC5" i="3"/>
  <c r="E8" i="6"/>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I20" i="46"/>
  <c r="C20" i="46" s="1"/>
  <c r="L5" i="54"/>
  <c r="B39" i="63"/>
  <c r="K5" i="54"/>
  <c r="B38" i="63" s="1"/>
  <c r="T41" i="4"/>
  <c r="A17" i="64"/>
  <c r="B46" i="50"/>
  <c r="B4" i="63"/>
  <c r="C46" i="36"/>
  <c r="D46" i="36" s="1"/>
  <c r="E46" i="36" s="1"/>
  <c r="F46" i="36" s="1"/>
  <c r="C59" i="34"/>
  <c r="D59" i="34" s="1"/>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G30" i="6"/>
  <c r="G31" i="6" s="1"/>
  <c r="AZ16" i="3"/>
  <c r="F30" i="6"/>
  <c r="E28" i="6"/>
  <c r="H70" i="46"/>
  <c r="H72" i="46"/>
  <c r="A9" i="64"/>
  <c r="A9" i="51"/>
  <c r="B9" i="63" s="1"/>
  <c r="A3" i="55"/>
  <c r="B56" i="63" s="1"/>
  <c r="D72" i="39"/>
  <c r="E70" i="39"/>
  <c r="D67" i="40"/>
  <c r="E65" i="40"/>
  <c r="E4" i="4"/>
  <c r="B21" i="55" s="1"/>
  <c r="B72" i="63" s="1"/>
  <c r="C4" i="4"/>
  <c r="G66" i="36"/>
  <c r="J18" i="36"/>
  <c r="AE8" i="1"/>
  <c r="AE7" i="1"/>
  <c r="W18" i="36"/>
  <c r="AC18" i="36"/>
  <c r="AG6" i="1"/>
  <c r="F31" i="6"/>
  <c r="D12" i="11"/>
  <c r="C12" i="11" s="1"/>
  <c r="E29" i="6"/>
  <c r="L20" i="6"/>
  <c r="K14" i="1"/>
  <c r="M14" i="1" s="1"/>
  <c r="L19" i="6"/>
  <c r="K15" i="1"/>
  <c r="B20" i="55"/>
  <c r="B70" i="63" s="1"/>
  <c r="F7" i="21"/>
  <c r="J7" i="21"/>
  <c r="AC7" i="21" s="1"/>
  <c r="V48" i="21" s="1"/>
  <c r="I48" i="21" s="1"/>
  <c r="H7" i="21"/>
  <c r="E67" i="40"/>
  <c r="F65" i="40"/>
  <c r="E72" i="39"/>
  <c r="F70" i="39"/>
  <c r="L27" i="6"/>
  <c r="K16" i="1"/>
  <c r="S7" i="1"/>
  <c r="S8" i="1"/>
  <c r="S9" i="1"/>
  <c r="U7" i="21"/>
  <c r="AB7" i="21"/>
  <c r="T48" i="21" s="1"/>
  <c r="G48" i="21" s="1"/>
  <c r="S7" i="21"/>
  <c r="AA7" i="21"/>
  <c r="R48" i="21" s="1"/>
  <c r="F72" i="39"/>
  <c r="G70" i="39"/>
  <c r="F67" i="40"/>
  <c r="G65" i="40"/>
  <c r="O14" i="1"/>
  <c r="P14" i="1" s="1"/>
  <c r="G67" i="40"/>
  <c r="H65" i="40"/>
  <c r="I65" i="40" s="1"/>
  <c r="G72" i="39"/>
  <c r="H70" i="39"/>
  <c r="H72" i="39" s="1"/>
  <c r="R9" i="1"/>
  <c r="I70" i="39"/>
  <c r="I72" i="39" s="1"/>
  <c r="H67" i="40"/>
  <c r="R7" i="1"/>
  <c r="R8" i="1"/>
  <c r="J70" i="39"/>
  <c r="J72" i="39" s="1"/>
  <c r="C44" i="9"/>
  <c r="G14" i="66" s="1"/>
  <c r="B6" i="66" s="1"/>
  <c r="O39" i="9"/>
  <c r="K29" i="9"/>
  <c r="K30" i="9"/>
  <c r="R6" i="54"/>
  <c r="B50" i="63" s="1"/>
  <c r="N76" i="9"/>
  <c r="C46" i="9"/>
  <c r="K33" i="9"/>
  <c r="K34" i="9" s="1"/>
  <c r="O41" i="9"/>
  <c r="I14" i="66"/>
  <c r="B8" i="66"/>
  <c r="R8" i="54"/>
  <c r="B54" i="63" s="1"/>
  <c r="B13" i="67"/>
  <c r="F40" i="44"/>
  <c r="F11" i="44"/>
  <c r="F39" i="44"/>
  <c r="M24" i="44"/>
  <c r="C19" i="44"/>
  <c r="M8" i="44"/>
  <c r="F45" i="44"/>
  <c r="M9" i="15"/>
  <c r="F37" i="44"/>
  <c r="M30" i="44"/>
  <c r="E8" i="67"/>
  <c r="F40" i="15"/>
  <c r="F11" i="67"/>
  <c r="N5" i="65"/>
  <c r="F43" i="44"/>
  <c r="F16" i="15"/>
  <c r="N6" i="65"/>
  <c r="J36" i="15"/>
  <c r="L49" i="44"/>
  <c r="B11" i="67"/>
  <c r="M22" i="15"/>
  <c r="F13" i="67"/>
  <c r="M29" i="15"/>
  <c r="F38" i="44"/>
  <c r="E12" i="67"/>
  <c r="F13" i="15"/>
  <c r="L47" i="15"/>
  <c r="F10" i="67"/>
  <c r="J4" i="65"/>
  <c r="M31" i="44"/>
  <c r="F28" i="44"/>
  <c r="E10" i="67"/>
  <c r="B10" i="67"/>
  <c r="F36" i="15"/>
  <c r="J3" i="65"/>
  <c r="I7" i="65"/>
  <c r="F8" i="44"/>
  <c r="F15" i="44"/>
  <c r="N7" i="65"/>
  <c r="F26" i="15"/>
  <c r="E11" i="67"/>
  <c r="J5" i="65"/>
  <c r="B14" i="67"/>
  <c r="F18" i="44"/>
  <c r="J6" i="65"/>
  <c r="F14" i="67"/>
  <c r="J17" i="44"/>
  <c r="E9" i="67"/>
  <c r="M10" i="44"/>
  <c r="F10" i="44"/>
  <c r="F12" i="67"/>
  <c r="F43" i="15"/>
  <c r="J15" i="15"/>
  <c r="L48" i="15"/>
  <c r="F7" i="15"/>
  <c r="N4" i="65"/>
  <c r="E13" i="67"/>
  <c r="M11" i="44"/>
  <c r="F8" i="15"/>
  <c r="M29" i="44"/>
  <c r="F38" i="15"/>
  <c r="M27" i="15"/>
  <c r="F42" i="15"/>
  <c r="M26" i="44"/>
  <c r="M6" i="15"/>
  <c r="I3" i="65"/>
  <c r="F37" i="15"/>
  <c r="B9" i="67"/>
  <c r="N3" i="65"/>
  <c r="F6" i="15"/>
  <c r="M8" i="15"/>
  <c r="I6" i="65"/>
  <c r="B12" i="67"/>
  <c r="M23" i="44"/>
  <c r="F46" i="44"/>
  <c r="M26" i="15"/>
  <c r="F9" i="15"/>
  <c r="M28" i="15"/>
  <c r="F9" i="44"/>
  <c r="I5" i="65"/>
  <c r="D21" i="12"/>
  <c r="M25" i="44"/>
  <c r="M28" i="44"/>
  <c r="M23" i="15"/>
  <c r="I4" i="65"/>
  <c r="E14" i="67"/>
  <c r="M24" i="15"/>
  <c r="L48" i="44"/>
  <c r="F8" i="67"/>
  <c r="J7" i="65"/>
  <c r="B8" i="67"/>
  <c r="F9" i="67"/>
  <c r="I67" i="40" l="1"/>
  <c r="J65" i="40"/>
  <c r="K70" i="39"/>
  <c r="W7" i="21"/>
  <c r="A25" i="51"/>
  <c r="B18" i="63" s="1"/>
  <c r="G6" i="1"/>
  <c r="C30" i="44"/>
  <c r="C27" i="43"/>
  <c r="J51" i="15"/>
  <c r="C15" i="43"/>
  <c r="C28" i="15"/>
  <c r="U36" i="40"/>
  <c r="C16" i="46"/>
  <c r="P75" i="15"/>
  <c r="E14" i="52"/>
  <c r="D23" i="15"/>
  <c r="C21" i="12"/>
  <c r="A30" i="64"/>
  <c r="A30" i="51"/>
  <c r="B22" i="63" s="1"/>
  <c r="AC13" i="40"/>
  <c r="F31" i="43"/>
  <c r="C31" i="43" s="1"/>
  <c r="D86" i="9"/>
  <c r="F29" i="12"/>
  <c r="F32" i="15"/>
  <c r="F59" i="15" s="1"/>
  <c r="F72" i="9"/>
  <c r="F66" i="9"/>
  <c r="P72" i="9" s="1"/>
  <c r="K26" i="6"/>
  <c r="M26" i="6" s="1"/>
  <c r="I26" i="6" s="1"/>
  <c r="S26" i="6" s="1"/>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413" i="3"/>
  <c r="O11" i="1"/>
  <c r="P11" i="1" s="1"/>
  <c r="O8" i="1"/>
  <c r="P8" i="1" s="1"/>
  <c r="M16" i="1"/>
  <c r="N16" i="1" s="1"/>
  <c r="C29" i="43" s="1"/>
  <c r="Q16" i="1"/>
  <c r="F24" i="43" s="1"/>
  <c r="C26" i="43" s="1"/>
  <c r="D24" i="43" s="1"/>
  <c r="H16" i="1"/>
  <c r="K19" i="6"/>
  <c r="S6" i="1" s="1"/>
  <c r="S16" i="1" s="1"/>
  <c r="T11" i="1" s="1"/>
  <c r="K20" i="6"/>
  <c r="M20" i="6" s="1"/>
  <c r="I20" i="6" s="1"/>
  <c r="S20" i="6" s="1"/>
  <c r="O7" i="1"/>
  <c r="P7" i="1" s="1"/>
  <c r="E12" i="6"/>
  <c r="E10" i="6"/>
  <c r="E11" i="6"/>
  <c r="E14" i="6"/>
  <c r="E15" i="6"/>
  <c r="E13" i="6"/>
  <c r="O12" i="1"/>
  <c r="P12" i="1" s="1"/>
  <c r="O6" i="1"/>
  <c r="P6" i="1" s="1"/>
  <c r="O9" i="1"/>
  <c r="P9" i="1" s="1"/>
  <c r="AZ13" i="3"/>
  <c r="AZ5" i="3" s="1"/>
  <c r="BL5" i="3"/>
  <c r="O13" i="1"/>
  <c r="P13" i="1" s="1"/>
  <c r="E30" i="6"/>
  <c r="E31" i="6" s="1"/>
  <c r="K21" i="6"/>
  <c r="M21" i="6" s="1"/>
  <c r="I21" i="6" s="1"/>
  <c r="S21" i="6" s="1"/>
  <c r="K25" i="6"/>
  <c r="M25" i="6" s="1"/>
  <c r="I25" i="6" s="1"/>
  <c r="S25" i="6" s="1"/>
  <c r="K23" i="6"/>
  <c r="M23" i="6" s="1"/>
  <c r="I23" i="6" s="1"/>
  <c r="S23" i="6" s="1"/>
  <c r="K22" i="6"/>
  <c r="M22" i="6" s="1"/>
  <c r="I22" i="6" s="1"/>
  <c r="S22" i="6" s="1"/>
  <c r="K24" i="6"/>
  <c r="M24" i="6" s="1"/>
  <c r="I24" i="6" s="1"/>
  <c r="S24" i="6" s="1"/>
  <c r="G16" i="1"/>
  <c r="J12" i="40"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N69" i="9"/>
  <c r="E48" i="21"/>
  <c r="R49" i="21"/>
  <c r="I52" i="21"/>
  <c r="J52" i="21" s="1"/>
  <c r="I53" i="21"/>
  <c r="J53" i="21" s="1"/>
  <c r="G52" i="21"/>
  <c r="H52" i="21" s="1"/>
  <c r="G53" i="21"/>
  <c r="H53" i="2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G46" i="36"/>
  <c r="H46" i="36" s="1"/>
  <c r="I46" i="36" s="1"/>
  <c r="J46" i="36" s="1"/>
  <c r="K46" i="36" s="1"/>
  <c r="L46" i="36" s="1"/>
  <c r="M46" i="36" s="1"/>
  <c r="N46" i="36" s="1"/>
  <c r="O46" i="36" s="1"/>
  <c r="H7" i="36"/>
  <c r="J7" i="36"/>
  <c r="E52" i="37"/>
  <c r="F59" i="34"/>
  <c r="G59" i="34" s="1"/>
  <c r="H59" i="34" s="1"/>
  <c r="I59" i="34" s="1"/>
  <c r="J59" i="34" s="1"/>
  <c r="K59" i="34" s="1"/>
  <c r="L59" i="34" s="1"/>
  <c r="M59" i="34" s="1"/>
  <c r="N59" i="34" s="1"/>
  <c r="O59" i="34" s="1"/>
  <c r="F7" i="34"/>
  <c r="F7" i="36"/>
  <c r="D5" i="46"/>
  <c r="C5" i="46"/>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58" i="15"/>
  <c r="F31" i="15"/>
  <c r="F33" i="44"/>
  <c r="C15" i="12"/>
  <c r="C18" i="44"/>
  <c r="C16" i="15"/>
  <c r="E2" i="65"/>
  <c r="C17" i="15"/>
  <c r="E3" i="65"/>
  <c r="H7" i="34" l="1"/>
  <c r="J67" i="40"/>
  <c r="K65" i="40"/>
  <c r="K72" i="39"/>
  <c r="L70" i="39"/>
  <c r="J12" i="39"/>
  <c r="AC12" i="39" s="1"/>
  <c r="F12" i="39"/>
  <c r="AA12" i="39" s="1"/>
  <c r="H12" i="39"/>
  <c r="U12" i="39" s="1"/>
  <c r="W12" i="40"/>
  <c r="AC12" i="40"/>
  <c r="H12" i="40"/>
  <c r="AB12" i="40" s="1"/>
  <c r="F12" i="40"/>
  <c r="AA12" i="40" s="1"/>
  <c r="T13" i="1"/>
  <c r="T6" i="1"/>
  <c r="T7" i="1"/>
  <c r="T10" i="1"/>
  <c r="T12" i="1"/>
  <c r="T9" i="1"/>
  <c r="T8" i="1"/>
  <c r="E6" i="3"/>
  <c r="C13" i="43"/>
  <c r="L16" i="1"/>
  <c r="P16" i="1"/>
  <c r="F18" i="11"/>
  <c r="C18" i="11" s="1"/>
  <c r="E60" i="40"/>
  <c r="E65" i="39"/>
  <c r="E61" i="40"/>
  <c r="E66" i="39"/>
  <c r="E16" i="6"/>
  <c r="K27" i="6"/>
  <c r="M19" i="6"/>
  <c r="E3" i="6"/>
  <c r="AY6" i="3"/>
  <c r="O16" i="1"/>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U12" i="40"/>
  <c r="M86" i="9"/>
  <c r="N86" i="9" s="1"/>
  <c r="M84" i="9"/>
  <c r="N84" i="9" s="1"/>
  <c r="M88" i="9"/>
  <c r="N88" i="9" s="1"/>
  <c r="M87" i="9"/>
  <c r="N87" i="9" s="1"/>
  <c r="M85" i="9"/>
  <c r="N85" i="9" s="1"/>
  <c r="M83" i="9"/>
  <c r="N83" i="9" s="1"/>
  <c r="N89" i="9" s="1"/>
  <c r="O89" i="9" s="1"/>
  <c r="S7" i="34"/>
  <c r="AA7" i="34"/>
  <c r="R49" i="34" s="1"/>
  <c r="J7" i="34"/>
  <c r="W7" i="36"/>
  <c r="AC7" i="36"/>
  <c r="V36" i="36" s="1"/>
  <c r="I36" i="36" s="1"/>
  <c r="J7" i="33"/>
  <c r="H7" i="33"/>
  <c r="F7" i="35"/>
  <c r="J7" i="35"/>
  <c r="E53" i="21"/>
  <c r="F53" i="21" s="1"/>
  <c r="E52" i="21"/>
  <c r="F52" i="21" s="1"/>
  <c r="S7" i="36"/>
  <c r="AA7" i="36"/>
  <c r="R36" i="36" s="1"/>
  <c r="AB7" i="34"/>
  <c r="T49" i="34" s="1"/>
  <c r="G49" i="34" s="1"/>
  <c r="U7" i="34"/>
  <c r="F52" i="37"/>
  <c r="G52" i="37" s="1"/>
  <c r="H52" i="37" s="1"/>
  <c r="I52" i="37" s="1"/>
  <c r="J52" i="37" s="1"/>
  <c r="K52" i="37" s="1"/>
  <c r="L52" i="37" s="1"/>
  <c r="M52" i="37" s="1"/>
  <c r="N52" i="37" s="1"/>
  <c r="O52" i="37" s="1"/>
  <c r="F7" i="37"/>
  <c r="H7" i="37"/>
  <c r="AB7" i="36"/>
  <c r="T36" i="36" s="1"/>
  <c r="G36" i="36" s="1"/>
  <c r="U7" i="36"/>
  <c r="F7" i="33"/>
  <c r="AB7" i="35"/>
  <c r="T38" i="35" s="1"/>
  <c r="G38" i="35" s="1"/>
  <c r="U7" i="35"/>
  <c r="C49" i="21"/>
  <c r="B3" i="21" s="1"/>
  <c r="B2" i="21" s="1"/>
  <c r="C48" i="21"/>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F33" i="12"/>
  <c r="AE6" i="1"/>
  <c r="C14" i="15"/>
  <c r="C16" i="44"/>
  <c r="C13" i="12"/>
  <c r="S12" i="39" l="1"/>
  <c r="L72" i="39"/>
  <c r="M70" i="39"/>
  <c r="K67" i="40"/>
  <c r="L65" i="40"/>
  <c r="T16" i="1"/>
  <c r="C19" i="11"/>
  <c r="W12" i="39"/>
  <c r="S12" i="40"/>
  <c r="AB12" i="39"/>
  <c r="C34" i="12"/>
  <c r="D33" i="12" s="1"/>
  <c r="C14" i="12"/>
  <c r="C20" i="44"/>
  <c r="C17" i="44"/>
  <c r="C18" i="15"/>
  <c r="C15" i="15"/>
  <c r="C17" i="12"/>
  <c r="C14" i="43"/>
  <c r="C17" i="43"/>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I19" i="6"/>
  <c r="M27" i="6"/>
  <c r="E6" i="6"/>
  <c r="L38" i="9"/>
  <c r="B14" i="66" s="1"/>
  <c r="B1" i="66" s="1"/>
  <c r="D46" i="9"/>
  <c r="D16" i="43"/>
  <c r="C16" i="43" s="1"/>
  <c r="C21" i="4"/>
  <c r="O5" i="54" s="1"/>
  <c r="B45" i="63" s="1"/>
  <c r="D10" i="11"/>
  <c r="D44" i="9"/>
  <c r="C115" i="46"/>
  <c r="D113" i="46" s="1"/>
  <c r="J22" i="46" s="1"/>
  <c r="S6" i="46"/>
  <c r="T6" i="46" s="1"/>
  <c r="V6" i="46" s="1"/>
  <c r="S2" i="46"/>
  <c r="T2" i="46" s="1"/>
  <c r="V2" i="46" s="1"/>
  <c r="S4" i="46"/>
  <c r="T4" i="46" s="1"/>
  <c r="V4" i="46" s="1"/>
  <c r="S7" i="46"/>
  <c r="T7" i="46" s="1"/>
  <c r="V7" i="46" s="1"/>
  <c r="S5" i="46"/>
  <c r="T5" i="46" s="1"/>
  <c r="V5" i="46" s="1"/>
  <c r="S3" i="46"/>
  <c r="T3" i="46" s="1"/>
  <c r="V3" i="46" s="1"/>
  <c r="G36" i="46"/>
  <c r="I36" i="46" s="1"/>
  <c r="C30" i="46"/>
  <c r="E30" i="46" s="1"/>
  <c r="E33" i="46"/>
  <c r="C26" i="46" s="1"/>
  <c r="E39" i="46"/>
  <c r="G42" i="35"/>
  <c r="H42" i="35" s="1"/>
  <c r="AB7" i="37"/>
  <c r="T42" i="37" s="1"/>
  <c r="G42" i="37" s="1"/>
  <c r="U7" i="37"/>
  <c r="G53" i="34"/>
  <c r="H53" i="34" s="1"/>
  <c r="AC7" i="35"/>
  <c r="V38" i="35" s="1"/>
  <c r="I38" i="35" s="1"/>
  <c r="G43" i="35" s="1"/>
  <c r="H43" i="35" s="1"/>
  <c r="W7" i="35"/>
  <c r="AB7" i="33"/>
  <c r="T48" i="33" s="1"/>
  <c r="G48" i="33" s="1"/>
  <c r="U7" i="33"/>
  <c r="I40" i="36"/>
  <c r="J40" i="36" s="1"/>
  <c r="AC7" i="34"/>
  <c r="V49" i="34" s="1"/>
  <c r="I49" i="34" s="1"/>
  <c r="G54" i="34" s="1"/>
  <c r="H54" i="34" s="1"/>
  <c r="W7" i="34"/>
  <c r="AA7" i="33"/>
  <c r="R48" i="33" s="1"/>
  <c r="S7" i="33"/>
  <c r="G40" i="36"/>
  <c r="H40" i="36" s="1"/>
  <c r="G41" i="36"/>
  <c r="H41" i="36" s="1"/>
  <c r="AA7" i="37"/>
  <c r="R42" i="37" s="1"/>
  <c r="S7" i="37"/>
  <c r="E36" i="36"/>
  <c r="I41" i="36" s="1"/>
  <c r="J41" i="36" s="1"/>
  <c r="R37" i="36"/>
  <c r="S7" i="35"/>
  <c r="AA7" i="35"/>
  <c r="R38" i="35" s="1"/>
  <c r="AC7" i="33"/>
  <c r="V48" i="33" s="1"/>
  <c r="I48" i="33" s="1"/>
  <c r="W7" i="33"/>
  <c r="R50" i="34"/>
  <c r="E49" i="34"/>
  <c r="J7" i="37"/>
  <c r="E37" i="46"/>
  <c r="G35" i="46"/>
  <c r="I35" i="46" s="1"/>
  <c r="E35" i="46"/>
  <c r="G38" i="46"/>
  <c r="I38" i="46" s="1"/>
  <c r="G34" i="46"/>
  <c r="I34" i="46" s="1"/>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7" i="67"/>
  <c r="E7" i="67"/>
  <c r="D16" i="12"/>
  <c r="F41" i="15"/>
  <c r="L52" i="44"/>
  <c r="M65" i="40" l="1"/>
  <c r="L67" i="40"/>
  <c r="N70" i="39"/>
  <c r="N72" i="39" s="1"/>
  <c r="M72" i="39"/>
  <c r="H9" i="39" s="1"/>
  <c r="F68" i="15"/>
  <c r="J29" i="15"/>
  <c r="C19" i="15"/>
  <c r="C20" i="15" s="1"/>
  <c r="C26" i="15" s="1"/>
  <c r="C21" i="44"/>
  <c r="C22" i="44" s="1"/>
  <c r="C18" i="43"/>
  <c r="C19" i="43" s="1"/>
  <c r="C25" i="43" s="1"/>
  <c r="C24" i="43" s="1"/>
  <c r="D13" i="11"/>
  <c r="C13" i="11" s="1"/>
  <c r="E63" i="40"/>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F44" i="9"/>
  <c r="F46" i="9"/>
  <c r="E46" i="9"/>
  <c r="E44" i="9"/>
  <c r="C8" i="66"/>
  <c r="C6" i="66"/>
  <c r="D19" i="12"/>
  <c r="C19" i="12" s="1"/>
  <c r="C16" i="12"/>
  <c r="C18" i="12" s="1"/>
  <c r="I27" i="6"/>
  <c r="S19" i="6"/>
  <c r="S27" i="6" s="1"/>
  <c r="W7" i="37"/>
  <c r="AC7" i="37"/>
  <c r="V42" i="37" s="1"/>
  <c r="I42" i="37" s="1"/>
  <c r="C50" i="34"/>
  <c r="B3" i="34" s="1"/>
  <c r="B2" i="34" s="1"/>
  <c r="C49" i="34"/>
  <c r="I52" i="33"/>
  <c r="J52" i="33" s="1"/>
  <c r="E40" i="36"/>
  <c r="F40" i="36" s="1"/>
  <c r="E41" i="36"/>
  <c r="F41" i="36" s="1"/>
  <c r="E42" i="37"/>
  <c r="R43" i="37"/>
  <c r="R49" i="33"/>
  <c r="E48" i="33"/>
  <c r="I53" i="33" s="1"/>
  <c r="J53" i="33" s="1"/>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E4" i="67"/>
  <c r="E3" i="67"/>
  <c r="B2" i="46"/>
  <c r="Q69" i="44"/>
  <c r="L58" i="44"/>
  <c r="L61" i="44" s="1"/>
  <c r="C32" i="15"/>
  <c r="C38" i="15"/>
  <c r="B5" i="11"/>
  <c r="B3" i="11"/>
  <c r="B4" i="11"/>
  <c r="C59" i="15"/>
  <c r="C65" i="15"/>
  <c r="C27" i="12"/>
  <c r="D26" i="12" s="1"/>
  <c r="C32" i="12" s="1"/>
  <c r="D30" i="12" s="1"/>
  <c r="Q49" i="44"/>
  <c r="Q55" i="44" s="1"/>
  <c r="Q67" i="44"/>
  <c r="Q58" i="44"/>
  <c r="B7" i="67"/>
  <c r="D22" i="12"/>
  <c r="M67" i="40" l="1"/>
  <c r="N65" i="40"/>
  <c r="N67" i="40" s="1"/>
  <c r="J9" i="40" s="1"/>
  <c r="F9" i="40"/>
  <c r="F9" i="39"/>
  <c r="AB9" i="39"/>
  <c r="T49" i="39" s="1"/>
  <c r="G49" i="39" s="1"/>
  <c r="U9" i="39"/>
  <c r="J9" i="39"/>
  <c r="C22" i="12"/>
  <c r="C20" i="12" s="1"/>
  <c r="C28" i="44"/>
  <c r="C25" i="44"/>
  <c r="H27" i="6"/>
  <c r="C23" i="15"/>
  <c r="C29" i="15" s="1"/>
  <c r="C36" i="15" s="1"/>
  <c r="C22" i="43"/>
  <c r="C21" i="43" s="1"/>
  <c r="C28" i="43" s="1"/>
  <c r="C30" i="43" s="1"/>
  <c r="C32" i="43" s="1"/>
  <c r="B2" i="43" s="1"/>
  <c r="B5" i="43" s="1"/>
  <c r="C23" i="12"/>
  <c r="R26" i="6"/>
  <c r="R23" i="6"/>
  <c r="R25" i="6"/>
  <c r="D16" i="6"/>
  <c r="D30" i="6"/>
  <c r="R22" i="6"/>
  <c r="R24" i="6"/>
  <c r="R20" i="6"/>
  <c r="R21" i="6"/>
  <c r="A20" i="64"/>
  <c r="A20" i="51"/>
  <c r="B15" i="63" s="1"/>
  <c r="N5" i="54"/>
  <c r="B43" i="63" s="1"/>
  <c r="A6" i="51"/>
  <c r="B7" i="63" s="1"/>
  <c r="A6" i="64"/>
  <c r="D8" i="66"/>
  <c r="D6" i="66"/>
  <c r="R19" i="6"/>
  <c r="D27" i="6"/>
  <c r="C38" i="35"/>
  <c r="C39" i="35"/>
  <c r="B3" i="35" s="1"/>
  <c r="B2" i="35" s="1"/>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B2" i="67"/>
  <c r="D4" i="46"/>
  <c r="B4" i="46"/>
  <c r="B3" i="46"/>
  <c r="Q68" i="44"/>
  <c r="Q77" i="44" s="1"/>
  <c r="Q59" i="44"/>
  <c r="Q64" i="44" s="1"/>
  <c r="W9" i="40" l="1"/>
  <c r="AC9" i="40"/>
  <c r="V44" i="40" s="1"/>
  <c r="I44" i="40" s="1"/>
  <c r="W9" i="39"/>
  <c r="AC9" i="39"/>
  <c r="V49" i="39" s="1"/>
  <c r="I49" i="39" s="1"/>
  <c r="G53" i="39"/>
  <c r="H53" i="39" s="1"/>
  <c r="G54" i="39"/>
  <c r="H54" i="39" s="1"/>
  <c r="S9" i="40"/>
  <c r="AA9" i="40"/>
  <c r="R44" i="40" s="1"/>
  <c r="H9" i="40"/>
  <c r="AA9" i="39"/>
  <c r="R49" i="39" s="1"/>
  <c r="S9" i="39"/>
  <c r="D31" i="6"/>
  <c r="C31" i="44"/>
  <c r="Q51" i="44" s="1"/>
  <c r="C33" i="15"/>
  <c r="C13" i="15"/>
  <c r="J35" i="15" s="1"/>
  <c r="J19" i="15"/>
  <c r="J14" i="15"/>
  <c r="J22" i="15" s="1"/>
  <c r="J59" i="15"/>
  <c r="J60" i="15" s="1"/>
  <c r="Q49" i="15" s="1"/>
  <c r="C56" i="15"/>
  <c r="C60" i="15" s="1"/>
  <c r="Q50" i="15"/>
  <c r="B4" i="43"/>
  <c r="B3" i="43"/>
  <c r="R27" i="6"/>
  <c r="R6" i="1"/>
  <c r="I6" i="6"/>
  <c r="I5" i="6"/>
  <c r="B3" i="67"/>
  <c r="B4" i="67"/>
  <c r="F35" i="15"/>
  <c r="M21" i="15"/>
  <c r="R50" i="39" l="1"/>
  <c r="E49" i="39"/>
  <c r="E44" i="40"/>
  <c r="I49" i="40" s="1"/>
  <c r="J49" i="40" s="1"/>
  <c r="I53" i="39"/>
  <c r="J53" i="39" s="1"/>
  <c r="I54" i="39"/>
  <c r="J54" i="39" s="1"/>
  <c r="I48" i="40"/>
  <c r="J48" i="40" s="1"/>
  <c r="U9" i="40"/>
  <c r="AB9" i="40"/>
  <c r="T44" i="40" s="1"/>
  <c r="G44" i="40" s="1"/>
  <c r="C34" i="15"/>
  <c r="C31" i="15" s="1"/>
  <c r="F62" i="15"/>
  <c r="C61" i="15" s="1"/>
  <c r="J20" i="15"/>
  <c r="J17" i="15" s="1"/>
  <c r="R16" i="1"/>
  <c r="C58" i="15"/>
  <c r="C35" i="44"/>
  <c r="C33" i="44" s="1"/>
  <c r="C38" i="44"/>
  <c r="C55" i="15"/>
  <c r="C64" i="15" s="1"/>
  <c r="J16" i="44"/>
  <c r="J24" i="44" s="1"/>
  <c r="C15" i="44"/>
  <c r="Q72" i="44" s="1"/>
  <c r="J21" i="44"/>
  <c r="J19" i="44" s="1"/>
  <c r="J13" i="15"/>
  <c r="J23" i="15" s="1"/>
  <c r="Q71" i="15"/>
  <c r="C37" i="15"/>
  <c r="C63" i="15"/>
  <c r="C50" i="39" l="1"/>
  <c r="C49" i="39"/>
  <c r="G48" i="40"/>
  <c r="H48" i="40" s="1"/>
  <c r="G49" i="40"/>
  <c r="H49" i="40" s="1"/>
  <c r="R45" i="40"/>
  <c r="E54" i="39"/>
  <c r="F54" i="39" s="1"/>
  <c r="E53" i="39"/>
  <c r="F53" i="39" s="1"/>
  <c r="E49" i="40"/>
  <c r="F49" i="40" s="1"/>
  <c r="E48" i="40"/>
  <c r="F48" i="40" s="1"/>
  <c r="C30" i="15"/>
  <c r="C39" i="15" s="1"/>
  <c r="Q70" i="15" s="1"/>
  <c r="J16" i="15"/>
  <c r="J25" i="15" s="1"/>
  <c r="J15" i="44"/>
  <c r="J25" i="44" s="1"/>
  <c r="J18" i="44" s="1"/>
  <c r="J27" i="44" s="1"/>
  <c r="C39" i="44"/>
  <c r="C32" i="44" s="1"/>
  <c r="C42" i="44" s="1"/>
  <c r="Q71" i="44" s="1"/>
  <c r="Q70" i="44" s="1"/>
  <c r="C57" i="15"/>
  <c r="C66" i="15" s="1"/>
  <c r="C67" i="15" s="1"/>
  <c r="C70" i="15" s="1"/>
  <c r="C43" i="44"/>
  <c r="Q69" i="15"/>
  <c r="L57" i="15"/>
  <c r="L60" i="15" s="1"/>
  <c r="C40" i="15"/>
  <c r="C44" i="40" l="1"/>
  <c r="C45" i="40"/>
  <c r="B62" i="39"/>
  <c r="F62" i="39" s="1"/>
  <c r="B64" i="39"/>
  <c r="F64" i="39" s="1"/>
  <c r="F68" i="39"/>
  <c r="B2" i="39" s="1"/>
  <c r="B66" i="39"/>
  <c r="F66" i="39" s="1"/>
  <c r="B58" i="39"/>
  <c r="F58" i="39" s="1"/>
  <c r="B61" i="39"/>
  <c r="F61" i="39" s="1"/>
  <c r="B59" i="39"/>
  <c r="F59" i="39" s="1"/>
  <c r="B67" i="39"/>
  <c r="F67" i="39" s="1"/>
  <c r="B65" i="39"/>
  <c r="F65" i="39" s="1"/>
  <c r="B60" i="39"/>
  <c r="F60" i="39" s="1"/>
  <c r="B63" i="39"/>
  <c r="F63" i="39" s="1"/>
  <c r="C6" i="12"/>
  <c r="C24" i="12" s="1"/>
  <c r="J39" i="15"/>
  <c r="J40" i="15" s="1"/>
  <c r="C44" i="44"/>
  <c r="C45" i="44" s="1"/>
  <c r="B2" i="44" s="1"/>
  <c r="B3" i="44" s="1"/>
  <c r="Q67" i="15"/>
  <c r="L46" i="15"/>
  <c r="B2" i="15" s="1"/>
  <c r="B3" i="15" s="1"/>
  <c r="Q58" i="15"/>
  <c r="Q66" i="15"/>
  <c r="J42" i="15"/>
  <c r="J43" i="15" s="1"/>
  <c r="C43" i="15"/>
  <c r="Q48" i="15"/>
  <c r="Q54" i="15" s="1"/>
  <c r="Q57" i="15"/>
  <c r="C46" i="15"/>
  <c r="L51" i="15"/>
  <c r="B61" i="40" l="1"/>
  <c r="F61" i="40" s="1"/>
  <c r="B59" i="40"/>
  <c r="F59" i="40" s="1"/>
  <c r="B55" i="40"/>
  <c r="F55" i="40" s="1"/>
  <c r="B53" i="40"/>
  <c r="F53" i="40" s="1"/>
  <c r="B54" i="40"/>
  <c r="F54" i="40" s="1"/>
  <c r="B60" i="40"/>
  <c r="F60" i="40" s="1"/>
  <c r="B58" i="40"/>
  <c r="F58" i="40" s="1"/>
  <c r="B56" i="40"/>
  <c r="F56" i="40" s="1"/>
  <c r="B57" i="40"/>
  <c r="F57" i="40" s="1"/>
  <c r="B62" i="40"/>
  <c r="F62" i="40" s="1"/>
  <c r="B3" i="39"/>
  <c r="B4" i="39"/>
  <c r="B5" i="39"/>
  <c r="C29" i="12"/>
  <c r="Q68" i="15"/>
  <c r="B4" i="44"/>
  <c r="B5" i="44"/>
  <c r="C28" i="12"/>
  <c r="C26" i="12" s="1"/>
  <c r="C31" i="12" s="1"/>
  <c r="C30" i="12" s="1"/>
  <c r="C35" i="12"/>
  <c r="C33" i="12" s="1"/>
  <c r="Q63" i="15"/>
  <c r="Q76" i="15"/>
  <c r="F63" i="40" l="1"/>
  <c r="B2" i="40" s="1"/>
  <c r="C36" i="12"/>
  <c r="B2" i="12" s="1"/>
  <c r="C19" i="9"/>
  <c r="B3" i="12"/>
  <c r="D19" i="9"/>
  <c r="L43" i="9" l="1"/>
  <c r="B3" i="40"/>
  <c r="B4" i="40"/>
  <c r="B5" i="40"/>
  <c r="L44" i="9"/>
  <c r="G19" i="9"/>
  <c r="C32" i="9" s="1"/>
  <c r="D22" i="9"/>
  <c r="C20" i="9"/>
  <c r="C21" i="9"/>
  <c r="D20" i="9"/>
  <c r="B5" i="12"/>
  <c r="B4" i="12"/>
  <c r="G20" i="9" l="1"/>
  <c r="N43" i="9"/>
  <c r="G22" i="9"/>
  <c r="C35" i="9"/>
  <c r="F42" i="9" s="1"/>
  <c r="C42" i="9"/>
  <c r="C33" i="9"/>
  <c r="C45" i="9"/>
  <c r="C34" i="9"/>
  <c r="O38" i="9"/>
  <c r="O43" i="9"/>
  <c r="D21" i="9"/>
  <c r="G21" i="9" l="1"/>
  <c r="K25" i="9"/>
  <c r="K26" i="9"/>
  <c r="O40" i="9"/>
  <c r="D45" i="9"/>
  <c r="H14" i="66"/>
  <c r="B7" i="66" s="1"/>
  <c r="E45" i="9"/>
  <c r="F45" i="9"/>
  <c r="R5" i="54"/>
  <c r="B48" i="63" s="1"/>
  <c r="D63" i="9"/>
  <c r="N68" i="9"/>
  <c r="D14" i="66"/>
  <c r="E42" i="9"/>
  <c r="P5" i="54" s="1"/>
  <c r="B46" i="63" s="1"/>
  <c r="M38" i="9"/>
  <c r="K27" i="9" s="1"/>
  <c r="N38" i="9"/>
  <c r="K28" i="9" s="1"/>
  <c r="D42" i="9"/>
  <c r="Q5" i="54" s="1"/>
  <c r="B47" i="63" s="1"/>
  <c r="F14" i="66" l="1"/>
  <c r="E14" i="66"/>
  <c r="C111" i="9"/>
  <c r="C104" i="9" s="1"/>
  <c r="C103" i="9"/>
  <c r="D71" i="9"/>
  <c r="D66" i="9" s="1"/>
  <c r="N72" i="9" s="1"/>
  <c r="D77" i="9"/>
  <c r="N75" i="9" s="1"/>
  <c r="C82" i="9"/>
  <c r="C81" i="9" s="1"/>
  <c r="C85" i="9" s="1"/>
  <c r="C86" i="9" s="1"/>
  <c r="D72" i="9" s="1"/>
  <c r="C96" i="9"/>
  <c r="C91" i="9" s="1"/>
  <c r="D70" i="9"/>
  <c r="C90" i="9"/>
  <c r="C7" i="66"/>
  <c r="D7" i="66"/>
  <c r="R7" i="54"/>
  <c r="B52" i="63" s="1"/>
  <c r="K31" i="9"/>
  <c r="K32" i="9" s="1"/>
  <c r="C97" i="9" l="1"/>
  <c r="C98" i="9" s="1"/>
  <c r="E98" i="9" s="1"/>
  <c r="E99" i="9" s="1"/>
  <c r="C113" i="9"/>
  <c r="C99" i="9" l="1"/>
  <c r="C114" i="9"/>
  <c r="E114" i="9" s="1"/>
  <c r="E115" i="9" s="1"/>
  <c r="C115" i="9" l="1"/>
  <c r="D76" i="9" s="1"/>
  <c r="D74" i="9" s="1"/>
  <c r="N74" i="9" s="1"/>
  <c r="O77" i="9" s="1"/>
  <c r="O78" i="9" s="1"/>
  <c r="Q77" i="9" l="1"/>
  <c r="O79" i="9"/>
  <c r="O81" i="9" s="1"/>
  <c r="O80" i="9" l="1"/>
  <c r="F15" i="66" l="1"/>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<sst xmlns="http://schemas.openxmlformats.org/spreadsheetml/2006/main" count="7242" uniqueCount="3190">
  <si>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</si>
  <si>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</si>
  <si>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</si>
  <si>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</si>
  <si>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</si>
  <si>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</si>
  <si>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</si>
  <si>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</si>
  <si>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</si>
  <si>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</si>
  <si>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</si>
  <si>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</si>
  <si>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</si>
  <si>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</si>
  <si>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</si>
  <si>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</si>
  <si>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</si>
  <si>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</si>
  <si>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</si>
  <si>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</si>
  <si>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</si>
  <si>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</si>
  <si>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</si>
  <si>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</si>
  <si>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</si>
  <si>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</si>
  <si>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</si>
  <si>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</si>
  <si>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</si>
  <si>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</si>
  <si>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</si>
  <si>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</si>
  <si>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</si>
  <si>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</si>
  <si>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</si>
  <si>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</si>
  <si>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</si>
  <si>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</si>
  <si>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</si>
  <si>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</si>
  <si>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</si>
  <si>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</si>
  <si>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</si>
  <si>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</si>
  <si>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</si>
  <si>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</si>
  <si>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</si>
  <si>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</si>
  <si>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</si>
  <si>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</si>
  <si>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</si>
  <si>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</si>
  <si>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</si>
  <si>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</si>
  <si>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</si>
  <si>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</si>
  <si>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</si>
  <si>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</si>
  <si>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</si>
  <si>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</si>
  <si>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</si>
  <si>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</si>
  <si>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</si>
  <si>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</si>
  <si>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</si>
  <si>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</si>
  <si>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</si>
  <si>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</si>
  <si>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</si>
  <si>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</si>
  <si>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</si>
  <si>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</si>
  <si>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</si>
  <si>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</si>
  <si>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</si>
  <si>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</si>
  <si>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</si>
  <si>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</si>
  <si>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</si>
  <si>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</si>
  <si>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</si>
  <si>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</si>
  <si>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</si>
  <si>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</si>
  <si>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</si>
  <si>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</si>
  <si>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</si>
  <si>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</si>
  <si>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</si>
  <si>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</si>
  <si>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</si>
  <si>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</si>
  <si>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</si>
  <si>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</si>
  <si>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</si>
  <si>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</si>
  <si>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</si>
  <si>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</si>
  <si>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</si>
  <si>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</si>
  <si>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</si>
  <si>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</si>
  <si>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</si>
  <si>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</si>
  <si>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</si>
  <si>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</si>
  <si>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</si>
  <si>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</si>
  <si>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</si>
  <si>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</si>
  <si>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</si>
  <si>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</si>
  <si>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</si>
  <si>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</si>
  <si>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</si>
  <si>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</si>
  <si>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</si>
  <si>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</si>
  <si>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</si>
  <si>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</si>
  <si>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</si>
  <si>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</si>
  <si>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</si>
  <si>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</si>
  <si>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</si>
  <si>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</si>
  <si>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</si>
  <si>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</si>
  <si>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</si>
  <si>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</si>
  <si>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</si>
  <si>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</si>
  <si>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</si>
  <si>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</si>
  <si>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</si>
  <si>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</si>
  <si>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</si>
  <si>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</si>
  <si>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</si>
  <si>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</si>
  <si>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</si>
  <si>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</si>
  <si>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</si>
  <si>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</si>
  <si>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</si>
  <si>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</si>
  <si>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</si>
  <si>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</si>
  <si>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</si>
  <si>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</si>
  <si>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</si>
  <si>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</si>
  <si>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</si>
  <si>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</si>
  <si>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</si>
  <si>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</si>
  <si>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</si>
  <si>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</si>
  <si>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</si>
  <si>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</si>
  <si>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</si>
  <si>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</si>
  <si>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</si>
  <si>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</si>
  <si>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</si>
  <si>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</si>
  <si>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</si>
  <si>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</si>
  <si>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</si>
  <si>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</si>
  <si>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</si>
  <si>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</si>
  <si>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</si>
  <si>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</si>
  <si>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</si>
  <si>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</si>
  <si>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</si>
  <si>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</si>
  <si>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</si>
  <si>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</si>
  <si>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</si>
  <si>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</si>
  <si>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</si>
  <si>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</si>
  <si>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</si>
  <si>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</si>
  <si>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</si>
  <si>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</si>
  <si>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</si>
  <si>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</si>
  <si>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</si>
  <si>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</si>
  <si>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</si>
  <si>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</si>
  <si>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</si>
  <si>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</si>
  <si>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</si>
  <si>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</si>
  <si>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</si>
  <si>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</si>
  <si>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</si>
  <si>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</si>
  <si>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</si>
  <si>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</si>
  <si>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</si>
  <si>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</si>
  <si>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</si>
  <si>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</si>
  <si>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</si>
  <si>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</si>
  <si>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</si>
  <si>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</si>
  <si>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</si>
  <si>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</si>
  <si>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</si>
  <si>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</si>
  <si>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</si>
  <si>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</si>
  <si>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</si>
  <si>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</si>
  <si>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</si>
  <si>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</si>
  <si>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</si>
  <si>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</si>
  <si>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</si>
  <si>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</si>
  <si>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</si>
  <si>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</si>
  <si>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</si>
  <si>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</si>
  <si>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</si>
  <si>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</si>
  <si>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</si>
  <si>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</si>
  <si>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</si>
  <si>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</si>
  <si>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</si>
  <si>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</si>
  <si>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</si>
  <si>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</si>
  <si>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</si>
  <si>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</si>
  <si>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</si>
  <si>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</si>
  <si>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</si>
  <si>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</si>
  <si>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</si>
  <si>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</si>
  <si>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</si>
  <si>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</si>
  <si>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</si>
  <si>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</si>
  <si>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</si>
  <si>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</si>
  <si>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</si>
  <si>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</si>
  <si>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</si>
  <si>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</si>
  <si>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</si>
  <si>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</si>
  <si>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</si>
  <si>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</si>
  <si>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</si>
  <si>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</si>
  <si>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</si>
  <si>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</si>
  <si>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</si>
  <si>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</si>
  <si>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</si>
  <si>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</si>
  <si>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</si>
  <si>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</si>
  <si>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</si>
  <si>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</si>
  <si>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</si>
  <si>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</si>
  <si>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</si>
  <si>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</si>
  <si>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</si>
  <si>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</si>
  <si>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</si>
  <si>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</si>
  <si>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</si>
  <si>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</si>
  <si>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</si>
  <si>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</si>
  <si>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</si>
  <si>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</si>
  <si>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</si>
  <si>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</si>
  <si>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</si>
  <si>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</si>
  <si>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</si>
  <si>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</si>
  <si>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</si>
  <si>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</si>
  <si>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</si>
  <si>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</si>
  <si>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</si>
  <si>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</si>
  <si>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</si>
  <si>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</si>
  <si>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</si>
  <si>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</si>
  <si>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</si>
  <si>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</si>
  <si>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</si>
  <si>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</si>
  <si>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</si>
  <si>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</si>
  <si>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</si>
  <si>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</si>
  <si>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</si>
  <si>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</si>
  <si>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</si>
  <si>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</si>
  <si>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</si>
  <si>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</si>
  <si>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</si>
  <si>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</si>
  <si>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</si>
  <si>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</si>
  <si>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</si>
  <si>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</si>
  <si>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</si>
  <si>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</si>
  <si>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</si>
  <si>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</si>
  <si>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</si>
  <si>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</si>
  <si>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</si>
  <si>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</si>
  <si>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</si>
  <si>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</si>
  <si>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</si>
  <si>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</si>
  <si>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</si>
  <si>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</si>
  <si>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</si>
  <si>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</si>
  <si>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</si>
  <si>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</si>
  <si>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</si>
  <si>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</si>
  <si>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</si>
  <si>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</si>
  <si>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</si>
  <si>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</si>
  <si>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</si>
  <si>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</si>
  <si>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</si>
  <si>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</si>
  <si>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</si>
  <si>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</si>
  <si>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</si>
  <si>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</si>
  <si>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</si>
  <si>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</si>
  <si>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</si>
  <si>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</si>
  <si>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</si>
  <si>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</si>
  <si>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</si>
  <si>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</si>
  <si>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</si>
  <si>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</si>
  <si>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</si>
  <si>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</si>
  <si>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</si>
  <si>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</si>
  <si>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</si>
  <si>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</si>
  <si>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</si>
  <si>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</si>
  <si>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</si>
  <si>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</si>
  <si>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</si>
  <si>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</si>
  <si>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</si>
  <si>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</si>
  <si>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</si>
  <si>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</si>
  <si>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</si>
  <si>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</si>
  <si>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</si>
  <si>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</si>
  <si>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</si>
  <si>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</si>
  <si>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</si>
  <si>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</si>
  <si>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</si>
  <si>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</si>
  <si>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</si>
  <si>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</si>
  <si>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</si>
  <si>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</si>
  <si>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</si>
  <si>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</si>
  <si>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</si>
  <si>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</si>
  <si>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</si>
  <si>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</si>
  <si>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</si>
  <si>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</si>
  <si>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</si>
  <si>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</si>
  <si>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</si>
  <si>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</si>
  <si>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</si>
  <si>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</si>
  <si>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</si>
  <si>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</si>
  <si>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</si>
  <si>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</si>
  <si>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</si>
  <si>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</si>
  <si>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</si>
  <si>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</si>
  <si>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</si>
  <si>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</si>
  <si>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</si>
  <si>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</si>
  <si>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</si>
  <si>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</si>
  <si>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</si>
  <si>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</si>
  <si>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</si>
  <si>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</si>
  <si>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</si>
  <si>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</si>
  <si>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</si>
  <si>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</si>
  <si>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</si>
  <si>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</si>
  <si>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</si>
  <si>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</si>
  <si>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</si>
  <si>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</si>
  <si>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</si>
  <si>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</si>
  <si>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</si>
  <si>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</si>
  <si>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</si>
  <si>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</si>
  <si>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</si>
  <si>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</si>
  <si>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</si>
  <si>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</si>
  <si>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</si>
  <si>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</si>
  <si>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</si>
  <si>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</si>
  <si>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</si>
  <si>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</si>
  <si>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</si>
  <si>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</si>
  <si>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</si>
  <si>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</si>
  <si>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</si>
  <si>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</si>
  <si>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</si>
  <si>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</si>
  <si>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</si>
  <si>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</si>
  <si>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</si>
  <si>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</si>
  <si>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</si>
  <si>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</si>
  <si>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</si>
  <si>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</si>
  <si>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</si>
  <si>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</si>
  <si>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</si>
  <si>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</si>
  <si>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</si>
  <si>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</si>
  <si>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</si>
  <si>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</si>
  <si>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</si>
  <si>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</si>
  <si>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</si>
  <si>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</si>
  <si>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</si>
  <si>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</si>
  <si>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</si>
  <si>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</si>
  <si>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</si>
  <si>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</si>
  <si>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</si>
  <si>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</si>
  <si>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</si>
  <si>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</si>
  <si>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</si>
  <si>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</si>
  <si>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</si>
  <si>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</si>
  <si>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</si>
  <si>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</si>
  <si>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</si>
  <si>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</si>
  <si>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</si>
  <si>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</si>
  <si>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</si>
  <si>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</si>
  <si>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</si>
  <si>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</si>
  <si>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</si>
  <si>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</si>
  <si>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</si>
  <si>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</si>
  <si>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</si>
  <si>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</si>
  <si>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</si>
  <si>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</si>
  <si>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</si>
  <si>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</si>
  <si>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</si>
  <si>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</si>
  <si>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</si>
  <si>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</si>
  <si>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</si>
  <si>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</si>
  <si>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</si>
  <si>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</si>
  <si>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</si>
  <si>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</si>
  <si>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</si>
  <si>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</si>
  <si>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</si>
  <si>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</si>
  <si>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</si>
  <si>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</si>
  <si>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</si>
  <si>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</si>
  <si>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</si>
  <si>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</si>
  <si>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</si>
  <si>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</si>
  <si>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</si>
  <si>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</si>
  <si>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</si>
  <si>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</si>
  <si>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</si>
  <si>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</si>
  <si>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</si>
  <si>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</si>
  <si>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</si>
  <si>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</si>
  <si>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</si>
  <si>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</si>
  <si>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</si>
  <si>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</si>
  <si>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</si>
  <si>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</si>
  <si>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</si>
  <si>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</si>
  <si>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</si>
  <si>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</si>
  <si>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</si>
  <si>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</si>
  <si>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</si>
  <si>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</si>
  <si>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</si>
  <si>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</si>
  <si>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</si>
  <si>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</si>
  <si>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</si>
  <si>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</si>
  <si>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</si>
  <si>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</si>
  <si>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</si>
  <si>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</si>
  <si>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</si>
  <si>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</si>
  <si>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</si>
  <si>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</si>
  <si>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</si>
  <si>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</si>
  <si>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</si>
  <si>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</si>
  <si>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</si>
  <si>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</si>
  <si>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</si>
  <si>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</si>
  <si>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</si>
  <si>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</si>
  <si>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</si>
  <si>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</si>
  <si>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</si>
  <si>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</si>
  <si>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</si>
  <si>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</si>
  <si>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</si>
  <si>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</si>
  <si>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</si>
  <si>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</si>
  <si>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</si>
  <si>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</si>
  <si>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</si>
  <si>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</si>
  <si>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</si>
  <si>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</si>
  <si>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</si>
  <si>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</si>
  <si>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</si>
  <si>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</si>
  <si>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</si>
  <si>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</si>
  <si>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</si>
  <si>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</si>
  <si>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</si>
  <si>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</si>
  <si>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</si>
  <si>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</si>
  <si>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</si>
  <si>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</si>
  <si>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</si>
  <si>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</si>
  <si>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</si>
  <si>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</si>
  <si>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</si>
  <si>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</si>
  <si>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</si>
  <si>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</si>
  <si>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</si>
  <si>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</si>
  <si>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</si>
  <si>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</si>
  <si>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</si>
  <si>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</si>
  <si>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</si>
  <si>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</si>
  <si>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</si>
  <si>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</si>
  <si>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</si>
  <si>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</si>
  <si>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</si>
  <si>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</si>
  <si>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</si>
  <si>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</si>
  <si>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</si>
  <si>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</si>
  <si>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</si>
  <si>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</si>
  <si>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</si>
  <si>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</si>
  <si>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</si>
  <si>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</si>
  <si>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</si>
  <si>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</si>
  <si>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</si>
  <si>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</si>
  <si>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</si>
  <si>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</si>
  <si>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</si>
  <si>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</si>
  <si>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</si>
  <si>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</si>
  <si>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</si>
  <si>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</si>
  <si>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</si>
  <si>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</si>
  <si>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</si>
  <si>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</si>
  <si>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</si>
  <si>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</si>
  <si>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</si>
  <si>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</si>
  <si>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</si>
  <si>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</si>
  <si>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</si>
  <si>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</si>
  <si>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</si>
  <si>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</si>
  <si>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</si>
  <si>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</si>
  <si>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</si>
  <si>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</si>
  <si>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</si>
  <si>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</si>
  <si>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</si>
  <si>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</si>
  <si>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</si>
  <si>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</si>
  <si>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</si>
  <si>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</si>
  <si>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</si>
  <si>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</si>
  <si>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</si>
  <si>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</si>
  <si>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</si>
  <si>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</si>
  <si>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</si>
  <si>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</si>
  <si>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</si>
  <si>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</si>
  <si>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</si>
  <si>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</si>
  <si>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</si>
  <si>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</si>
  <si>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</si>
  <si>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</si>
  <si>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</si>
  <si>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</si>
  <si>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</si>
  <si>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</si>
  <si>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</si>
  <si>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</si>
  <si>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</si>
  <si>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</si>
  <si>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</si>
  <si>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</si>
  <si>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</si>
  <si>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</si>
  <si>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</si>
  <si>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</si>
  <si>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</si>
  <si>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</si>
  <si>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</si>
  <si>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</si>
  <si>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</si>
  <si>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</si>
  <si>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</si>
  <si>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</si>
  <si>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</si>
  <si>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</si>
  <si>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</si>
  <si>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</si>
  <si>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</si>
  <si>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</si>
  <si>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</si>
  <si>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</si>
  <si>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</si>
  <si>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</si>
  <si>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</si>
  <si>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</si>
  <si>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</si>
  <si>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</si>
  <si>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</si>
  <si>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</si>
  <si>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</si>
  <si>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</si>
  <si>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</si>
  <si>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</si>
  <si>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</si>
  <si>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</si>
  <si>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</si>
  <si>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</si>
  <si>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</si>
  <si>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</si>
  <si>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</si>
  <si>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</si>
  <si>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</si>
  <si>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</si>
  <si>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</si>
  <si>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</si>
  <si>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</si>
  <si>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</si>
  <si>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</si>
  <si>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</si>
  <si>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</si>
  <si>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</si>
  <si>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</si>
  <si>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</si>
  <si>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</si>
  <si>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</si>
  <si>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</si>
  <si>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</si>
  <si>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</si>
  <si>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</si>
  <si>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</si>
  <si>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</si>
  <si>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</si>
  <si>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</si>
  <si>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</si>
  <si>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</si>
  <si>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</si>
  <si>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</si>
  <si>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</si>
  <si>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</si>
  <si>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</si>
  <si>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</si>
  <si>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</si>
  <si>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</si>
  <si>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</si>
  <si>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</si>
  <si>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</si>
  <si>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</si>
  <si>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</si>
  <si>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</si>
  <si>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</si>
  <si>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</si>
  <si>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</si>
  <si>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</si>
  <si>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</si>
  <si>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</si>
  <si>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</si>
  <si>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</si>
  <si>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</si>
  <si>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</si>
  <si>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</si>
  <si>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</si>
  <si>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</si>
  <si>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</si>
  <si>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</si>
  <si>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</si>
  <si>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</si>
  <si>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</si>
  <si>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</si>
  <si>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</si>
  <si>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</si>
  <si>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</si>
  <si>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</si>
  <si>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</si>
  <si>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</si>
  <si>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</si>
  <si>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</si>
  <si>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</si>
  <si>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</si>
  <si>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</si>
  <si>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</si>
  <si>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</si>
  <si>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</si>
  <si>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</si>
  <si>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</si>
  <si>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</si>
  <si>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</si>
  <si>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</si>
  <si>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</si>
  <si>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</si>
  <si>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</si>
  <si>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</si>
  <si>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</si>
  <si>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</si>
  <si>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</si>
  <si>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</si>
  <si>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</si>
  <si>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</si>
  <si>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</si>
  <si>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</si>
  <si>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</si>
  <si>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</si>
  <si>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</si>
  <si>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</si>
  <si>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</si>
  <si>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</si>
  <si>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</si>
  <si>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</si>
  <si>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</si>
  <si>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</si>
  <si>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</si>
  <si>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</si>
  <si>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</si>
  <si>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</si>
  <si>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</si>
  <si>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</si>
  <si>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</si>
  <si>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</si>
  <si>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</si>
  <si>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</si>
  <si>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</si>
  <si>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</si>
  <si>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</si>
  <si>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</si>
  <si>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</si>
  <si>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</si>
  <si>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</si>
  <si>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</si>
  <si>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</si>
  <si>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</si>
  <si>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</si>
  <si>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</si>
  <si>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</si>
  <si>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</si>
  <si>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</si>
  <si>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</si>
  <si>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</si>
  <si>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</si>
  <si>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</si>
  <si>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</si>
  <si>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</si>
  <si>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</si>
  <si>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</si>
  <si>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</si>
  <si>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</si>
  <si>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</si>
  <si>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</si>
  <si>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</si>
  <si>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</si>
  <si>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</si>
  <si>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</si>
  <si>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</si>
  <si>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</si>
  <si>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</si>
  <si>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</si>
  <si>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</si>
  <si>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</si>
  <si>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</si>
  <si>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</si>
  <si>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</si>
  <si>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</si>
  <si>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</si>
  <si>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</si>
  <si>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</si>
  <si>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</si>
  <si>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</si>
  <si>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</si>
  <si>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</si>
  <si>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</si>
  <si>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</si>
  <si>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</si>
  <si>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</si>
  <si>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</si>
  <si>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</si>
  <si>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</si>
  <si>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</si>
  <si>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</si>
  <si>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</si>
  <si>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</si>
  <si>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</si>
  <si>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</si>
  <si>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</si>
  <si>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</si>
  <si>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</si>
  <si>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</si>
  <si>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</si>
  <si>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</si>
  <si>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</si>
  <si>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</si>
  <si>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</si>
  <si>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</si>
  <si>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</si>
  <si>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</si>
  <si>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</si>
  <si>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</si>
  <si>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</si>
  <si>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</si>
  <si>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</si>
  <si>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</si>
  <si>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</si>
  <si>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</si>
  <si>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</si>
  <si>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</si>
  <si>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</si>
  <si>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</si>
  <si>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</si>
  <si>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</si>
  <si>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</si>
  <si>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</si>
  <si>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</si>
  <si>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</si>
  <si>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</si>
  <si>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</si>
  <si>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</si>
  <si>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</si>
  <si>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</si>
  <si>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</si>
  <si>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</si>
  <si>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</si>
  <si>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</si>
  <si>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</si>
  <si>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</si>
  <si>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</si>
  <si>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</si>
  <si>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</si>
  <si>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</si>
  <si>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</si>
  <si>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</si>
  <si>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</si>
  <si>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</si>
  <si>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</si>
  <si>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</si>
  <si>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</si>
  <si>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</si>
  <si>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</si>
  <si>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</si>
  <si>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</si>
  <si>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</si>
  <si>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</si>
  <si>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</si>
  <si>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</si>
  <si>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</si>
  <si>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</si>
  <si>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</si>
  <si>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</si>
  <si>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</si>
  <si>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</si>
  <si>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</si>
  <si>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</si>
  <si>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</si>
  <si>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</si>
  <si>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</si>
  <si>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</si>
  <si>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</si>
  <si>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</si>
  <si>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</si>
  <si>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</si>
  <si>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</si>
  <si>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</si>
  <si>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</si>
  <si>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</si>
  <si>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</si>
  <si>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</si>
  <si>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</si>
  <si>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</si>
  <si>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</si>
  <si>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</si>
  <si>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</si>
  <si>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</si>
  <si>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</si>
  <si>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</si>
  <si>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</si>
  <si>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</si>
  <si>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</si>
  <si>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</si>
  <si>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</si>
  <si>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</si>
  <si>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</si>
  <si>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</si>
  <si>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</si>
  <si>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</si>
  <si>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</si>
  <si>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</si>
  <si>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</si>
  <si>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</si>
  <si>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</si>
  <si>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</si>
  <si>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</si>
  <si>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</si>
  <si>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</si>
  <si>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</si>
  <si>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</si>
  <si>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</si>
  <si>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</si>
  <si>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</si>
  <si>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</si>
  <si>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</si>
  <si>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</si>
  <si>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</si>
  <si>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</si>
  <si>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</si>
  <si>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</si>
  <si>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</si>
  <si>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</si>
  <si>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</si>
  <si>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</si>
  <si>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</si>
  <si>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</si>
  <si>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</si>
  <si>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</si>
  <si>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</si>
  <si>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</si>
  <si>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</si>
  <si>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</si>
  <si>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</si>
  <si>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</si>
  <si>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</si>
  <si>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</si>
  <si>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</si>
  <si>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</si>
  <si>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</si>
  <si>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</si>
  <si>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</si>
  <si>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</si>
  <si>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</si>
  <si>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</si>
  <si>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</si>
  <si>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</si>
  <si>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</si>
  <si>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</si>
  <si>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</si>
  <si>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</si>
  <si>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</si>
  <si>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</si>
  <si>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</si>
  <si>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</si>
  <si>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</si>
  <si>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</si>
  <si>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</si>
  <si>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</si>
  <si>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</si>
  <si>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</si>
  <si>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</si>
  <si>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</si>
  <si>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</si>
  <si>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</si>
  <si>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</si>
  <si>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</si>
  <si>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</si>
  <si>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</si>
  <si>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</si>
  <si>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</si>
  <si>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</si>
  <si>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</si>
  <si>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</si>
  <si>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</si>
  <si>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</si>
  <si>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</si>
  <si>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</si>
  <si>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</si>
  <si>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</si>
  <si>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</si>
  <si>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</si>
  <si>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</si>
  <si>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</si>
  <si>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</si>
  <si>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</si>
  <si>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</si>
  <si>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</si>
  <si>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</si>
  <si>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</si>
  <si>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</si>
  <si>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</si>
  <si>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</si>
  <si>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</si>
  <si>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</si>
  <si>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</si>
  <si>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</si>
  <si>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</si>
  <si>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</si>
  <si>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</si>
  <si>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</si>
  <si>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</si>
  <si>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</si>
  <si>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</si>
  <si>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</si>
  <si>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</si>
  <si>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</si>
  <si>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</si>
  <si>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</si>
  <si>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</si>
  <si>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</si>
  <si>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</si>
  <si>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</si>
  <si>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</si>
  <si>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</si>
  <si>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</si>
  <si>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</si>
  <si>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</si>
  <si>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</si>
  <si>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</si>
  <si>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</si>
  <si>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</si>
  <si>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</si>
  <si>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</si>
  <si>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</si>
  <si>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</si>
  <si>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</si>
  <si>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</si>
  <si>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</si>
  <si>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</si>
  <si>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</si>
  <si>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</si>
  <si>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</si>
  <si>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</si>
  <si>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</si>
  <si>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</si>
  <si>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</si>
  <si>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</si>
  <si>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</si>
  <si>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</si>
  <si>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</si>
  <si>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</si>
  <si>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</si>
  <si>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</si>
  <si>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</si>
  <si>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</si>
  <si>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</si>
  <si>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</si>
  <si>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</si>
  <si>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</si>
  <si>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</si>
  <si>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</si>
  <si>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</si>
  <si>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</si>
  <si>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</si>
  <si>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</si>
  <si>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</si>
  <si>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</si>
  <si>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</si>
  <si>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</si>
  <si>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</si>
  <si>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</si>
  <si>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</si>
  <si>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</si>
  <si>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</si>
  <si>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</si>
  <si>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</si>
  <si>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</si>
  <si>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</si>
  <si>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</si>
  <si>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</si>
  <si>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</si>
  <si>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</si>
  <si>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</si>
  <si>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</si>
  <si>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</si>
  <si>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</si>
  <si>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</si>
  <si>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</si>
  <si>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</si>
  <si>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</si>
  <si>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</si>
  <si>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</si>
  <si>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</si>
  <si>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</si>
  <si>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</si>
  <si>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</si>
  <si>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</si>
  <si>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</si>
  <si>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</si>
  <si>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</si>
  <si>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</si>
  <si>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</si>
  <si>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</si>
  <si>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</si>
  <si>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</si>
  <si>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</si>
  <si>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</si>
  <si>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</si>
  <si>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</si>
  <si>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</si>
  <si>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</si>
  <si>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</si>
  <si>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</si>
  <si>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</si>
  <si>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</si>
  <si>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</si>
  <si>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</si>
  <si>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</si>
  <si>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</si>
  <si>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</si>
  <si>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</si>
  <si>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</si>
  <si>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</si>
  <si>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</si>
  <si>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</si>
  <si>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</si>
  <si>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</si>
  <si>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</si>
  <si>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</si>
  <si>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</si>
  <si>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</si>
  <si>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</si>
  <si>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</si>
  <si>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</si>
  <si>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</si>
  <si>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</si>
  <si>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</si>
  <si>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</si>
  <si>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</si>
  <si>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</si>
  <si>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</si>
  <si>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</si>
  <si>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</si>
  <si>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</si>
  <si>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</si>
  <si>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</si>
  <si>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</si>
  <si>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</si>
  <si>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</si>
  <si>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</si>
  <si>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</si>
  <si>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</si>
  <si>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</si>
  <si>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</si>
  <si>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</si>
  <si>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</si>
  <si>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</si>
  <si>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</si>
  <si>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</si>
  <si>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</si>
  <si>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</si>
  <si>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</si>
  <si>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</si>
  <si>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</si>
  <si>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</si>
  <si>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</si>
  <si>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</si>
  <si>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</si>
  <si>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</si>
  <si>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</si>
  <si>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</si>
  <si>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</si>
  <si>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</si>
  <si>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</si>
  <si>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</si>
  <si>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</si>
  <si>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</si>
  <si>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</si>
  <si>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</si>
  <si>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</si>
  <si>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</si>
  <si>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</si>
  <si>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</si>
  <si>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</si>
  <si>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</si>
  <si>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</si>
  <si>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</si>
  <si>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</si>
  <si>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</si>
  <si>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</si>
  <si>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</si>
  <si>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</si>
  <si>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</si>
  <si>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</si>
  <si>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</si>
  <si>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</si>
  <si>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</si>
  <si>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</si>
  <si>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</si>
  <si>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</si>
  <si>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</si>
  <si>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</si>
  <si>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</si>
  <si>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</si>
  <si>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</si>
  <si>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</si>
  <si>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</si>
  <si>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</si>
  <si>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</si>
  <si>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</si>
  <si>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</si>
  <si>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</si>
  <si>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</si>
  <si>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</si>
  <si>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</si>
  <si>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</si>
  <si>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</si>
  <si>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</si>
  <si>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</si>
  <si>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</si>
  <si>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</si>
  <si>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</si>
  <si>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</si>
  <si>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</si>
  <si>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</si>
  <si>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</si>
  <si>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</si>
  <si>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</si>
  <si>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</si>
  <si>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</si>
  <si>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</si>
  <si>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</si>
  <si>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</si>
  <si>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</si>
  <si>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</si>
  <si>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</si>
  <si>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</si>
  <si>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</si>
  <si>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</si>
  <si>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</si>
  <si>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</si>
  <si>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</si>
  <si>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</si>
  <si>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</si>
  <si>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</si>
  <si>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</si>
  <si>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</si>
  <si>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</si>
  <si>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</si>
  <si>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</si>
  <si>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</si>
  <si>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</si>
  <si>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</si>
  <si>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</si>
  <si>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</si>
  <si>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</si>
  <si>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</si>
  <si>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</si>
  <si>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</si>
  <si>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</si>
  <si>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</si>
  <si>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</si>
  <si>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</si>
  <si>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</si>
  <si>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</si>
  <si>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</si>
  <si>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</si>
  <si>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</si>
  <si>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</si>
  <si>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</si>
  <si>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</si>
  <si>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</si>
  <si>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</si>
  <si>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</si>
  <si>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</si>
  <si>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</si>
  <si>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</si>
  <si>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</si>
  <si>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</si>
  <si>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</si>
  <si>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</si>
  <si>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</si>
  <si>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</si>
  <si>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</si>
  <si>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</si>
  <si>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</si>
  <si>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</si>
  <si>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</si>
  <si>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</si>
  <si>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</si>
  <si>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</si>
  <si>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</si>
  <si>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</si>
  <si>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</si>
  <si>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</si>
  <si>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</si>
  <si>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</si>
  <si>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</si>
  <si>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</si>
  <si>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</si>
  <si>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</si>
  <si>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</si>
  <si>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</si>
  <si>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</si>
  <si>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</si>
  <si>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</si>
  <si>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</si>
  <si>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</si>
  <si>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</si>
  <si>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</si>
  <si>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</si>
  <si>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</si>
  <si>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</si>
  <si>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</si>
  <si>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</si>
  <si>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</si>
  <si>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</si>
  <si>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</si>
  <si>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</si>
  <si>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</si>
  <si>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</si>
  <si>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</si>
  <si>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</si>
  <si>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</si>
  <si>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</si>
  <si>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</si>
  <si>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</si>
  <si>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</si>
  <si>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</si>
  <si>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</si>
  <si>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</si>
  <si>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</si>
  <si>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</si>
  <si>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</si>
  <si>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</si>
  <si>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</si>
  <si>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</si>
  <si>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</si>
  <si>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</si>
  <si>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</si>
  <si>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</si>
  <si>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</si>
  <si>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</si>
  <si>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</si>
  <si>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</si>
  <si>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</si>
  <si>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</si>
  <si>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</si>
  <si>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</si>
  <si>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</si>
  <si>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</si>
  <si>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</si>
  <si>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</si>
  <si>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</si>
  <si>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</si>
  <si>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</si>
  <si>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</si>
  <si>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</si>
  <si>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</si>
  <si>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</si>
  <si>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</si>
  <si>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</si>
  <si>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</si>
  <si>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</si>
  <si>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</si>
  <si>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</si>
  <si>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</si>
  <si>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</si>
  <si>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</si>
  <si>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</si>
  <si>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</si>
  <si>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</si>
  <si>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</si>
  <si>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</si>
  <si>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</si>
  <si>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</si>
  <si>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</si>
  <si>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</si>
  <si>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</si>
  <si>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</si>
  <si>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</si>
  <si>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</si>
  <si>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</si>
  <si>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</si>
  <si>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</si>
  <si>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</si>
  <si>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</si>
  <si>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</si>
  <si>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</si>
  <si>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</si>
  <si>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</si>
  <si>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</si>
  <si>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</si>
  <si>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</si>
  <si>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</si>
  <si>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</si>
  <si>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</si>
  <si>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</si>
  <si>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</si>
  <si>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</si>
  <si>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</si>
  <si>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</si>
  <si>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</si>
  <si>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</si>
  <si>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</si>
  <si>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</si>
  <si>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</si>
  <si>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</si>
  <si>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</si>
  <si>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</si>
  <si>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</si>
  <si>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</si>
  <si>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</si>
  <si>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</si>
  <si>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</si>
  <si>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</si>
  <si>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</si>
  <si>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</si>
  <si>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</si>
  <si>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</si>
  <si>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</si>
  <si>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</si>
  <si>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</si>
  <si>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</si>
  <si>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</si>
  <si>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</si>
  <si>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</si>
  <si>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</si>
  <si>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</si>
  <si>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</si>
  <si>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</si>
  <si>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</si>
  <si>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</si>
  <si>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</si>
  <si>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</si>
  <si>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</si>
  <si>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</si>
  <si>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</si>
  <si>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</si>
  <si>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</si>
  <si>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</si>
  <si>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</si>
  <si>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</si>
  <si>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</si>
  <si>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</si>
  <si>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</si>
  <si>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</si>
  <si>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</si>
  <si>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</si>
  <si>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</si>
  <si>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</si>
  <si>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</si>
  <si>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</si>
  <si>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</si>
  <si>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</si>
  <si>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</si>
  <si>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</si>
  <si>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</si>
  <si>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</si>
  <si>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</si>
  <si>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</si>
  <si>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</si>
  <si>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</si>
  <si>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</si>
  <si>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</si>
  <si>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</si>
  <si>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</si>
  <si>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</si>
  <si>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</si>
  <si>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</si>
  <si>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</si>
  <si>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</si>
  <si>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</si>
  <si>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</si>
  <si>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</si>
  <si>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</si>
  <si>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</si>
  <si>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</si>
  <si>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</si>
  <si>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</si>
  <si>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</si>
  <si>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</si>
  <si>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</si>
  <si>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</si>
  <si>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</si>
  <si>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</si>
  <si>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</si>
  <si>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</si>
  <si>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</si>
  <si>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</si>
  <si>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</si>
  <si>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</si>
  <si>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</si>
  <si>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</si>
  <si>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</si>
  <si>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</si>
  <si>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</si>
  <si>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</si>
  <si>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</si>
  <si>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</si>
  <si>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</si>
  <si>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</si>
  <si>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</si>
  <si>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</si>
  <si>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</si>
  <si>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</si>
  <si>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</si>
  <si>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</si>
  <si>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</si>
  <si>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</si>
  <si>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</si>
  <si>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</si>
  <si>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</si>
  <si>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</si>
  <si>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</si>
  <si>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</si>
  <si>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</si>
  <si>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</si>
  <si>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</si>
  <si>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</si>
  <si>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</si>
  <si>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</si>
  <si>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</si>
  <si>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</si>
  <si>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</si>
  <si>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</si>
  <si>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</si>
  <si>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</si>
  <si>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</si>
  <si>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</si>
  <si>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</si>
  <si>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</si>
  <si>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</si>
  <si>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</si>
  <si>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</si>
  <si>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</si>
  <si>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</si>
  <si>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</si>
  <si>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</si>
  <si>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</si>
  <si>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</si>
  <si>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</si>
  <si>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</si>
  <si>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</si>
  <si>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</si>
  <si>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</si>
  <si>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</si>
  <si>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</si>
  <si>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</si>
  <si>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</si>
  <si>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</si>
  <si>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</si>
  <si>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</si>
  <si>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</si>
  <si>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</si>
  <si>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</si>
  <si>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</si>
  <si>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</si>
  <si>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</si>
  <si>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</si>
  <si>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</si>
  <si>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</si>
  <si>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</si>
  <si>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</si>
  <si>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</si>
  <si>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</si>
  <si>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</si>
  <si>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</si>
  <si>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</si>
  <si>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</si>
  <si>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</si>
  <si>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</si>
  <si>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</si>
  <si>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</si>
  <si>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</si>
  <si>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</si>
  <si>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</si>
  <si>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</si>
  <si>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</si>
  <si>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</si>
  <si>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</si>
  <si>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</si>
  <si>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</si>
  <si>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</si>
  <si>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</si>
  <si>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</si>
  <si>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</si>
  <si>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</si>
  <si>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</si>
  <si>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</si>
  <si>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</si>
  <si>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</si>
  <si>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</si>
  <si>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</si>
  <si>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</si>
  <si>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</si>
  <si>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</si>
  <si>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</si>
  <si>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</si>
  <si>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</si>
  <si>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</si>
  <si>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</si>
  <si>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</si>
  <si>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</si>
  <si>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</si>
  <si>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</si>
  <si>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</si>
  <si>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</si>
  <si>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</si>
  <si>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</si>
  <si>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</si>
  <si>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</si>
  <si>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</si>
  <si>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</si>
  <si>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</si>
  <si>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</si>
  <si>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</si>
  <si>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</si>
  <si>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</si>
  <si>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</si>
  <si>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</si>
  <si>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</si>
  <si>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</si>
  <si>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</si>
  <si>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</si>
  <si>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</si>
  <si>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</si>
  <si>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</si>
  <si>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</si>
  <si>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</si>
  <si>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</si>
  <si>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</si>
  <si>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</si>
  <si>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</si>
  <si>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</si>
  <si>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</si>
  <si>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</si>
  <si>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</si>
  <si>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</si>
  <si>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</si>
  <si>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</si>
  <si>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</si>
  <si>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</si>
  <si>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</si>
  <si>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</si>
  <si>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</si>
  <si>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</si>
  <si>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</si>
  <si>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</si>
  <si>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</si>
  <si>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</si>
  <si>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</si>
  <si>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</si>
  <si>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</si>
  <si>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</si>
  <si>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</si>
  <si>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</si>
  <si>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</si>
  <si>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</si>
  <si>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</si>
  <si>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</si>
  <si>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</si>
  <si>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</si>
  <si>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</si>
  <si>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</si>
  <si>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</si>
  <si>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</si>
  <si>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</si>
  <si>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</si>
  <si>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</si>
  <si>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</si>
  <si>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</si>
  <si>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</si>
  <si>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</si>
  <si>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</si>
  <si>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</si>
  <si>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</si>
  <si>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</si>
  <si>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</si>
  <si>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</si>
  <si>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</si>
  <si>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</si>
  <si>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</si>
  <si>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</si>
  <si>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</si>
  <si>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</si>
  <si>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</si>
  <si>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</si>
  <si>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</si>
  <si>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</si>
  <si>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</si>
  <si>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</si>
  <si>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</si>
  <si>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</si>
  <si>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</si>
  <si>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</si>
  <si>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</si>
  <si>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</si>
  <si>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</si>
  <si>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</si>
  <si>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</si>
  <si>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</si>
  <si>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</si>
  <si>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</si>
  <si>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</si>
  <si>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</si>
  <si>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</si>
  <si>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</si>
  <si>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</si>
  <si>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</si>
  <si>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</si>
  <si>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</si>
  <si>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</si>
  <si>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</si>
  <si>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</si>
  <si>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</si>
  <si>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</si>
  <si>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</si>
  <si>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</si>
  <si>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</si>
  <si>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</si>
  <si>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</si>
  <si>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</si>
  <si>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</si>
  <si>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</si>
  <si>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</si>
  <si>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</si>
  <si>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</si>
  <si>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</si>
  <si>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</si>
  <si>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</si>
  <si>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</si>
  <si>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</si>
  <si>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</si>
  <si>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</si>
  <si>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</si>
  <si>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</si>
  <si>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</si>
  <si>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</si>
  <si>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</si>
  <si>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</si>
  <si>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</si>
  <si>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</si>
  <si>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</si>
  <si>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</si>
  <si>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</si>
  <si>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</si>
  <si>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</si>
  <si>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</si>
  <si>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</si>
  <si>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</si>
  <si>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</si>
  <si>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</si>
  <si>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</si>
  <si>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</si>
  <si>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</si>
  <si>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</si>
  <si>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</si>
  <si>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</si>
  <si>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</si>
  <si>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</si>
  <si>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</si>
  <si>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</si>
  <si>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</si>
  <si>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</si>
  <si>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</si>
  <si>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</si>
  <si>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</si>
  <si>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</si>
  <si>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</si>
  <si>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</si>
  <si>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</si>
  <si>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</si>
  <si>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</si>
  <si>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</si>
  <si>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</si>
  <si>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</si>
  <si>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</si>
  <si>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</si>
  <si>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</si>
  <si>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</si>
  <si>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</si>
  <si>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</si>
  <si>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</si>
  <si>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</si>
  <si>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</si>
  <si>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</si>
  <si>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</si>
  <si>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</si>
  <si>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</si>
  <si>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</si>
  <si>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</si>
  <si>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</si>
  <si>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</si>
  <si>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</si>
  <si>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</si>
  <si>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</si>
  <si>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</si>
  <si>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</si>
  <si>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</si>
  <si>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</si>
  <si>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</si>
  <si>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</si>
  <si>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</si>
  <si>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</si>
  <si>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</si>
  <si>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</si>
  <si>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</si>
  <si>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</si>
  <si>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</si>
  <si>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</si>
  <si>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</si>
  <si>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</si>
  <si>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</si>
  <si>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</si>
  <si>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</si>
  <si>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</si>
  <si>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</si>
  <si>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</si>
  <si>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</si>
  <si>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</si>
  <si>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</si>
  <si>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</si>
  <si>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</si>
  <si>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</si>
  <si>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</si>
  <si>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</si>
  <si>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</si>
  <si>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</si>
  <si>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</si>
  <si>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</si>
  <si>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</si>
  <si>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</si>
  <si>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</si>
  <si>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</si>
  <si>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</si>
  <si>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</si>
  <si>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</si>
  <si>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</si>
  <si>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</si>
  <si>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</si>
  <si>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</si>
  <si>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</si>
  <si>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</si>
  <si>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</si>
  <si>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</si>
  <si>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</si>
  <si>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</si>
  <si>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</si>
  <si>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</si>
  <si>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</si>
  <si>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</si>
  <si>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</si>
  <si>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</si>
  <si>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</si>
  <si>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</si>
  <si>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</si>
  <si>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</si>
  <si>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</si>
  <si>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</si>
  <si>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</si>
  <si>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</si>
  <si>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</si>
  <si>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</si>
  <si>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</si>
  <si>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</si>
  <si>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</si>
  <si>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</si>
  <si>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</si>
  <si>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</si>
  <si>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</si>
  <si>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</si>
  <si>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</si>
  <si>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</si>
  <si>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</si>
  <si>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</si>
  <si>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</si>
  <si>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</si>
  <si>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</si>
  <si>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</si>
  <si>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</si>
  <si>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</si>
  <si>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</si>
  <si>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</si>
  <si>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</si>
  <si>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</si>
  <si>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</si>
  <si>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</si>
  <si>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</si>
  <si>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</si>
  <si>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</si>
  <si>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</si>
  <si>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</si>
  <si>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</si>
  <si>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</si>
  <si>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</si>
  <si>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</si>
  <si>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</si>
  <si>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</si>
  <si>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</si>
  <si>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</si>
  <si>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</si>
  <si>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</si>
  <si>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</si>
  <si>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</si>
  <si>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</si>
  <si>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</si>
  <si>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</si>
  <si>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</si>
  <si>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</si>
  <si>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</si>
  <si>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</si>
  <si>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</si>
  <si>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</si>
  <si>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</si>
  <si>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</si>
  <si>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</si>
  <si>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</si>
  <si>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</si>
  <si>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</si>
  <si>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</si>
  <si>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</si>
  <si>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</si>
  <si>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</si>
  <si>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</si>
  <si>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</si>
  <si>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</si>
  <si>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</si>
  <si>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</si>
  <si>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</si>
  <si>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</si>
  <si>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</si>
  <si>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</si>
  <si>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</si>
  <si>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</si>
  <si>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</si>
  <si>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</si>
  <si>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</si>
  <si>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</si>
  <si>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</si>
  <si>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</si>
  <si>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</si>
  <si>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</si>
  <si>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</si>
  <si>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</si>
  <si>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</si>
  <si>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</si>
  <si>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</si>
  <si>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</si>
  <si>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</si>
  <si>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</si>
  <si>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</si>
  <si>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</si>
  <si>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</si>
  <si>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</si>
  <si>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</si>
  <si>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</si>
  <si>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</si>
  <si>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</si>
  <si>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</si>
  <si>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</si>
  <si>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</si>
  <si>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</si>
  <si>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</si>
  <si>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</si>
  <si>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</si>
  <si>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</si>
  <si>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</si>
  <si>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</si>
  <si>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</si>
  <si>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</si>
  <si>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</si>
  <si>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</si>
  <si>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</si>
  <si>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</si>
  <si>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</si>
  <si>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</si>
  <si>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</si>
  <si>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</si>
  <si>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</si>
  <si>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</si>
  <si>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</si>
  <si>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</si>
  <si>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</si>
  <si>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</si>
  <si>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</si>
  <si>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</si>
  <si>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</si>
  <si>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</si>
  <si>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</si>
  <si>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</si>
  <si>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</si>
  <si>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</si>
  <si>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</si>
  <si>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</si>
  <si>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</si>
  <si>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</si>
  <si>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</si>
  <si>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</si>
  <si>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</si>
  <si>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</si>
  <si>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</si>
  <si>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</si>
  <si>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</si>
  <si>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</si>
  <si>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</si>
  <si>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</si>
  <si>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</si>
  <si>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</si>
  <si>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</si>
  <si>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</si>
  <si>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</si>
  <si>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</si>
  <si>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</si>
  <si>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</si>
  <si>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</si>
  <si>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</si>
  <si>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</si>
  <si>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</si>
  <si>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</si>
  <si>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</si>
  <si>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</si>
  <si>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</si>
  <si>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</si>
  <si>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</si>
  <si>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</si>
  <si>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</si>
  <si>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</si>
  <si>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</si>
  <si>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</si>
  <si>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</si>
  <si>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</si>
  <si>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</si>
  <si>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</si>
  <si>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</si>
  <si>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</si>
  <si>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</si>
  <si>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</si>
  <si>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</si>
  <si>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</si>
  <si>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</si>
  <si>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</si>
  <si>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</si>
  <si>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</si>
  <si>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</si>
  <si>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</si>
  <si>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</si>
  <si>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</si>
  <si>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</si>
  <si>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</si>
  <si>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</si>
  <si>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</si>
  <si>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</si>
  <si>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</si>
  <si>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</si>
  <si>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</si>
  <si>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</si>
  <si>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</si>
  <si>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</si>
  <si>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</si>
  <si>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</si>
  <si>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</si>
  <si>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</si>
  <si>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</si>
  <si>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</si>
  <si>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</si>
  <si>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</si>
  <si>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</si>
  <si>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</si>
  <si>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</si>
  <si>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</si>
  <si>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</si>
  <si>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</si>
  <si>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</si>
  <si>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</si>
  <si>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</si>
  <si>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</si>
  <si>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</si>
  <si>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</si>
  <si>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</si>
  <si>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</si>
  <si>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</si>
  <si>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</si>
  <si>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</si>
  <si>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</si>
  <si>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</si>
  <si>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</si>
  <si>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</si>
  <si>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</si>
  <si>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</si>
  <si>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</si>
  <si>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</si>
  <si>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</si>
  <si>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</si>
  <si>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</si>
  <si>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</si>
  <si>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</si>
  <si>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</si>
  <si>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</si>
  <si>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</si>
  <si>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</si>
  <si>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</si>
  <si>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</si>
  <si>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</si>
  <si>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</si>
  <si>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</si>
  <si>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</si>
  <si>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</si>
  <si>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</si>
  <si>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</si>
  <si>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</si>
  <si>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</si>
  <si>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</si>
  <si>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</si>
  <si>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</si>
  <si>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</si>
  <si>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</si>
  <si>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</si>
  <si>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</si>
  <si>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</si>
  <si>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</si>
  <si>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</si>
  <si>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</si>
  <si>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</si>
  <si>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</si>
  <si>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</si>
  <si>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</si>
  <si>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</si>
  <si>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</si>
  <si>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</si>
  <si>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</si>
  <si>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</si>
  <si>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</si>
  <si>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</si>
  <si>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</si>
  <si>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</si>
  <si>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</si>
  <si>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</si>
  <si>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</si>
  <si>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</si>
  <si>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</si>
  <si>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</si>
  <si>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</si>
  <si>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</si>
  <si>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</si>
  <si>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</si>
  <si>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</si>
  <si>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</si>
  <si>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</si>
  <si>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</si>
  <si>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</si>
  <si>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</si>
  <si>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</si>
  <si>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</si>
  <si>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</si>
  <si>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</si>
  <si>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</si>
  <si>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</si>
  <si>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</si>
  <si>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</si>
  <si>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</si>
  <si>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</si>
  <si>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</si>
  <si>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</si>
  <si>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</si>
  <si>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</si>
  <si>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</si>
  <si>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</si>
  <si>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</si>
  <si>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</si>
  <si>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</si>
  <si>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</si>
  <si>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</si>
  <si>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</si>
  <si>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</si>
  <si>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</si>
  <si>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</si>
  <si>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</si>
  <si>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</si>
  <si>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</si>
  <si>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</si>
  <si>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</si>
  <si>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</si>
  <si>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</si>
  <si>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</si>
  <si>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</si>
  <si>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</si>
  <si>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</si>
  <si>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</si>
  <si>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</si>
  <si>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</si>
  <si>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</si>
  <si>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</si>
  <si>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</si>
  <si>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</si>
  <si>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</si>
  <si>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</si>
  <si>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</si>
  <si>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</si>
  <si>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</si>
  <si>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</si>
  <si>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</si>
  <si>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</si>
  <si>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</si>
  <si>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</si>
  <si>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</si>
  <si>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</si>
  <si>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</si>
  <si>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</si>
  <si>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</si>
  <si>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</si>
  <si>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</si>
  <si>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</si>
  <si>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</si>
  <si>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</si>
  <si>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</si>
  <si>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</si>
  <si>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</si>
  <si>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</si>
  <si>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</si>
  <si>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</si>
  <si>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</si>
  <si>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</si>
  <si>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</si>
  <si>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</si>
  <si>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</si>
  <si>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</si>
  <si>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</si>
  <si>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</si>
  <si>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</si>
  <si>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</si>
  <si>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</si>
  <si>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</si>
  <si>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</si>
  <si>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</si>
  <si>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</si>
  <si>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</si>
  <si>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</si>
  <si>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</si>
  <si>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</si>
  <si>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</si>
  <si>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</si>
  <si>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</si>
  <si>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</si>
  <si>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</si>
  <si>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</si>
  <si>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</si>
  <si>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</si>
  <si>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</si>
  <si>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</si>
  <si>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</si>
  <si>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</si>
  <si>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</si>
  <si>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</si>
  <si>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</si>
  <si>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</si>
  <si>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</si>
  <si>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</si>
  <si>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</si>
  <si>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</si>
  <si>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</si>
  <si>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</si>
  <si>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</si>
  <si>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</si>
  <si>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</si>
  <si>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</si>
  <si>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</si>
  <si>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</si>
  <si>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</si>
  <si>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</si>
  <si>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</si>
  <si>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</si>
  <si>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</si>
  <si>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</si>
  <si>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</si>
  <si>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</si>
  <si>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</si>
  <si>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</si>
  <si>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</si>
  <si>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</si>
  <si>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</si>
  <si>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</si>
  <si>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</si>
  <si>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</si>
  <si>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</si>
  <si>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</si>
  <si>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</si>
  <si>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</si>
  <si>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</si>
  <si>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</si>
  <si>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</si>
  <si>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</si>
  <si>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</si>
  <si>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</si>
  <si>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</si>
  <si>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</si>
  <si>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</si>
  <si>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</si>
  <si>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</si>
  <si>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</si>
  <si>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</si>
  <si>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</si>
  <si>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</si>
  <si>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</si>
  <si>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</si>
  <si>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</si>
  <si>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</si>
  <si>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</si>
  <si>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</si>
  <si>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</si>
  <si>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</si>
  <si>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</si>
  <si>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</si>
  <si>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</si>
  <si>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</si>
  <si>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</si>
  <si>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</si>
  <si>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</si>
  <si>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</si>
  <si>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</si>
  <si>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</si>
  <si>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</si>
  <si>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</si>
  <si>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</si>
  <si>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</si>
  <si>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</si>
  <si>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</si>
  <si>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</si>
  <si>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</si>
  <si>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</si>
  <si>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</si>
  <si>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</si>
  <si>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</si>
  <si>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</si>
  <si>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</si>
  <si>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</si>
  <si>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</si>
  <si>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</si>
  <si>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</si>
  <si>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</si>
  <si>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</si>
  <si>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</si>
  <si>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</si>
  <si>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</si>
  <si>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</si>
  <si>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</si>
  <si>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</si>
  <si>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</si>
  <si>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</si>
  <si>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</si>
  <si>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</si>
  <si>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</si>
  <si>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</si>
  <si>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</si>
  <si>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</si>
  <si>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</si>
  <si>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</si>
  <si>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</si>
  <si>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</si>
  <si>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</si>
  <si>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</si>
  <si>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</si>
  <si>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</si>
  <si>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</si>
  <si>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</si>
  <si>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</si>
  <si>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</si>
  <si>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</si>
  <si>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</si>
  <si>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</si>
  <si>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</si>
  <si>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</si>
  <si>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</si>
  <si>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</si>
  <si>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</si>
  <si>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</si>
  <si>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</si>
  <si>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</si>
  <si>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</si>
  <si>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</si>
  <si>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</si>
  <si>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</si>
  <si>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</si>
  <si>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</si>
  <si>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</si>
  <si>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</si>
  <si>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</si>
  <si>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</si>
  <si>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</si>
  <si>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</si>
  <si>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</si>
  <si>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</si>
  <si>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</si>
  <si>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</si>
  <si>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</si>
  <si>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</si>
  <si>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</si>
  <si>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</si>
  <si>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</si>
  <si>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</si>
  <si>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</si>
  <si>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</si>
  <si>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</si>
  <si>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</si>
  <si>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</si>
  <si>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</si>
  <si>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</si>
  <si>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</si>
  <si>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</si>
  <si>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</si>
  <si>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</si>
  <si>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</si>
  <si>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</si>
  <si>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</si>
  <si>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</si>
  <si>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</si>
  <si>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</si>
  <si>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</si>
  <si>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</si>
  <si>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</si>
  <si>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</si>
  <si>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</si>
  <si>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</si>
  <si>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</si>
  <si>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</si>
  <si>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</si>
  <si>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</si>
  <si>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</si>
  <si>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</si>
  <si>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</si>
  <si>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</si>
  <si>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</si>
  <si>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</si>
  <si>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</si>
  <si>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</si>
  <si>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</si>
  <si>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</si>
  <si>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</si>
  <si>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</si>
  <si>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</si>
  <si>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</si>
  <si>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</si>
  <si>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</si>
  <si>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</si>
  <si>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</si>
  <si>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</si>
  <si>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</si>
  <si>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</si>
  <si>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</si>
  <si>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</si>
  <si>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</si>
  <si>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</si>
  <si>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</si>
  <si>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</si>
  <si>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</si>
  <si>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</si>
  <si>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</si>
  <si>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</si>
  <si>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</si>
  <si>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</si>
  <si>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</si>
  <si>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</si>
  <si>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</si>
  <si>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</si>
  <si>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</si>
  <si>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</si>
  <si>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</si>
  <si>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</si>
  <si>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</si>
  <si>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</si>
  <si>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</si>
  <si>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</si>
  <si>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</si>
  <si>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</si>
  <si>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</si>
  <si>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</si>
  <si>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</si>
  <si>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</si>
  <si>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</si>
  <si>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</si>
  <si>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</si>
  <si>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</si>
  <si>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</si>
  <si>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</si>
  <si>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</si>
  <si>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</si>
  <si>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</si>
  <si>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</si>
  <si>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</si>
  <si>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</si>
  <si>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</si>
  <si>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</si>
  <si>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</si>
  <si>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</si>
  <si>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</si>
  <si>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</si>
  <si>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</si>
  <si>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</si>
  <si>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</si>
  <si>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</si>
  <si>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</si>
  <si>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</si>
  <si>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</si>
  <si>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</si>
  <si>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</si>
  <si>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</si>
  <si>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</si>
  <si>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</si>
  <si>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</si>
  <si>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</si>
  <si>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</si>
  <si>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</si>
  <si>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</si>
  <si>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</si>
  <si>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</si>
  <si>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</si>
  <si>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</si>
  <si>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</si>
  <si>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</si>
  <si>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</si>
  <si>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</si>
  <si>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</si>
  <si>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</si>
  <si>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</si>
  <si>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</si>
  <si>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</si>
  <si>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</si>
  <si>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</si>
  <si>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</si>
  <si>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</si>
  <si>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</si>
  <si>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</si>
  <si>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</si>
  <si>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</si>
  <si>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</si>
  <si>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</si>
  <si>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</si>
  <si>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</si>
  <si>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</si>
  <si>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</si>
  <si>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</si>
  <si>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</si>
  <si>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</si>
  <si>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</si>
  <si>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</si>
  <si>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</si>
  <si>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</si>
  <si>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</si>
  <si>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</si>
  <si>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</si>
  <si>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</si>
  <si>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</si>
  <si>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</si>
  <si>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</si>
  <si>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</si>
  <si>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</si>
  <si>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</si>
  <si>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</si>
  <si>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</si>
  <si>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</si>
  <si>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</si>
  <si>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</si>
  <si>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</si>
  <si>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</si>
  <si>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</si>
  <si>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</si>
  <si>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</si>
  <si>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</si>
  <si>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</si>
  <si>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</si>
  <si>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</si>
  <si>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</si>
  <si>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</si>
  <si>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</si>
  <si>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</si>
  <si>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</si>
  <si>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</si>
  <si>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</si>
  <si>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</si>
  <si>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</si>
  <si>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</si>
  <si>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</si>
  <si>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</si>
  <si>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</si>
  <si>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</si>
  <si>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</si>
  <si>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</si>
  <si>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</si>
  <si>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</si>
  <si>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</si>
  <si>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</si>
  <si>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</si>
  <si>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</si>
  <si>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</si>
  <si>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</si>
  <si>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</si>
  <si>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</si>
  <si>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</si>
  <si>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</si>
  <si>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</si>
  <si>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</si>
  <si>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</si>
  <si>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</si>
  <si>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</si>
  <si>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</si>
  <si>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</si>
  <si>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</si>
  <si>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</si>
  <si>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</si>
  <si>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</si>
  <si>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</si>
  <si>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</si>
  <si>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</si>
  <si>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</si>
  <si>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</si>
  <si>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</si>
  <si>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</si>
  <si>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</si>
  <si>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</si>
  <si>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</si>
  <si>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</si>
  <si>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</si>
  <si>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</si>
  <si>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</si>
  <si>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</si>
  <si>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</si>
  <si>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</si>
  <si>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</si>
  <si>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</si>
  <si>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</si>
  <si>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</si>
  <si>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</si>
  <si>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</si>
  <si>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</si>
  <si>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</si>
  <si>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</si>
  <si>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</si>
  <si>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</si>
  <si>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</si>
  <si>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</si>
  <si>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</si>
  <si>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</si>
  <si>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</si>
  <si>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</si>
  <si>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</si>
  <si>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</si>
  <si>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</si>
  <si>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</si>
  <si>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</si>
  <si>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</si>
  <si>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</si>
  <si>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</si>
  <si>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</si>
  <si>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</si>
  <si>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</si>
  <si>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</si>
  <si>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</si>
  <si>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</si>
  <si>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</si>
  <si>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</si>
  <si>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</si>
  <si>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</si>
  <si>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</si>
  <si>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</si>
  <si>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</si>
  <si>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</si>
  <si>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</si>
  <si>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</si>
  <si>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</si>
  <si>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</si>
  <si>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</si>
  <si>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</si>
  <si>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</si>
  <si>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</si>
  <si>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</si>
  <si>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</si>
  <si>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</si>
  <si>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</si>
  <si>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</si>
  <si>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</si>
  <si>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</si>
  <si>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</si>
  <si>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</si>
  <si>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</si>
  <si>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</si>
  <si>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</si>
  <si>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</si>
  <si>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</si>
  <si>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</si>
  <si>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</si>
  <si>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</si>
  <si>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</si>
  <si>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</si>
  <si>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</si>
  <si>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</si>
  <si>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</si>
  <si>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</si>
  <si>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</si>
  <si>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</si>
  <si>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</si>
  <si>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</si>
  <si>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</si>
  <si>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</si>
  <si>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</si>
  <si>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</si>
  <si>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</si>
  <si>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</si>
  <si>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</si>
  <si>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</si>
  <si>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</si>
  <si>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</si>
  <si>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</si>
  <si>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</si>
  <si>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</si>
  <si>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</si>
  <si>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</si>
  <si>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</si>
  <si>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</si>
  <si>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</si>
  <si>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</si>
  <si>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</si>
  <si>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</si>
  <si>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</si>
  <si>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</si>
  <si>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</si>
  <si>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</si>
  <si>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</si>
  <si>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</si>
  <si>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</si>
  <si>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</si>
  <si>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</si>
  <si>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</si>
  <si>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</si>
  <si>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</si>
  <si>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</si>
  <si>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</si>
  <si>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</si>
  <si>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</si>
  <si>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</si>
  <si>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</si>
  <si>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</si>
  <si>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</si>
  <si>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</si>
  <si>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</si>
  <si>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</si>
  <si>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</si>
  <si>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</si>
  <si>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</si>
  <si>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</si>
  <si>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</si>
  <si>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</si>
  <si>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</si>
  <si>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</si>
  <si>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</si>
  <si>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</si>
  <si>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</si>
  <si>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</si>
  <si>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</si>
  <si>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</si>
  <si>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</si>
  <si>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</si>
  <si>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</si>
  <si>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</si>
  <si>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</si>
  <si>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</si>
  <si>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</si>
  <si>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</si>
  <si>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</si>
  <si>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</si>
  <si>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</si>
  <si>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</si>
  <si>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</si>
  <si>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</si>
  <si>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</si>
  <si>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</si>
  <si>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</si>
  <si>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</si>
  <si>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</si>
  <si>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</si>
  <si>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</si>
  <si>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</si>
  <si>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</si>
  <si>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</si>
  <si>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</si>
  <si>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</si>
  <si>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</si>
  <si>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</si>
  <si>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</si>
  <si>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</si>
  <si>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</si>
  <si>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</si>
  <si>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</si>
  <si>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</si>
  <si>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</si>
  <si>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</si>
  <si>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</si>
  <si>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</si>
  <si>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</si>
  <si>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</si>
  <si>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</si>
  <si>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</si>
  <si>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</si>
  <si>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</si>
  <si>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</si>
  <si>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</si>
  <si>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</si>
  <si>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</si>
  <si>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</si>
  <si>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</si>
  <si>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</si>
  <si>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</si>
  <si>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</si>
  <si>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</si>
  <si>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</si>
  <si>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</si>
  <si>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</si>
  <si>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</si>
  <si>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</si>
  <si>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</si>
  <si>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</si>
  <si>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</si>
  <si>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</si>
  <si>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</si>
  <si>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</si>
  <si>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</si>
  <si>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</si>
  <si>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</si>
  <si>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</si>
  <si>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</si>
  <si>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</si>
  <si>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</si>
  <si>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</si>
  <si>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</si>
  <si>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</si>
  <si>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</si>
  <si>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</si>
  <si>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</si>
  <si>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</si>
  <si>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</si>
  <si>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</si>
  <si>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</si>
  <si>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</si>
  <si>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</si>
  <si>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</si>
  <si>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</si>
  <si>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</si>
  <si>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</si>
  <si>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</si>
  <si>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</si>
  <si>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</si>
  <si>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</si>
  <si>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</si>
  <si>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</si>
  <si>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</si>
  <si>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</si>
  <si>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</si>
  <si>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</si>
  <si>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</si>
  <si>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</si>
  <si>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</si>
  <si>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</si>
  <si>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</si>
  <si>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</si>
  <si>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</si>
  <si>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</si>
  <si>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</si>
  <si>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</si>
  <si>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</si>
  <si>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</si>
  <si>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</si>
  <si>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</si>
  <si>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</si>
  <si>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</si>
  <si>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</si>
  <si>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</si>
  <si>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</si>
  <si>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</si>
  <si>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</si>
  <si>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</si>
  <si>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</si>
  <si>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</si>
  <si>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</si>
  <si>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</si>
  <si>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</si>
  <si>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</si>
  <si>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</si>
  <si>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</si>
  <si>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</si>
  <si>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</si>
  <si>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</si>
  <si>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</si>
  <si>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</si>
  <si>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</si>
  <si>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</si>
  <si>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</si>
  <si>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</si>
  <si>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</si>
  <si>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</si>
  <si>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≤2.5</t>
  </si>
  <si>
    <t>≤3.5</t>
  </si>
  <si>
    <t>2017-05-31</t>
  </si>
  <si>
    <t>3星</t>
  </si>
  <si>
    <t>工业</t>
    <phoneticPr fontId="28" type="noConversion"/>
  </si>
  <si>
    <t>核定资产</t>
  </si>
  <si>
    <t>已注销</t>
  </si>
  <si>
    <t>市场价格</t>
  </si>
  <si>
    <t>其他：</t>
  </si>
  <si>
    <t>企业</t>
  </si>
  <si>
    <t>一致</t>
  </si>
  <si>
    <t>符合</t>
  </si>
  <si>
    <t>出让</t>
  </si>
  <si>
    <t>工业项目</t>
  </si>
  <si>
    <t>场地平整</t>
  </si>
  <si>
    <t>地上</t>
  </si>
  <si>
    <t>不动产收益法</t>
  </si>
  <si>
    <t>押一</t>
  </si>
  <si>
    <t>按租金收入计税</t>
  </si>
  <si>
    <t>钢混</t>
  </si>
  <si>
    <t>项目全部</t>
  </si>
  <si>
    <t>土地</t>
  </si>
  <si>
    <t>比较法-工业</t>
  </si>
  <si>
    <t>剩余法-待开发</t>
  </si>
  <si>
    <t>已全部缴纳</t>
  </si>
  <si>
    <t>仓储</t>
  </si>
  <si>
    <t>土地（套用方法）</t>
  </si>
  <si>
    <t>镇江市</t>
  </si>
  <si>
    <t>云台山西侧</t>
  </si>
  <si>
    <t>住宅用地</t>
  </si>
  <si>
    <t>1＜容积率≤1.30</t>
  </si>
  <si>
    <t>2018-06-29</t>
  </si>
  <si>
    <t>无锡红豆置业有限公司</t>
  </si>
  <si>
    <t>檀山路以东,团山路以北</t>
  </si>
  <si>
    <t>综合用地(含住宅)</t>
  </si>
  <si>
    <t>1＜容积率≤3.23</t>
  </si>
  <si>
    <t>2018-03-30</t>
  </si>
  <si>
    <t>恒通建设集团有限公司</t>
  </si>
  <si>
    <t>2星</t>
  </si>
  <si>
    <t>蚕桑路以南,蚕宝路以西</t>
  </si>
  <si>
    <t>1＜容积率≤2.20</t>
  </si>
  <si>
    <t>镇江润都置业有限公司</t>
  </si>
  <si>
    <t>七里路以北,金蚕路以西</t>
  </si>
  <si>
    <t>1＜容积率≤2.50</t>
  </si>
  <si>
    <t>南京美的房地产发展有限公司</t>
  </si>
  <si>
    <t>2018-02-12</t>
  </si>
  <si>
    <t>1＜容积率≤3.50</t>
  </si>
  <si>
    <t>兴港东路北,普照路西</t>
  </si>
  <si>
    <t>1＜容积率≤1.85</t>
  </si>
  <si>
    <t>江苏瑞城房地产开发有限公司</t>
  </si>
  <si>
    <t>1星</t>
  </si>
  <si>
    <t>百花路以北、镜天路以东</t>
  </si>
  <si>
    <t>2017-12-07</t>
  </si>
  <si>
    <t>长江路以北、金山湖路以西</t>
  </si>
  <si>
    <t>南京新城万嘉房地产有限公司</t>
  </si>
  <si>
    <t>长江路以南,双井路以西</t>
  </si>
  <si>
    <t>1＜容积率≤3.20</t>
  </si>
  <si>
    <t>无锡极富房地产开发有限公司(富力)</t>
  </si>
  <si>
    <t>2017-09-08</t>
  </si>
  <si>
    <t>枣林路以东、龙脉路以北</t>
  </si>
  <si>
    <t>1＜容积率≤1.05</t>
  </si>
  <si>
    <t>镇江城市建设产业集团有限公司</t>
  </si>
  <si>
    <t>官山路以东、五凤口路以南</t>
  </si>
  <si>
    <t>1＜容积率≤3.30</t>
  </si>
  <si>
    <t>镇江红星置业有限公司</t>
  </si>
  <si>
    <t>宝平路以南,官山路以西</t>
  </si>
  <si>
    <t>1＜容积率≤2.45</t>
  </si>
  <si>
    <t>宝平路以西,板桥路以北</t>
  </si>
  <si>
    <t>福磬路以南、富润路以西</t>
  </si>
  <si>
    <t>1＜容积率≤1.60</t>
  </si>
  <si>
    <t>镇江市诚润置业有限公司</t>
  </si>
  <si>
    <t>黄山西路以南九华山路以西二号地块(R1703)</t>
  </si>
  <si>
    <t>1＜容积率≤1.64</t>
  </si>
  <si>
    <t>拍卖</t>
  </si>
  <si>
    <t>南京海麒房地产开发有限公司</t>
  </si>
  <si>
    <t>小米山路以西花山路以北地块(J1701)</t>
  </si>
  <si>
    <t>1＜容积率≤1.70</t>
  </si>
  <si>
    <t>镇江雅居乐房地产开发有限公司</t>
  </si>
  <si>
    <t>黄山西路以南九华山路以西一号地块(R1702)</t>
  </si>
  <si>
    <t>南京美旭房地产开发有限公司</t>
  </si>
  <si>
    <t>2017-01-12</t>
  </si>
  <si>
    <t>润州区润州山路以西、红光路以北</t>
  </si>
  <si>
    <t>1＜容积率≤5.50</t>
  </si>
  <si>
    <t>镇江协信房地产开发有限公司</t>
  </si>
  <si>
    <t>2016-06-08</t>
  </si>
  <si>
    <t>R1607地块</t>
  </si>
  <si>
    <t>镇江美的房地产发展有限公司</t>
  </si>
  <si>
    <t>2016-01-14</t>
  </si>
  <si>
    <t>R1511地块</t>
  </si>
  <si>
    <t>1＜容积率≤2.7</t>
  </si>
  <si>
    <t>镇江市润州区土地房屋开发总公司</t>
  </si>
  <si>
    <t>R1506地块</t>
  </si>
  <si>
    <t>2015-11-19</t>
  </si>
  <si>
    <t>R1508地块</t>
  </si>
  <si>
    <t>江苏丰瑞房地产开发有限公司</t>
  </si>
  <si>
    <t>R1503地块</t>
  </si>
  <si>
    <t>江苏明兴置业发展有限公司</t>
  </si>
  <si>
    <t>R1505地块</t>
  </si>
  <si>
    <t>江苏康华投资有限公司</t>
  </si>
  <si>
    <t>莱山路以东、和儿庙以北</t>
  </si>
  <si>
    <t>大于1并且小于或等于1.15</t>
  </si>
  <si>
    <t>2015-01-30</t>
  </si>
  <si>
    <t>上海中星(集团)有限公司</t>
  </si>
  <si>
    <t>檀山路以东、中山西路以南</t>
  </si>
  <si>
    <t>大于1并且小于或等于2.9</t>
  </si>
  <si>
    <t>枣林路以东、站前路以南</t>
  </si>
  <si>
    <t>大于1并且小于或等于2.3</t>
  </si>
  <si>
    <t>镇江中南新锦城房地产发展有限公司</t>
  </si>
  <si>
    <t>R1401地块</t>
  </si>
  <si>
    <t>2014-10-27</t>
  </si>
  <si>
    <t>五洲山1号地块</t>
  </si>
  <si>
    <t>小于等于1.43</t>
  </si>
  <si>
    <t>2014-06-19</t>
  </si>
  <si>
    <t>九华山路西地块</t>
  </si>
  <si>
    <t>2014-01-26</t>
  </si>
  <si>
    <t>朱方路西地块</t>
  </si>
  <si>
    <t>矿机路东地块</t>
  </si>
  <si>
    <t>镇江国投置业开发有限公司</t>
  </si>
  <si>
    <t>和儿庙路南地块</t>
  </si>
  <si>
    <t>江苏益邦置业有限公司</t>
  </si>
  <si>
    <t>官塘桥路东地块</t>
  </si>
  <si>
    <t>中山西路以北地块</t>
  </si>
  <si>
    <t>≤3</t>
  </si>
  <si>
    <t>2013-11-18</t>
  </si>
  <si>
    <t>御桥港以西地埠</t>
  </si>
  <si>
    <t>2013-10-17</t>
  </si>
  <si>
    <t>京江路以南地块</t>
  </si>
  <si>
    <t>≤1.9</t>
  </si>
  <si>
    <t>2013-09-09</t>
  </si>
  <si>
    <t>镇江市公共住房投资建设有限公司</t>
  </si>
  <si>
    <t>二道沟(1-5)地块</t>
  </si>
  <si>
    <t>≤2.41</t>
  </si>
  <si>
    <t>镇江市润州区房地产开发总公司</t>
  </si>
  <si>
    <t>扬溧高速镇江南出入口2号地块</t>
  </si>
  <si>
    <t>≤1.6</t>
  </si>
  <si>
    <t>2013-03-11</t>
  </si>
  <si>
    <t>江苏德润鸿翔置业有限公司</t>
  </si>
  <si>
    <t>新城花园三期安置房新增地块</t>
  </si>
  <si>
    <t>2013-01-28</t>
  </si>
  <si>
    <t>镇江市城市建设投资集团有限公司</t>
  </si>
  <si>
    <t>镜天路以西地块</t>
  </si>
  <si>
    <t>2012-12-29</t>
  </si>
  <si>
    <t>官塘桥路以东地块</t>
  </si>
  <si>
    <t>2012-12-24</t>
  </si>
  <si>
    <t>江苏星和源置业有限公司</t>
  </si>
  <si>
    <t>体育会展中心南4-1地块</t>
  </si>
  <si>
    <t>≤1.38</t>
  </si>
  <si>
    <t>镇江润湖房地产开发有限公司</t>
  </si>
  <si>
    <t>体育会展中心南4-2地块</t>
  </si>
  <si>
    <t>≤1.02</t>
  </si>
  <si>
    <t>上海宝冶集团有限公司</t>
  </si>
  <si>
    <t>中山西路北侧地块</t>
  </si>
  <si>
    <t>≤6.5</t>
  </si>
  <si>
    <t>2012-11-12</t>
  </si>
  <si>
    <t>重庆协信远智商业投资发展有限公司</t>
  </si>
  <si>
    <t>金泉花园三期地块</t>
  </si>
  <si>
    <t>≤2.25</t>
  </si>
  <si>
    <t>长山渠路以西地块</t>
  </si>
  <si>
    <t>2012-09-17</t>
  </si>
  <si>
    <t>江苏万丰置业有限公司</t>
  </si>
  <si>
    <t>跑马山路西侧地块</t>
  </si>
  <si>
    <t>大于或等于1并且小于或等于6.8</t>
  </si>
  <si>
    <t>2012-09-10</t>
  </si>
  <si>
    <t>丹徒新区建设发展公司</t>
  </si>
  <si>
    <t>官塘1号B地块</t>
  </si>
  <si>
    <t>≤1.25</t>
  </si>
  <si>
    <t>2012-05-02</t>
  </si>
  <si>
    <t>镇江市红星土地整理开发有限公司</t>
  </si>
  <si>
    <t>南徐大道北侧1号地块</t>
  </si>
  <si>
    <t>≤2.80</t>
  </si>
  <si>
    <t>2012-03-16</t>
  </si>
  <si>
    <t>江苏筑和地产发展有限公司</t>
  </si>
  <si>
    <t>南徐大道北侧2号地块</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</si>
  <si>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28" type="noConversion"/>
  </si>
  <si>
    <t>住宅</t>
    <phoneticPr fontId="3" type="noConversion"/>
  </si>
  <si>
    <t>住宅</t>
    <phoneticPr fontId="7" type="noConversion"/>
  </si>
  <si>
    <t>楼面地价</t>
  </si>
  <si>
    <t>商业</t>
    <phoneticPr fontId="15" type="noConversion"/>
  </si>
  <si>
    <r>
      <t>1</t>
    </r>
    <r>
      <rPr>
        <sz val="10"/>
        <color indexed="8"/>
        <rFont val="宋体"/>
        <family val="3"/>
        <charset val="134"/>
      </rPr>
      <t>层</t>
    </r>
    <phoneticPr fontId="15" type="noConversion"/>
  </si>
  <si>
    <r>
      <t>2</t>
    </r>
    <r>
      <rPr>
        <sz val="10"/>
        <color indexed="8"/>
        <rFont val="宋体"/>
        <family val="3"/>
        <charset val="134"/>
      </rPr>
      <t>层</t>
    </r>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</si>
</sst>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1" fillId="2" borderId="59"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86" fillId="0" borderId="0" xfId="17" applyFill="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4" fontId="82" fillId="3" borderId="0" xfId="0" applyNumberFormat="1" applyFont="1" applyFill="1" applyAlignment="1" applyProtection="1">
      <alignment horizont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122755</xdr:colOff>
      <xdr:row>62</xdr:row>
      <xdr:rowOff>66464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20100"/>
          <a:ext cx="8561905" cy="1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55">
          <cell r="A55" t="str">
            <v>交易情况</v>
          </cell>
        </row>
      </sheetData>
      <sheetData sheetId="21">
        <row r="70">
          <cell r="B70" t="str">
            <v>用途</v>
          </cell>
        </row>
        <row r="97">
          <cell r="B97" t="str">
            <v>毗邻道路的类型与等级</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1">
          <cell r="A51" t="str">
            <v>交易情况</v>
          </cell>
        </row>
      </sheetData>
      <sheetData sheetId="32">
        <row r="49">
          <cell r="A49" t="str">
            <v>交易情况</v>
          </cell>
        </row>
      </sheetData>
      <sheetData sheetId="33">
        <row r="73">
          <cell r="A73" t="str">
            <v>交易情况</v>
          </cell>
        </row>
      </sheetData>
      <sheetData sheetId="34" refreshError="1"/>
      <sheetData sheetId="35">
        <row r="6">
          <cell r="A6" t="str">
            <v>通路</v>
          </cell>
        </row>
      </sheetData>
      <sheetData sheetId="36" refreshError="1"/>
      <sheetData sheetId="37" refreshError="1"/>
      <sheetData sheetId="38" refreshError="1"/>
      <sheetData sheetId="39">
        <row r="5">
          <cell r="B5" t="str">
            <v>修正项2</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受贵公司委托，我公司对出让国有建设用地使用权市场价格进行了预评估。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69366.25平方米。根据《建设工程规划许可证》[]、《出让合同》[]，估价对象规划建筑面积为138732.5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本次评估为委托估价方了解标的物之市场价格提供参考依据而评估出让国有建设用地使用权市场价格。</v>
      </c>
    </row>
    <row r="10" spans="1:55" s="2855" customFormat="1">
      <c r="A10" s="2856" t="s">
        <v>2660</v>
      </c>
      <c r="B10" s="2857" t="str">
        <f>'预评函-1'!A11</f>
        <v>2019年3月4日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根据《国有土地使用证》[]，估价对象（分摊）出让国有建设用地使用权面积为69366.25平方米。根据《建设工程规划许可证》[]、《出让合同》[]，估价对象规划建筑面积为138732.5平方米。</v>
      </c>
    </row>
    <row r="16" spans="1:55" s="2855" customFormat="1">
      <c r="A16" s="2856" t="s">
        <v>2670</v>
      </c>
      <c r="B16" s="2857" t="str">
        <f>'预评函-1'!A22</f>
        <v>本次估价对象为出让国有建设用地使用权，《国有土地使用证》[]证载土地终止日期为住宅2055年11月24日仓储2025年6月17日、工业2069年2月16日。截至估价期日，出让国有建设用地使用权剩余土地使用年限为。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估价期日：2019年3月4日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69366.25</v>
      </c>
    </row>
    <row r="44" spans="1:2">
      <c r="A44" s="2856" t="s">
        <v>2741</v>
      </c>
      <c r="B44" s="2857" t="str">
        <f>'预评函-2'!O3</f>
        <v>规划建筑面积/㎡</v>
      </c>
    </row>
    <row r="45" spans="1:2">
      <c r="A45" s="2856" t="s">
        <v>2723</v>
      </c>
      <c r="B45" s="2857">
        <f>'预评函-2'!O5</f>
        <v>138732.5</v>
      </c>
    </row>
    <row r="46" spans="1:2">
      <c r="A46" s="2856" t="s">
        <v>2724</v>
      </c>
      <c r="B46" s="2857">
        <f ca="1">'预评函-2'!P5</f>
        <v>12094</v>
      </c>
    </row>
    <row r="47" spans="1:2">
      <c r="A47" s="2856" t="s">
        <v>2725</v>
      </c>
      <c r="B47" s="2857">
        <f ca="1">'预评函-2'!Q5</f>
        <v>6047</v>
      </c>
    </row>
    <row r="48" spans="1:2">
      <c r="A48" s="2856" t="s">
        <v>2726</v>
      </c>
      <c r="B48" s="2857">
        <f ca="1">'预评函-2'!R5</f>
        <v>83892</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f ca="1">'预评函-2'!R7</f>
        <v>83892</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2" t="str">
        <f>IF(B10="北京市","北京市",C10)&amp;F10&amp;B16&amp;"国有建设用地使用权"&amp;B9&amp;"预评估"</f>
        <v>出让国有建设用地使用权市场价格预评估</v>
      </c>
      <c r="C1" s="3213"/>
      <c r="D1" s="3213"/>
      <c r="E1" s="3213"/>
      <c r="F1" s="3213"/>
      <c r="G1" s="3213"/>
      <c r="H1" s="3213"/>
      <c r="I1" s="3214"/>
      <c r="J1" s="1693"/>
      <c r="K1" s="2434"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43512</v>
      </c>
      <c r="C3" s="1662" t="s">
        <v>1996</v>
      </c>
      <c r="D3" s="1661">
        <v>43528</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3015</v>
      </c>
      <c r="C8" s="1670"/>
      <c r="D8" s="3218" t="s">
        <v>1945</v>
      </c>
      <c r="E8" s="1843" t="s">
        <v>3016</v>
      </c>
      <c r="F8" s="1671"/>
      <c r="G8" s="1659"/>
      <c r="H8" s="1659"/>
      <c r="I8" s="1706"/>
      <c r="J8" s="1693"/>
      <c r="K8" s="1773"/>
      <c r="L8" s="1722"/>
      <c r="M8" s="1722"/>
      <c r="N8" s="1693"/>
      <c r="O8" s="1694"/>
      <c r="P8" s="1693"/>
      <c r="Q8" s="1693"/>
      <c r="R8" s="1693"/>
      <c r="S8" s="1693"/>
      <c r="T8" s="1693"/>
      <c r="U8" s="1693"/>
    </row>
    <row r="9" spans="1:21" ht="15" thickBot="1">
      <c r="A9" s="1672" t="s">
        <v>1944</v>
      </c>
      <c r="B9" s="1673" t="s">
        <v>3017</v>
      </c>
      <c r="C9" s="1674"/>
      <c r="D9" s="3219"/>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3018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3019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5"/>
      <c r="C12" s="3216"/>
      <c r="D12" s="3217"/>
      <c r="E12" s="1698" t="s">
        <v>2062</v>
      </c>
      <c r="F12" s="3233" t="s">
        <v>2891</v>
      </c>
      <c r="G12" s="3234"/>
      <c r="H12" s="3234"/>
      <c r="I12" s="3235"/>
      <c r="J12" s="1693"/>
      <c r="K12" s="1773"/>
      <c r="L12" s="1722"/>
      <c r="M12" s="1722"/>
      <c r="N12" s="1693"/>
      <c r="O12" s="1694"/>
      <c r="P12" s="1693"/>
      <c r="Q12" s="1693"/>
      <c r="R12" s="1693"/>
      <c r="S12" s="1693"/>
      <c r="T12" s="1693"/>
      <c r="U12" s="1693"/>
    </row>
    <row r="13" spans="1:21">
      <c r="A13" s="1686" t="s">
        <v>2060</v>
      </c>
      <c r="B13" s="3215"/>
      <c r="C13" s="3216"/>
      <c r="D13" s="3217"/>
      <c r="E13" s="1698" t="s">
        <v>2062</v>
      </c>
      <c r="F13" s="3233" t="s">
        <v>2892</v>
      </c>
      <c r="G13" s="3234"/>
      <c r="H13" s="3234"/>
      <c r="I13" s="3235"/>
      <c r="J13" s="1693"/>
      <c r="K13" s="1773"/>
      <c r="L13" s="1722"/>
      <c r="M13" s="1722"/>
      <c r="N13" s="1693"/>
      <c r="O13" s="1694"/>
      <c r="P13" s="1693"/>
      <c r="Q13" s="1693"/>
      <c r="R13" s="1693"/>
      <c r="S13" s="1693"/>
      <c r="T13" s="1693"/>
      <c r="U13" s="1693"/>
    </row>
    <row r="14" spans="1:21">
      <c r="A14" s="1660" t="s">
        <v>2063</v>
      </c>
      <c r="B14" s="1698"/>
      <c r="C14" s="1844" t="s">
        <v>3020</v>
      </c>
      <c r="D14" s="1732" t="str">
        <f>IF(C14="不一致","是否符合证载地类范围","")</f>
        <v/>
      </c>
      <c r="E14" s="1698"/>
      <c r="F14" s="1789" t="s">
        <v>3021</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3022</v>
      </c>
      <c r="C16" s="1698" t="s">
        <v>1949</v>
      </c>
      <c r="D16" s="2625" t="s">
        <v>1950</v>
      </c>
      <c r="E16" s="1721"/>
      <c r="F16" s="1721"/>
      <c r="G16" s="1721"/>
      <c r="H16" s="1721" t="s">
        <v>3035</v>
      </c>
      <c r="I16" s="1685" t="s">
        <v>1955</v>
      </c>
      <c r="J16" s="1693"/>
      <c r="K16" s="2435" t="str">
        <f>IF(D17="","",D16&amp;TEXT(D17,"yyyy年m月d日;;"))</f>
        <v>住宅2055年11月24日</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仓储2025年6月17日</v>
      </c>
      <c r="T16" s="1698" t="str">
        <f>IF(OR(S16="",U16=""),"","、")</f>
        <v>、</v>
      </c>
      <c r="U16" s="2435" t="str">
        <f>IF(I17="","",I16&amp;TEXT(I17,"yyyy年m月d日;;"))</f>
        <v>工业2069年2月16日</v>
      </c>
    </row>
    <row r="17" spans="1:21">
      <c r="A17" s="1762"/>
      <c r="B17" s="1681"/>
      <c r="C17" s="1682" t="s">
        <v>1956</v>
      </c>
      <c r="D17" s="1699">
        <v>56942</v>
      </c>
      <c r="E17" s="1699"/>
      <c r="F17" s="1699"/>
      <c r="G17" s="1699"/>
      <c r="H17" s="1699">
        <v>45825</v>
      </c>
      <c r="I17" s="1699">
        <v>61775</v>
      </c>
      <c r="J17" s="1693"/>
      <c r="K17" s="2434" t="str">
        <f>CONCATENATE(K16,L16,M16,N16,O16,P16,Q16,R16,S16,T16,,U16)</f>
        <v>住宅2055年11月24日仓储2025年6月17日、工业2069年2月16日</v>
      </c>
      <c r="L17" s="1722"/>
      <c r="M17" s="1722"/>
      <c r="N17" s="1693"/>
      <c r="O17" s="1694"/>
      <c r="P17" s="1693"/>
      <c r="Q17" s="1693"/>
      <c r="R17" s="1693"/>
      <c r="S17" s="1693"/>
      <c r="T17" s="1693"/>
      <c r="U17" s="1693"/>
    </row>
    <row r="18" spans="1:21">
      <c r="A18" s="1762"/>
      <c r="B18" s="1681"/>
      <c r="C18" s="1682" t="s">
        <v>1957</v>
      </c>
      <c r="D18" s="1683">
        <v>40</v>
      </c>
      <c r="E18" s="1683"/>
      <c r="F18" s="1683"/>
      <c r="G18" s="1683"/>
      <c r="H18" s="1683">
        <v>50</v>
      </c>
      <c r="I18" s="1683">
        <v>50</v>
      </c>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36.75</v>
      </c>
      <c r="E19" s="1684" t="str">
        <f>IF(B16="出让",IF(E17="","",ROUNDDOWN(MIN((E17-$D$3)/365,E18),2)),E18)</f>
        <v/>
      </c>
      <c r="F19" s="1684" t="str">
        <f>IF(B16="出让",IF(F17="","",ROUNDDOWN(MIN((F17-$D$3)/365,F18),2)),F18)</f>
        <v/>
      </c>
      <c r="G19" s="1684" t="str">
        <f>IF(B16="出让",IF(G17="","",ROUNDDOWN(MIN((G17-$D$3)/365,G18),2)),G18)</f>
        <v/>
      </c>
      <c r="H19" s="1684">
        <f>IF(B16="出让",IF(H17="","",ROUNDDOWN(MIN((H17-$D$3)/365,H18),2)),H18)</f>
        <v>6.29</v>
      </c>
      <c r="I19" s="1684">
        <f>IF(B16="出让",IF(I17="","",ROUNDDOWN(MIN((I17-$D$3)/365,I18),2)),I18)</f>
        <v>49.99</v>
      </c>
      <c r="J19" s="1693"/>
      <c r="K19" s="1773"/>
      <c r="L19" s="1722"/>
      <c r="M19" s="1722"/>
      <c r="N19" s="1693"/>
      <c r="O19" s="1694"/>
      <c r="P19" s="1693"/>
      <c r="Q19" s="1693"/>
      <c r="R19" s="1693"/>
      <c r="S19" s="1693"/>
      <c r="T19" s="1693"/>
      <c r="U19" s="1693"/>
    </row>
    <row r="20" spans="1:21">
      <c r="A20" s="1785"/>
      <c r="B20" s="1786"/>
      <c r="C20" s="1787" t="s">
        <v>2061</v>
      </c>
      <c r="D20" s="3230"/>
      <c r="E20" s="3231"/>
      <c r="F20" s="3231"/>
      <c r="G20" s="3231"/>
      <c r="H20" s="3231"/>
      <c r="I20" s="3232"/>
      <c r="J20" s="1693"/>
      <c r="K20" s="1773"/>
      <c r="L20" s="1722"/>
      <c r="M20" s="1722"/>
      <c r="N20" s="1693"/>
      <c r="O20" s="1694"/>
      <c r="P20" s="1693"/>
      <c r="Q20" s="1693"/>
      <c r="R20" s="1693"/>
      <c r="S20" s="1693"/>
      <c r="T20" s="1693"/>
      <c r="U20" s="1693"/>
    </row>
    <row r="21" spans="1:21">
      <c r="A21" s="1762" t="s">
        <v>1959</v>
      </c>
      <c r="B21" s="1763" t="s">
        <v>1960</v>
      </c>
      <c r="C21" s="1758">
        <f>'数据-汇总表'!E3</f>
        <v>138732.5</v>
      </c>
      <c r="D21" s="1759" t="s">
        <v>1961</v>
      </c>
      <c r="E21" s="3220" t="s">
        <v>1999</v>
      </c>
      <c r="F21" s="3221"/>
      <c r="G21" s="3221"/>
      <c r="H21" s="3221"/>
      <c r="I21" s="3222"/>
      <c r="J21" s="1693"/>
      <c r="K21" s="1773"/>
      <c r="L21" s="1722"/>
      <c r="M21" s="1722"/>
      <c r="N21" s="1693"/>
      <c r="O21" s="1694"/>
      <c r="P21" s="1693"/>
      <c r="Q21" s="1693"/>
      <c r="R21" s="1693"/>
      <c r="S21" s="1693"/>
      <c r="T21" s="1693"/>
      <c r="U21" s="1693"/>
    </row>
    <row r="22" spans="1:21">
      <c r="A22" s="3121" t="s">
        <v>952</v>
      </c>
      <c r="B22" s="1660" t="s">
        <v>1962</v>
      </c>
      <c r="C22" s="1685">
        <f>'数据-汇总表'!D3</f>
        <v>69366.25</v>
      </c>
      <c r="D22" s="1686" t="s">
        <v>1961</v>
      </c>
      <c r="E22" s="3220" t="s">
        <v>2893</v>
      </c>
      <c r="F22" s="3221"/>
      <c r="G22" s="3221"/>
      <c r="H22" s="3221"/>
      <c r="I22" s="3222"/>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3" t="s">
        <v>1967</v>
      </c>
      <c r="C24" s="3224"/>
      <c r="D24" s="3225" t="s">
        <v>1968</v>
      </c>
      <c r="E24" s="3226"/>
      <c r="F24" s="1707" t="s">
        <v>1969</v>
      </c>
      <c r="G24" s="1693"/>
      <c r="H24" s="1693"/>
      <c r="I24" s="1706"/>
      <c r="J24" s="1693"/>
      <c r="K24" s="3211"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1"/>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1"/>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8" t="s">
        <v>2002</v>
      </c>
      <c r="B31" s="1763" t="s">
        <v>2003</v>
      </c>
      <c r="C31" s="3236" t="s">
        <v>3023</v>
      </c>
      <c r="D31" s="3237"/>
      <c r="E31" s="1693"/>
      <c r="F31" s="1693"/>
      <c r="G31" s="1693"/>
      <c r="H31" s="1693"/>
      <c r="I31" s="1706"/>
      <c r="J31" s="1693"/>
      <c r="K31" s="2437"/>
      <c r="L31" s="1693"/>
      <c r="M31" s="1693"/>
      <c r="N31" s="1693"/>
      <c r="O31" s="1693"/>
      <c r="P31" s="1693"/>
      <c r="Q31" s="1693"/>
      <c r="R31" s="1693"/>
      <c r="S31" s="1693"/>
      <c r="T31" s="1693"/>
      <c r="U31" s="1693"/>
    </row>
    <row r="32" spans="1:21">
      <c r="A32" s="3238"/>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8"/>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9"/>
      <c r="B34" s="1660" t="s">
        <v>2006</v>
      </c>
      <c r="C34" s="3240"/>
      <c r="D34" s="3241"/>
      <c r="E34" s="1693"/>
      <c r="F34" s="1693"/>
      <c r="G34" s="1693"/>
      <c r="H34" s="1693"/>
      <c r="I34" s="1706"/>
      <c r="J34" s="1693"/>
      <c r="K34" s="2437"/>
      <c r="L34" s="1693"/>
      <c r="M34" s="1693"/>
      <c r="N34" s="1693"/>
      <c r="O34" s="1693"/>
      <c r="P34" s="1693"/>
      <c r="Q34" s="1693"/>
      <c r="R34" s="1693"/>
      <c r="S34" s="1693"/>
      <c r="T34" s="1693"/>
      <c r="U34" s="1693"/>
    </row>
    <row r="35" spans="1:21">
      <c r="A35" s="3242" t="s">
        <v>847</v>
      </c>
      <c r="B35" s="1721" t="s">
        <v>3024</v>
      </c>
      <c r="C35" s="1775" t="str">
        <f>IF(B35="场地平整","——","具体情况：")</f>
        <v>——</v>
      </c>
      <c r="D35" s="3244"/>
      <c r="E35" s="3245"/>
      <c r="F35" s="3245"/>
      <c r="G35" s="3245"/>
      <c r="H35" s="3245"/>
      <c r="I35" s="3246"/>
      <c r="J35" s="1693"/>
      <c r="K35" s="1774"/>
      <c r="L35" s="1722"/>
      <c r="M35" s="1722"/>
      <c r="N35" s="1693"/>
      <c r="O35" s="1694"/>
      <c r="P35" s="1693"/>
      <c r="Q35" s="1693"/>
      <c r="R35" s="1693"/>
      <c r="S35" s="1693"/>
      <c r="T35" s="1693"/>
      <c r="U35" s="1693"/>
    </row>
    <row r="36" spans="1:21">
      <c r="A36" s="3238"/>
      <c r="B36" s="3247" t="s">
        <v>2055</v>
      </c>
      <c r="C36" s="3248"/>
      <c r="D36" s="1791"/>
      <c r="E36" s="3249"/>
      <c r="F36" s="3249"/>
      <c r="G36" s="1686" t="str">
        <f>IF(B35="场地未平整","估价结果处理","")</f>
        <v/>
      </c>
      <c r="H36" s="3250"/>
      <c r="I36" s="3250"/>
      <c r="J36" s="1693"/>
      <c r="K36" s="1774"/>
      <c r="L36" s="1722"/>
      <c r="M36" s="1722"/>
      <c r="N36" s="1693"/>
      <c r="O36" s="1694"/>
      <c r="P36" s="1693"/>
      <c r="Q36" s="1693"/>
      <c r="R36" s="1693"/>
      <c r="S36" s="1693"/>
      <c r="T36" s="1693"/>
      <c r="U36" s="1693"/>
    </row>
    <row r="37" spans="1:21" ht="28.5">
      <c r="A37" s="3238"/>
      <c r="B37" s="322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8"/>
      <c r="B38" s="3228"/>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39"/>
      <c r="B39" s="322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0" t="s">
        <v>1986</v>
      </c>
      <c r="T40" s="1730" t="str">
        <f>NUMBERSTRING(7-K40,1)&amp;"通"</f>
        <v>七通</v>
      </c>
      <c r="U40" s="1693"/>
    </row>
    <row r="41" spans="1:21">
      <c r="A41" s="1662"/>
      <c r="B41" s="3243" t="s">
        <v>1722</v>
      </c>
      <c r="C41" s="3243"/>
      <c r="D41" s="3243"/>
      <c r="E41" s="324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0"/>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9" sqref="K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69366.25</v>
      </c>
      <c r="B3" s="22">
        <f>IF(C3="否",G5-AT5,G5)</f>
        <v>138732.5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138732.5</v>
      </c>
      <c r="H5" s="27">
        <f t="shared" ref="H5:AT5" si="0">SUM(H13:H641)</f>
        <v>138732.5</v>
      </c>
      <c r="I5" s="27">
        <f t="shared" si="0"/>
        <v>138732.5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138732.5</v>
      </c>
      <c r="BA5" s="29">
        <f t="shared" si="1"/>
        <v>138732.5</v>
      </c>
      <c r="BB5" s="29">
        <f t="shared" si="1"/>
        <v>138732.5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69366.25</v>
      </c>
      <c r="F6" s="27" t="s">
        <v>1</v>
      </c>
      <c r="G6" s="27" t="s">
        <v>2</v>
      </c>
      <c r="H6" s="33">
        <f>SUMIF(I$12:AB$12,"总值",I6:AB6)</f>
        <v>69366.25</v>
      </c>
      <c r="I6" s="27">
        <f t="shared" ref="I6:AB6" si="2">ROUND($A$3*I5/$B$3,2)</f>
        <v>69366.25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69366.25</v>
      </c>
      <c r="AZ6" s="27" t="s">
        <v>3</v>
      </c>
      <c r="BA6" s="27">
        <f>ROUND($AY$6*BA5/$AZ$5,2)</f>
        <v>69366.25</v>
      </c>
      <c r="BB6" s="27">
        <f>ROUND($AY$6*BB5/$AZ$5,2)</f>
        <v>69366.25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3025</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923</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3184</v>
      </c>
      <c r="D13" s="2990" t="s">
        <v>1679</v>
      </c>
      <c r="E13" s="27">
        <f t="shared" ref="E13:E20" si="6">IF($C$3="是",ROUND($A$3*G13/$B$3,2),ROUND($A$3*(G13-AT13)/$B$3,2))</f>
        <v>69366.25</v>
      </c>
      <c r="F13" s="81"/>
      <c r="G13" s="82">
        <f t="shared" ref="G13:G20" si="7">H13+AC13+AT13</f>
        <v>138732.5</v>
      </c>
      <c r="H13" s="33">
        <f t="shared" ref="H13:H20" si="8">SUMIF(I$12:AB$12,"总值",I13:AB13)</f>
        <v>138732.5</v>
      </c>
      <c r="I13" s="2993">
        <f>A3*2</f>
        <v>138732.5</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住宅</v>
      </c>
      <c r="AY13" s="996">
        <f t="shared" ref="AY13:AY20" si="11">ROUND($AY$6*AZ13/$AZ$5,2)</f>
        <v>69366.25</v>
      </c>
      <c r="AZ13" s="27">
        <f t="shared" ref="AZ13:AZ20" si="12">BA13+BL13</f>
        <v>138732.5</v>
      </c>
      <c r="BA13" s="27">
        <f t="shared" ref="BA13:BA20" si="13">SUM(BB13:BK13)</f>
        <v>138732.5</v>
      </c>
      <c r="BB13" s="27">
        <f t="shared" ref="BB13:BB20" si="14">IF($D13="是",I13-J13,0)</f>
        <v>138732.5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2" t="s">
        <v>203</v>
      </c>
      <c r="B2" s="3262"/>
      <c r="C2" s="3262"/>
      <c r="D2" s="1975" t="s">
        <v>204</v>
      </c>
      <c r="E2" s="106" t="s">
        <v>205</v>
      </c>
      <c r="F2" s="1984"/>
      <c r="G2" s="1198"/>
      <c r="H2" s="1199"/>
      <c r="I2" s="1200" t="s">
        <v>857</v>
      </c>
      <c r="J2" s="1984"/>
      <c r="K2" s="1984"/>
      <c r="L2" s="1984"/>
    </row>
    <row r="3" spans="1:16" ht="15.75" thickBot="1">
      <c r="A3" s="3263" t="s">
        <v>206</v>
      </c>
      <c r="B3" s="3263"/>
      <c r="C3" s="3263"/>
      <c r="D3" s="107">
        <f>'数据-基础表'!AY6</f>
        <v>69366.25</v>
      </c>
      <c r="E3" s="107">
        <f>'数据-基础表'!AZ5</f>
        <v>138732.5</v>
      </c>
      <c r="F3" s="1984"/>
      <c r="G3" s="280" t="s">
        <v>858</v>
      </c>
      <c r="H3" s="275" t="s">
        <v>859</v>
      </c>
      <c r="I3" s="1976">
        <f>ROUND('数据-基础表'!B3/'数据-基础表'!A3,2)</f>
        <v>2</v>
      </c>
      <c r="J3" s="1984"/>
      <c r="K3" s="1984"/>
      <c r="L3" s="1984"/>
    </row>
    <row r="4" spans="1:16" ht="15">
      <c r="A4" s="3264"/>
      <c r="B4" s="3265"/>
      <c r="C4" s="3266"/>
      <c r="D4" s="108" t="s">
        <v>204</v>
      </c>
      <c r="E4" s="109" t="s">
        <v>205</v>
      </c>
      <c r="F4" s="1984"/>
      <c r="G4" s="1201"/>
      <c r="H4" s="275" t="s">
        <v>860</v>
      </c>
      <c r="I4" s="1976">
        <f>ROUND(SUMIF('数据-基础表'!I9:AS9,"地上",'数据-基础表'!I5:AS5)/'数据-基础表'!A3,2)</f>
        <v>2</v>
      </c>
      <c r="J4" s="1984"/>
      <c r="K4" s="1984"/>
      <c r="L4" s="1984"/>
    </row>
    <row r="5" spans="1:16">
      <c r="A5" s="110" t="s">
        <v>207</v>
      </c>
      <c r="B5" s="3267" t="s">
        <v>230</v>
      </c>
      <c r="C5" s="3267"/>
      <c r="D5" s="111">
        <f>ROUND($D$3*E5/$E$3,2)</f>
        <v>69366.25</v>
      </c>
      <c r="E5" s="112">
        <f>SUMIF('数据-基础表'!$11:$11,"住宅",'数据-基础表'!$5:$5)</f>
        <v>138732.5</v>
      </c>
      <c r="F5" s="1984"/>
      <c r="G5" s="280" t="s">
        <v>861</v>
      </c>
      <c r="H5" s="275" t="s">
        <v>859</v>
      </c>
      <c r="I5" s="1976">
        <f>ROUND(E31/D31,2)</f>
        <v>2</v>
      </c>
      <c r="J5" s="1984"/>
      <c r="K5" s="1984"/>
      <c r="L5" s="1984"/>
    </row>
    <row r="6" spans="1:16" ht="15" thickBot="1">
      <c r="A6" s="113"/>
      <c r="B6" s="3267" t="s">
        <v>208</v>
      </c>
      <c r="C6" s="3267"/>
      <c r="D6" s="111">
        <f>ROUND($D$3*E6/$E$3,2)</f>
        <v>0</v>
      </c>
      <c r="E6" s="112">
        <f>E3-E5</f>
        <v>0</v>
      </c>
      <c r="F6" s="1984"/>
      <c r="G6" s="1201"/>
      <c r="H6" s="275" t="s">
        <v>860</v>
      </c>
      <c r="I6" s="1976">
        <f>ROUND(F31/D31,2)</f>
        <v>2</v>
      </c>
      <c r="J6" s="1984"/>
      <c r="K6" s="1984"/>
      <c r="L6" s="1984"/>
    </row>
    <row r="7" spans="1:16" ht="15">
      <c r="A7" s="3259"/>
      <c r="B7" s="3260"/>
      <c r="C7" s="3261"/>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69366.25</v>
      </c>
      <c r="E8" s="116">
        <f>SUMIF('数据-基础表'!BB10:BK10,"地上",'数据-基础表'!BB5:BK5)</f>
        <v>138732.5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69366.25</v>
      </c>
      <c r="E16" s="120">
        <f>SUM(E8:E15)</f>
        <v>138732.5</v>
      </c>
      <c r="F16" s="1984"/>
      <c r="G16" s="1986"/>
      <c r="H16" s="968" t="s">
        <v>219</v>
      </c>
      <c r="I16" s="969"/>
      <c r="J16" s="1984"/>
      <c r="K16" s="3253" t="s">
        <v>2567</v>
      </c>
      <c r="L16" s="3254"/>
      <c r="M16" s="3254"/>
      <c r="N16" s="3254"/>
      <c r="O16" s="3254"/>
      <c r="P16" s="3255"/>
    </row>
    <row r="17" spans="1:19" ht="15">
      <c r="A17" s="121" t="s">
        <v>216</v>
      </c>
      <c r="B17" s="122" t="s">
        <v>217</v>
      </c>
      <c r="C17" s="2298" t="s">
        <v>2314</v>
      </c>
      <c r="D17" s="108" t="s">
        <v>204</v>
      </c>
      <c r="E17" s="124" t="s">
        <v>205</v>
      </c>
      <c r="F17" s="125"/>
      <c r="G17" s="1366"/>
      <c r="H17" s="970" t="s">
        <v>218</v>
      </c>
      <c r="I17" s="971" t="s">
        <v>2313</v>
      </c>
      <c r="J17" s="1984"/>
      <c r="K17" s="3256" t="s">
        <v>2568</v>
      </c>
      <c r="L17" s="3257"/>
      <c r="M17" s="3258"/>
      <c r="N17" s="3256" t="s">
        <v>2569</v>
      </c>
      <c r="O17" s="3257"/>
      <c r="P17" s="3258"/>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3185</v>
      </c>
      <c r="D19" s="111">
        <f t="shared" ref="D19:D26" si="1">ROUND($D$3*E19/$E$3,2)</f>
        <v>69366.25</v>
      </c>
      <c r="E19" s="134">
        <f t="shared" ref="E19:E26" si="2">SUM(F19:G19)</f>
        <v>138732.5</v>
      </c>
      <c r="F19" s="135">
        <f>'数据-基础表'!I13</f>
        <v>138732.5</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69366.25</v>
      </c>
      <c r="S19" s="2301">
        <f t="shared" si="5"/>
        <v>138732.5</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69366.25</v>
      </c>
      <c r="E27" s="143">
        <f>IF(SUM(E19:E26)='数据-基础表'!BA5,SUM(E19:E26),IF(F27="地上面积有误","面积有误","地下面积有误"))</f>
        <v>138732.5</v>
      </c>
      <c r="F27" s="134">
        <f>IF(SUM(F19:F26)=E8,SUM(F19:F26),"地上面积有误")</f>
        <v>138732.5</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69366.25</v>
      </c>
      <c r="S27" s="275">
        <f>IF(SUM(S19:S26)=$E$3,SUM(S19:S26),SUM(S19:S26)&amp;"误差"&amp;ROUND(SUM(S19:S26)-E3,2))</f>
        <v>138732.5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69366.25</v>
      </c>
      <c r="E31" s="1372">
        <f>E27+E30</f>
        <v>138732.5</v>
      </c>
      <c r="F31" s="1373">
        <f>F27+F30</f>
        <v>138732.5</v>
      </c>
      <c r="G31" s="1374">
        <f>G27+G30</f>
        <v>0</v>
      </c>
      <c r="H31" s="1984"/>
      <c r="I31" s="1984"/>
      <c r="J31" s="1984"/>
      <c r="K31" s="1984"/>
      <c r="L31" s="1984"/>
    </row>
    <row r="32" spans="1:19">
      <c r="A32" s="1984"/>
      <c r="B32" s="2342" t="s">
        <v>2322</v>
      </c>
      <c r="C32" s="2626"/>
      <c r="D32" s="1201"/>
      <c r="E32" s="1201">
        <f>SUMIF(C19:C26,"*住宅*",E19:E26)</f>
        <v>138732.5</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7" sqref="B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43528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40</v>
      </c>
      <c r="E6" s="2309">
        <f>IF(B6="","",SUMIF(项目基本情况!D$15:I$15,C6,项目基本情况!D$17:I$17))</f>
        <v>56942</v>
      </c>
      <c r="F6" s="174">
        <f>SUMIF(项目基本情况!D$15:I$15,C6,项目基本情况!D$19:I$19)</f>
        <v>36.75</v>
      </c>
      <c r="G6" s="175">
        <f>IF(ISERROR(ROUND(POWER(1+H6,D6-F6)*(POWER(1+H6,F6)-1)/(POWER(1+H6,D6)-1),3)),0,ROUND(POWER(1+H6,D6-F6)*(POWER(1+H6,F6)-1)/(POWER(1+H6,D6)-1),3))</f>
        <v>0.96799999999999997</v>
      </c>
      <c r="H6" s="3001">
        <v>4.4999999999999998E-2</v>
      </c>
      <c r="I6" s="3001">
        <v>0.05</v>
      </c>
      <c r="J6" s="176">
        <v>8.5000000000000006E-2</v>
      </c>
      <c r="K6" s="179">
        <f>SUMIF('数据-汇总表'!C$19:C$33,'数据-取费表'!A6,'数据-汇总表'!E$19:E$33)</f>
        <v>138732.5</v>
      </c>
      <c r="L6" s="3002">
        <v>3000</v>
      </c>
      <c r="M6" s="177">
        <f t="shared" ref="M6:M14" si="0">ROUND(K6*L6/10000,0)</f>
        <v>41620</v>
      </c>
      <c r="N6" s="3003">
        <v>0</v>
      </c>
      <c r="O6" s="177">
        <f>IF($N$5="成新度","——",ROUND(M6*N6,0))</f>
        <v>0</v>
      </c>
      <c r="P6" s="178">
        <f>IF($N$5="成新度","——",M6-O6)</f>
        <v>41620</v>
      </c>
      <c r="Q6" s="3004">
        <v>0.2</v>
      </c>
      <c r="R6" s="179">
        <f>SUMIF('数据-汇总表'!C$19:C$33,A6,'数据-汇总表'!R$19:R$33)</f>
        <v>69366.25</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2.5000000000000001E-2</v>
      </c>
      <c r="W6" s="181">
        <v>0.1</v>
      </c>
      <c r="X6" s="2321"/>
      <c r="Y6" s="182">
        <v>1</v>
      </c>
      <c r="Z6" s="183"/>
      <c r="AA6" s="176"/>
      <c r="AB6" s="176"/>
      <c r="AC6" s="2324"/>
      <c r="AD6" s="184"/>
      <c r="AE6" s="972" t="e">
        <f ca="1">IF(AN6="",0,SUMIF(INDIRECT("'"&amp;AN6&amp;"'"&amp;"!E:E"),$AE$5,INDIRECT("'"&amp;AN6&amp;"'"&amp;"!F:F")))</f>
        <v>#N/A</v>
      </c>
      <c r="AF6" s="141"/>
      <c r="AG6" s="1213">
        <f>IF(AF6="",0,AE6-AF6)</f>
        <v>0</v>
      </c>
      <c r="AH6" s="141"/>
      <c r="AI6" s="187">
        <v>365</v>
      </c>
      <c r="AJ6" s="188"/>
      <c r="AK6" s="189">
        <v>1.4999999999999999E-2</v>
      </c>
      <c r="AL6" s="190">
        <v>1.5E-3</v>
      </c>
      <c r="AM6" s="3015">
        <v>1.4999999999999999E-2</v>
      </c>
      <c r="AN6" s="2371" t="s">
        <v>3026</v>
      </c>
      <c r="AO6" s="2000"/>
      <c r="AP6" s="1204">
        <f>ROUND(1-1/(1+H6)^F6,3)</f>
        <v>0.80200000000000005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138732.5</v>
      </c>
      <c r="L16" s="206">
        <f>ROUND(M16*10000/SUM(K6:K14),0)</f>
        <v>3000</v>
      </c>
      <c r="M16" s="206">
        <f>SUM(M6:M14)</f>
        <v>41620</v>
      </c>
      <c r="N16" s="207">
        <f>ROUND(SUMPRODUCT(M6:M14,N6:N14)/M16,3)</f>
        <v>0</v>
      </c>
      <c r="O16" s="206">
        <f>SUM(O6:O14)</f>
        <v>0</v>
      </c>
      <c r="P16" s="206">
        <f>SUM(P6:P14)</f>
        <v>41620</v>
      </c>
      <c r="Q16" s="208">
        <f>ROUND(SUMPRODUCT(Q6:Q13,K6:K13)/SUMPRODUCT((Q6:Q13&gt;0)*(K6:K13)),2)</f>
        <v>0.2</v>
      </c>
      <c r="R16" s="2311">
        <f>SUM(R6:R13)</f>
        <v>69366.25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0.80200000000000005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215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v>3</v>
      </c>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8" t="s">
        <v>1664</v>
      </c>
      <c r="B1" s="3269"/>
      <c r="C1" s="3269"/>
      <c r="D1" s="3269"/>
      <c r="E1" s="3269"/>
      <c r="F1" s="3269"/>
      <c r="G1" s="326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021" t="s">
        <v>2845</v>
      </c>
      <c r="B1" s="3021">
        <f>SUM(B14:B23)</f>
        <v>138732.5</v>
      </c>
      <c r="C1" s="3022"/>
      <c r="D1" s="3022"/>
      <c r="E1" s="3022"/>
      <c r="F1" s="3022"/>
    </row>
    <row r="2" spans="1:9" ht="16.5">
      <c r="A2" s="3021" t="s">
        <v>2846</v>
      </c>
      <c r="B2" s="3021">
        <f>SUM(C14:C23)</f>
        <v>69366.25</v>
      </c>
      <c r="C2" s="3022"/>
      <c r="D2" s="3022"/>
      <c r="E2" s="3022"/>
      <c r="F2" s="3022"/>
    </row>
    <row r="3" spans="1:9" ht="16.5">
      <c r="A3" s="3021" t="s">
        <v>2847</v>
      </c>
      <c r="B3" s="3023">
        <f>项目基本情况!D3</f>
        <v>43528</v>
      </c>
      <c r="C3" s="3022"/>
      <c r="D3" s="3022"/>
      <c r="E3" s="3022"/>
      <c r="F3" s="3022"/>
    </row>
    <row r="4" spans="1:9" ht="33">
      <c r="A4" s="3021" t="s">
        <v>2848</v>
      </c>
      <c r="B4" s="3021" t="s">
        <v>2849</v>
      </c>
      <c r="C4" s="3021" t="s">
        <v>2850</v>
      </c>
      <c r="D4" s="3021" t="s">
        <v>2851</v>
      </c>
      <c r="E4" s="3022"/>
      <c r="F4" s="3022"/>
    </row>
    <row r="5" spans="1:9" ht="16.5">
      <c r="A5" s="3021" t="s">
        <v>2852</v>
      </c>
      <c r="B5" s="3021">
        <f ca="1">SUM(D14:D23)</f>
        <v>83892</v>
      </c>
      <c r="C5" s="3021">
        <f ca="1">ROUND(B5*10000/$B$1,0)</f>
        <v>6047</v>
      </c>
      <c r="D5" s="3021">
        <f ca="1">ROUND(B5*10000/$B$2,0)</f>
        <v>12094</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 ca="1">SUM(H14:H23)</f>
        <v>83892</v>
      </c>
      <c r="C7" s="3021">
        <f t="shared" ca="1" si="0"/>
        <v>6047</v>
      </c>
      <c r="D7" s="3021">
        <f t="shared" ca="1" si="1"/>
        <v>12094</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138732.5</v>
      </c>
      <c r="C14" s="3025">
        <f>结果表!K38</f>
        <v>69366.25</v>
      </c>
      <c r="D14" s="3025">
        <f ca="1">结果表!C42</f>
        <v>83892</v>
      </c>
      <c r="E14" s="3025">
        <f ca="1">ROUND(D14*10000/B14,0)</f>
        <v>6047</v>
      </c>
      <c r="F14" s="3025">
        <f ca="1">ROUND(D14*10000/C14,0)</f>
        <v>12094</v>
      </c>
      <c r="G14" s="3025" t="str">
        <f>结果表!C44</f>
        <v>——</v>
      </c>
      <c r="H14" s="3025">
        <f ca="1">结果表!C45</f>
        <v>83892</v>
      </c>
      <c r="I14" s="3025" t="str">
        <f>结果表!C46</f>
        <v>——</v>
      </c>
    </row>
    <row r="15" spans="1:9" ht="16.5">
      <c r="A15" s="3028" t="s">
        <v>2862</v>
      </c>
      <c r="B15" s="3029"/>
      <c r="C15" s="3029"/>
      <c r="D15" s="3029"/>
      <c r="E15" s="3025" t="e">
        <f t="shared" ref="E15:E23" si="2">ROUND(D15*10000/B15,0)</f>
        <v>#DIV/0!</v>
      </c>
      <c r="F15" s="3025" t="e">
        <f t="shared" ref="F15:F23" si="3">ROUND(D15*10000/C15,0)</f>
        <v>#DIV/0!</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3030</v>
      </c>
      <c r="E1" s="1805" t="s">
        <v>2058</v>
      </c>
      <c r="F1" s="1807" t="s">
        <v>3031</v>
      </c>
      <c r="G1" s="311"/>
      <c r="H1" s="311"/>
      <c r="I1" s="311"/>
      <c r="J1" s="2029"/>
      <c r="K1" s="2029"/>
      <c r="L1" s="2029"/>
      <c r="M1" s="2029"/>
      <c r="N1" s="2029"/>
      <c r="O1" s="2029"/>
      <c r="P1" s="2029"/>
      <c r="Q1" s="2029"/>
      <c r="R1" s="2029"/>
      <c r="S1" s="2029"/>
      <c r="T1" s="2029"/>
      <c r="U1" s="2029"/>
      <c r="V1" s="2029"/>
    </row>
    <row r="2" spans="1:22" ht="21.75" customHeight="1" thickBot="1">
      <c r="A2" s="3315" t="str">
        <f>项目基本情况!K2</f>
        <v>出让国有建设用地使用权</v>
      </c>
      <c r="B2" s="3316"/>
      <c r="C2" s="3317"/>
      <c r="D2" s="3317"/>
      <c r="E2" s="3317"/>
      <c r="F2" s="3317"/>
      <c r="G2" s="3316"/>
      <c r="H2" s="3316"/>
      <c r="I2" s="3318"/>
      <c r="J2" s="2030"/>
      <c r="K2" s="2029"/>
      <c r="L2" s="2029"/>
      <c r="M2" s="2029"/>
      <c r="N2" s="2029"/>
      <c r="O2" s="2029"/>
      <c r="P2" s="2029"/>
      <c r="Q2" s="2029"/>
      <c r="R2" s="2029"/>
      <c r="S2" s="2029"/>
      <c r="T2" s="2029"/>
      <c r="U2" s="2029"/>
      <c r="V2" s="2029"/>
    </row>
    <row r="3" spans="1:22" ht="14.25">
      <c r="A3" s="3326" t="s">
        <v>298</v>
      </c>
      <c r="B3" s="3327"/>
      <c r="C3" s="3327"/>
      <c r="D3" s="3327"/>
      <c r="E3" s="3327"/>
      <c r="F3" s="3327"/>
      <c r="G3" s="3327"/>
      <c r="H3" s="3327"/>
      <c r="I3" s="3327"/>
      <c r="J3" s="2030"/>
      <c r="K3" s="2029"/>
      <c r="L3" s="2029"/>
      <c r="M3" s="2029"/>
      <c r="N3" s="2029"/>
      <c r="O3" s="2029"/>
      <c r="P3" s="2029"/>
      <c r="Q3" s="2029"/>
      <c r="R3" s="2029"/>
      <c r="S3" s="2029"/>
      <c r="T3" s="2029"/>
      <c r="U3" s="2029"/>
      <c r="V3" s="2029"/>
    </row>
    <row r="4" spans="1:22" ht="14.25">
      <c r="A4" s="258" t="s">
        <v>299</v>
      </c>
      <c r="B4" s="259" t="s">
        <v>300</v>
      </c>
      <c r="C4" s="260" t="s">
        <v>3032</v>
      </c>
      <c r="D4" s="260" t="s">
        <v>3033</v>
      </c>
      <c r="E4" s="3290" t="s">
        <v>301</v>
      </c>
      <c r="F4" s="3332"/>
      <c r="G4" s="3332"/>
      <c r="H4" s="3332"/>
      <c r="I4" s="329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9" t="s">
        <v>302</v>
      </c>
      <c r="B5" s="3320">
        <v>25</v>
      </c>
      <c r="C5" s="3328"/>
      <c r="D5" s="3331"/>
      <c r="E5" s="261" t="s">
        <v>303</v>
      </c>
      <c r="F5" s="262"/>
      <c r="G5" s="262"/>
      <c r="H5" s="262"/>
      <c r="I5" s="263"/>
      <c r="J5" s="2030"/>
      <c r="K5" s="2029"/>
      <c r="L5" s="2029"/>
      <c r="M5" s="2029"/>
      <c r="N5" s="2029"/>
      <c r="O5" s="2029"/>
      <c r="P5" s="2029"/>
      <c r="Q5" s="2029"/>
      <c r="R5" s="2029"/>
      <c r="S5" s="2029"/>
      <c r="T5" s="2029"/>
      <c r="U5" s="2029"/>
      <c r="V5" s="2029"/>
    </row>
    <row r="6" spans="1:22" ht="14.25">
      <c r="A6" s="3319"/>
      <c r="B6" s="3320"/>
      <c r="C6" s="3329"/>
      <c r="D6" s="3331"/>
      <c r="E6" s="261" t="s">
        <v>304</v>
      </c>
      <c r="F6" s="262"/>
      <c r="G6" s="262"/>
      <c r="H6" s="262"/>
      <c r="I6" s="263"/>
      <c r="J6" s="2030"/>
      <c r="K6" s="2029"/>
      <c r="L6" s="2029"/>
      <c r="M6" s="2029"/>
      <c r="N6" s="2029"/>
      <c r="O6" s="2029"/>
      <c r="P6" s="2029"/>
      <c r="Q6" s="2029"/>
      <c r="R6" s="2029"/>
      <c r="S6" s="2029"/>
      <c r="T6" s="2029"/>
      <c r="U6" s="2029"/>
      <c r="V6" s="2029"/>
    </row>
    <row r="7" spans="1:22" ht="14.25">
      <c r="A7" s="3319"/>
      <c r="B7" s="3320"/>
      <c r="C7" s="3330"/>
      <c r="D7" s="3331"/>
      <c r="E7" s="261" t="s">
        <v>305</v>
      </c>
      <c r="F7" s="262"/>
      <c r="G7" s="262"/>
      <c r="H7" s="262"/>
      <c r="I7" s="263"/>
      <c r="J7" s="2030"/>
      <c r="K7" s="2029"/>
      <c r="L7" s="2029"/>
      <c r="M7" s="2029"/>
      <c r="N7" s="2029"/>
      <c r="O7" s="2029"/>
      <c r="P7" s="2029"/>
      <c r="Q7" s="2029"/>
      <c r="R7" s="2029"/>
      <c r="S7" s="2029"/>
      <c r="T7" s="2029"/>
      <c r="U7" s="2029"/>
      <c r="V7" s="2029"/>
    </row>
    <row r="8" spans="1:22" ht="14.25">
      <c r="A8" s="3319" t="s">
        <v>306</v>
      </c>
      <c r="B8" s="3320">
        <v>15</v>
      </c>
      <c r="C8" s="3328"/>
      <c r="D8" s="3331"/>
      <c r="E8" s="261" t="s">
        <v>307</v>
      </c>
      <c r="F8" s="262"/>
      <c r="G8" s="262"/>
      <c r="H8" s="262"/>
      <c r="I8" s="263"/>
      <c r="J8" s="2030"/>
      <c r="K8" s="2029"/>
      <c r="L8" s="2029"/>
      <c r="M8" s="2029"/>
      <c r="N8" s="2029"/>
      <c r="O8" s="2029"/>
      <c r="P8" s="2029"/>
      <c r="Q8" s="2029"/>
      <c r="R8" s="2029"/>
      <c r="S8" s="2029"/>
      <c r="T8" s="2029"/>
      <c r="U8" s="2029"/>
      <c r="V8" s="2029"/>
    </row>
    <row r="9" spans="1:22" ht="14.25">
      <c r="A9" s="3319"/>
      <c r="B9" s="3320"/>
      <c r="C9" s="3330"/>
      <c r="D9" s="3331"/>
      <c r="E9" s="261" t="s">
        <v>308</v>
      </c>
      <c r="F9" s="262"/>
      <c r="G9" s="262"/>
      <c r="H9" s="262"/>
      <c r="I9" s="263"/>
      <c r="J9" s="2030"/>
      <c r="K9" s="2029"/>
      <c r="L9" s="2029"/>
      <c r="M9" s="2029"/>
      <c r="N9" s="2029"/>
      <c r="O9" s="2029"/>
      <c r="P9" s="2029"/>
      <c r="Q9" s="2029"/>
      <c r="R9" s="2029"/>
      <c r="S9" s="2029"/>
      <c r="T9" s="2029"/>
      <c r="U9" s="2029"/>
      <c r="V9" s="2029"/>
    </row>
    <row r="10" spans="1:22" ht="14.25">
      <c r="A10" s="3319" t="s">
        <v>309</v>
      </c>
      <c r="B10" s="3320">
        <v>15</v>
      </c>
      <c r="C10" s="3328"/>
      <c r="D10" s="3331"/>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9"/>
      <c r="B11" s="3320"/>
      <c r="C11" s="3330"/>
      <c r="D11" s="3331"/>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9" t="s">
        <v>312</v>
      </c>
      <c r="B12" s="3320">
        <v>15</v>
      </c>
      <c r="C12" s="3328"/>
      <c r="D12" s="3331"/>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9"/>
      <c r="B13" s="3320"/>
      <c r="C13" s="3330"/>
      <c r="D13" s="3331"/>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9" t="s">
        <v>315</v>
      </c>
      <c r="B14" s="3320">
        <v>30</v>
      </c>
      <c r="C14" s="3328">
        <v>0.5</v>
      </c>
      <c r="D14" s="3331">
        <f>1-C14</f>
        <v>0.5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9"/>
      <c r="B15" s="3320"/>
      <c r="C15" s="3329"/>
      <c r="D15" s="333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9"/>
      <c r="B16" s="3320"/>
      <c r="C16" s="3330"/>
      <c r="D16" s="333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0.5</v>
      </c>
      <c r="D17" s="265">
        <f>SUM(D5:D16)</f>
        <v>0.5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89288</v>
      </c>
      <c r="D19" s="271">
        <f ca="1">SUMIF(INDIRECT("'"&amp;D4&amp;"'"&amp;"!A:A"),结果表!B19,INDIRECT("'"&amp;D4&amp;"'"&amp;"!B:B"))</f>
        <v>78495</v>
      </c>
      <c r="E19" s="268" t="s">
        <v>323</v>
      </c>
      <c r="F19" s="269" t="s">
        <v>322</v>
      </c>
      <c r="G19" s="272">
        <f ca="1">ROUND(C19*$C$18+D19*$D$18,0)</f>
        <v>83892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6436</v>
      </c>
      <c r="D20" s="277">
        <f ca="1">SUMIF(INDIRECT("'"&amp;D4&amp;"'"&amp;"!A:A"),结果表!B20,INDIRECT("'"&amp;D4&amp;"'"&amp;"!B:B"))</f>
        <v>5658</v>
      </c>
      <c r="E20" s="274"/>
      <c r="F20" s="275" t="s">
        <v>325</v>
      </c>
      <c r="G20" s="278">
        <f ca="1">ROUND(C20*$C$18+D20*$D$18,0)</f>
        <v>6047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12872</v>
      </c>
      <c r="D21" s="151">
        <f ca="1">SUMIF(INDIRECT("'"&amp;D4&amp;"'"&amp;"!A:A"),结果表!B21,INDIRECT("'"&amp;D4&amp;"'"&amp;"!B:B"))</f>
        <v>11316</v>
      </c>
      <c r="E21" s="274"/>
      <c r="F21" s="280" t="s">
        <v>327</v>
      </c>
      <c r="G21" s="282">
        <f ca="1">ROUND(C21*$C$18+D21*$D$18,0)</f>
        <v>12094</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0.13749920377094083</v>
      </c>
      <c r="E22" s="284"/>
      <c r="F22" s="285"/>
      <c r="G22" s="286">
        <f ca="1">ROUND(G19/('数据-汇总表'!D3/666.67),0)</f>
        <v>806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4"/>
      <c r="B25" s="1321" t="s">
        <v>331</v>
      </c>
      <c r="C25" s="290">
        <f>IF(B30=0,0,C30)</f>
        <v>0</v>
      </c>
      <c r="D25" s="291"/>
      <c r="E25" s="311"/>
      <c r="F25" s="311"/>
      <c r="G25" s="311"/>
      <c r="H25" s="311"/>
      <c r="I25" s="311"/>
      <c r="J25" s="2029"/>
      <c r="K25" s="1255" t="str">
        <f ca="1">项目基本情况!B16&amp;"国有建设用地使用权价格："&amp;O38&amp;"万元"</f>
        <v>出让国有建设用地使用权价格：83892万元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大写金额：人民币捌亿叁仟捌佰玖拾贰万元整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单位面积地价：12094元/平方米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楼面地价：6047元/平方米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 ca="1">IF(项目基本情况!E8="抵押价格","——","抵押担保权已注销时的抵押价格："&amp;O40&amp;"万元")</f>
        <v>抵押担保权已注销时的抵押价格：83892万元</v>
      </c>
      <c r="L31" s="2444"/>
      <c r="M31" s="2444"/>
      <c r="N31" s="2444"/>
      <c r="O31" s="2445"/>
      <c r="P31" s="2029"/>
      <c r="V31" s="2029"/>
    </row>
    <row r="32" spans="1:26" ht="18.75" thickBot="1">
      <c r="A32" s="268" t="s">
        <v>337</v>
      </c>
      <c r="B32" s="1382" t="s">
        <v>1689</v>
      </c>
      <c r="C32" s="1383">
        <f ca="1">G19-C24</f>
        <v>83892</v>
      </c>
      <c r="D32" s="1384" t="s">
        <v>1690</v>
      </c>
      <c r="E32" s="311"/>
      <c r="F32" s="311"/>
      <c r="G32" s="311"/>
      <c r="H32" s="311"/>
      <c r="I32" s="311"/>
      <c r="J32" s="2029"/>
      <c r="K32" s="2443" t="str">
        <f ca="1">IF(K31="——","——","大写金额：人民币"&amp;NUMBERSTRING(INT(O40*10000),2)&amp;"元整")</f>
        <v>大写金额：人民币捌亿叁仟捌佰玖拾贰万元整</v>
      </c>
      <c r="L32" s="2446"/>
      <c r="M32" s="2446"/>
      <c r="N32" s="2446"/>
      <c r="O32" s="2447"/>
      <c r="P32" s="2029"/>
      <c r="V32" s="2029"/>
    </row>
    <row r="33" spans="1:26" ht="18.75" thickBot="1">
      <c r="A33" s="298" t="s">
        <v>340</v>
      </c>
      <c r="B33" s="1385" t="s">
        <v>1691</v>
      </c>
      <c r="C33" s="264">
        <f ca="1">ROUND(C32*10000/'数据-汇总表'!E3,0)</f>
        <v>6047</v>
      </c>
      <c r="D33" s="1386" t="s">
        <v>1692</v>
      </c>
      <c r="E33" s="3292"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12094</v>
      </c>
      <c r="D34" s="1388" t="s">
        <v>1692</v>
      </c>
      <c r="E34" s="329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806</v>
      </c>
      <c r="D35" s="1391" t="s">
        <v>1694</v>
      </c>
      <c r="E35" s="3294"/>
      <c r="F35" s="301" t="s">
        <v>342</v>
      </c>
      <c r="G35" s="982"/>
      <c r="H35" s="981" t="s">
        <v>343</v>
      </c>
      <c r="I35" s="311"/>
      <c r="J35" s="2029"/>
      <c r="K35" s="3298" t="s">
        <v>350</v>
      </c>
      <c r="L35" s="3298" t="s">
        <v>351</v>
      </c>
      <c r="M35" s="1264" t="s">
        <v>352</v>
      </c>
      <c r="N35" s="3298" t="s">
        <v>353</v>
      </c>
      <c r="O35" s="3298" t="s">
        <v>354</v>
      </c>
      <c r="P35" s="2029"/>
      <c r="V35" s="2029"/>
    </row>
    <row r="36" spans="1:26" ht="16.5" customHeight="1">
      <c r="A36" s="303" t="s">
        <v>344</v>
      </c>
      <c r="B36" s="304" t="s">
        <v>333</v>
      </c>
      <c r="C36" s="305" t="s">
        <v>345</v>
      </c>
      <c r="D36" s="305" t="s">
        <v>346</v>
      </c>
      <c r="E36" s="306" t="s">
        <v>347</v>
      </c>
      <c r="F36" s="311"/>
      <c r="G36" s="311"/>
      <c r="H36" s="311"/>
      <c r="I36" s="311"/>
      <c r="J36" s="2031"/>
      <c r="K36" s="3299"/>
      <c r="L36" s="3299"/>
      <c r="M36" s="1266" t="s">
        <v>355</v>
      </c>
      <c r="N36" s="3299"/>
      <c r="O36" s="3299"/>
      <c r="P36" s="2029"/>
      <c r="V36" s="2029"/>
    </row>
    <row r="37" spans="1:26" ht="16.5" customHeight="1" thickBot="1">
      <c r="A37" s="1260" t="s">
        <v>348</v>
      </c>
      <c r="B37" s="307"/>
      <c r="C37" s="294"/>
      <c r="D37" s="294"/>
      <c r="E37" s="295"/>
      <c r="F37" s="311"/>
      <c r="G37" s="311"/>
      <c r="H37" s="311"/>
      <c r="I37" s="311"/>
      <c r="J37" s="2031"/>
      <c r="K37" s="3300"/>
      <c r="L37" s="3300"/>
      <c r="M37" s="1267"/>
      <c r="N37" s="3300"/>
      <c r="O37" s="3300"/>
      <c r="P37" s="2029"/>
      <c r="V37" s="2029"/>
    </row>
    <row r="38" spans="1:26" ht="16.5" customHeight="1" thickBot="1">
      <c r="A38" s="1260" t="s">
        <v>349</v>
      </c>
      <c r="B38" s="307"/>
      <c r="C38" s="294"/>
      <c r="D38" s="294"/>
      <c r="E38" s="295"/>
      <c r="F38" s="311"/>
      <c r="G38" s="311"/>
      <c r="H38" s="311"/>
      <c r="I38" s="311"/>
      <c r="J38" s="2031"/>
      <c r="K38" s="1268">
        <f>'数据-汇总表'!D3</f>
        <v>69366.25</v>
      </c>
      <c r="L38" s="1269">
        <f>'数据-汇总表'!E3</f>
        <v>138732.5</v>
      </c>
      <c r="M38" s="1269">
        <f ca="1">C34</f>
        <v>12094</v>
      </c>
      <c r="N38" s="1269">
        <f ca="1">C33</f>
        <v>6047</v>
      </c>
      <c r="O38" s="1270">
        <f ca="1">C32</f>
        <v>83892</v>
      </c>
      <c r="P38" s="2029"/>
      <c r="V38" s="2029"/>
    </row>
    <row r="39" spans="1:26" ht="16.5" customHeight="1" thickBot="1">
      <c r="A39" s="1265"/>
      <c r="B39" s="308"/>
      <c r="C39" s="309"/>
      <c r="D39" s="309"/>
      <c r="E39" s="310"/>
      <c r="F39" s="311"/>
      <c r="G39" s="311"/>
      <c r="H39" s="311"/>
      <c r="I39" s="311"/>
      <c r="J39" s="2031"/>
      <c r="K39" s="3275" t="str">
        <f>MID(A44,3,LEN(A44)-2)</f>
        <v/>
      </c>
      <c r="L39" s="3276"/>
      <c r="M39" s="3276"/>
      <c r="N39" s="3277"/>
      <c r="O39" s="1393" t="str">
        <f>C44</f>
        <v>——</v>
      </c>
      <c r="P39" s="2029"/>
      <c r="V39" s="2029"/>
    </row>
    <row r="40" spans="1:26" ht="19.5" thickBot="1">
      <c r="A40" s="104" t="s">
        <v>873</v>
      </c>
      <c r="B40" s="311"/>
      <c r="C40" s="311"/>
      <c r="D40" s="311"/>
      <c r="E40" s="311"/>
      <c r="F40" s="311"/>
      <c r="G40" s="311"/>
      <c r="H40" s="311"/>
      <c r="I40" s="311"/>
      <c r="J40" s="2031"/>
      <c r="K40" s="3275" t="str">
        <f t="shared" ref="K40:K41" si="0">MID(A45,3,LEN(A45)-2)</f>
        <v>抵押担保权已注销时的抵押价格</v>
      </c>
      <c r="L40" s="3276"/>
      <c r="M40" s="3276"/>
      <c r="N40" s="3277"/>
      <c r="O40" s="1393">
        <f ca="1">C45</f>
        <v>83892</v>
      </c>
      <c r="P40" s="2029"/>
      <c r="V40" s="2029"/>
    </row>
    <row r="41" spans="1:26" ht="16.5" thickBot="1">
      <c r="A41" s="312" t="s">
        <v>356</v>
      </c>
      <c r="B41" s="313"/>
      <c r="C41" s="314" t="s">
        <v>357</v>
      </c>
      <c r="D41" s="315" t="s">
        <v>358</v>
      </c>
      <c r="E41" s="315" t="s">
        <v>359</v>
      </c>
      <c r="F41" s="316" t="s">
        <v>360</v>
      </c>
      <c r="G41" s="311"/>
      <c r="H41" s="311"/>
      <c r="I41" s="311"/>
      <c r="J41" s="2031"/>
      <c r="K41" s="3275" t="str">
        <f t="shared" si="0"/>
        <v/>
      </c>
      <c r="L41" s="3276"/>
      <c r="M41" s="3276"/>
      <c r="N41" s="3277"/>
      <c r="O41" s="1393" t="str">
        <f>C46</f>
        <v>——</v>
      </c>
      <c r="P41" s="2029"/>
      <c r="V41" s="2029"/>
    </row>
    <row r="42" spans="1:26" ht="29.25">
      <c r="A42" s="3335" t="s">
        <v>2068</v>
      </c>
      <c r="B42" s="3336"/>
      <c r="C42" s="264">
        <f ca="1">C32</f>
        <v>83892</v>
      </c>
      <c r="D42" s="317">
        <f ca="1">C33</f>
        <v>6047</v>
      </c>
      <c r="E42" s="317">
        <f ca="1">C34</f>
        <v>12094</v>
      </c>
      <c r="F42" s="318">
        <f ca="1">C35</f>
        <v>806</v>
      </c>
      <c r="G42" s="311"/>
      <c r="H42" s="311"/>
      <c r="I42" s="319"/>
      <c r="J42" s="2031"/>
      <c r="K42" s="1271" t="s">
        <v>361</v>
      </c>
      <c r="L42" s="2048" t="s">
        <v>362</v>
      </c>
      <c r="M42" s="1272" t="s">
        <v>363</v>
      </c>
      <c r="N42" s="2049" t="s">
        <v>364</v>
      </c>
      <c r="O42" s="2050" t="s">
        <v>365</v>
      </c>
      <c r="P42" s="2029"/>
      <c r="V42" s="2029"/>
    </row>
    <row r="43" spans="1:26" ht="18">
      <c r="A43" s="3345" t="s">
        <v>2731</v>
      </c>
      <c r="B43" s="3346"/>
      <c r="C43" s="264">
        <f>IF(H33="正常操作",G33+G34+G35,G34+G35)</f>
        <v>0</v>
      </c>
      <c r="D43" s="317" t="s">
        <v>43</v>
      </c>
      <c r="E43" s="317" t="s">
        <v>44</v>
      </c>
      <c r="F43" s="318" t="s">
        <v>44</v>
      </c>
      <c r="G43" s="2845" t="s">
        <v>952</v>
      </c>
      <c r="H43" s="311"/>
      <c r="I43" s="319"/>
      <c r="J43" s="2031"/>
      <c r="K43" s="1273" t="str">
        <f>C4</f>
        <v>比较法-工业</v>
      </c>
      <c r="L43" s="1274">
        <f ca="1">IF(L42="估价结果/万元",C19,C20)</f>
        <v>89288</v>
      </c>
      <c r="M43" s="1275">
        <f>C18</f>
        <v>0.5</v>
      </c>
      <c r="N43" s="1276">
        <f ca="1">IF(N42="测算结果/万元",G19,G20)</f>
        <v>83892</v>
      </c>
      <c r="O43" s="1277">
        <f ca="1">IF(O42="最终结果/万元",C32,C33)</f>
        <v>83892</v>
      </c>
      <c r="P43" s="2029"/>
      <c r="V43" s="2029"/>
    </row>
    <row r="44" spans="1:26" ht="30.75" thickBot="1">
      <c r="A44" s="3335" t="str">
        <f>IF(OR(项目基本情况!E8="抵押价格",项目基本情况!E8="已注销及未注销"),"3.抵押价格","——")</f>
        <v>——</v>
      </c>
      <c r="B44" s="3336"/>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78495</v>
      </c>
      <c r="M44" s="1280">
        <f>D18</f>
        <v>0.5</v>
      </c>
      <c r="N44" s="1281"/>
      <c r="O44" s="1282"/>
      <c r="P44" s="2029"/>
      <c r="V44" s="2029"/>
    </row>
    <row r="45" spans="1:26" ht="15">
      <c r="A45" s="3340" t="str">
        <f>IF(项目基本情况!E8="已注销及未注销","4.抵押担保权已注销时的抵押价格",IF(项目基本情况!E8="已注销","3.抵押担保权已注销时的抵押价格","——"))</f>
        <v>3.抵押担保权已注销时的抵押价格</v>
      </c>
      <c r="B45" s="3341"/>
      <c r="C45" s="1804">
        <f ca="1">IF(A45="——","——",IF(项目基本情况!E8="抵押价格","——",C32-G34-G35))</f>
        <v>83892</v>
      </c>
      <c r="D45" s="317">
        <f ca="1">ROUND(C45*10000/'数据-汇总表'!E3,0)</f>
        <v>6047</v>
      </c>
      <c r="E45" s="317">
        <f ca="1">ROUND(C45*10000/'数据-汇总表'!D3,0)</f>
        <v>12094</v>
      </c>
      <c r="F45" s="318">
        <f ca="1">ROUND(C45/('数据-汇总表'!D3/666.67),0)</f>
        <v>806</v>
      </c>
      <c r="G45" s="311"/>
      <c r="H45" s="311"/>
      <c r="I45" s="319"/>
      <c r="J45" s="2031"/>
      <c r="K45" s="2029"/>
      <c r="L45" s="2029"/>
      <c r="M45" s="2029"/>
      <c r="N45" s="2029"/>
      <c r="O45" s="2029"/>
      <c r="P45" s="2029"/>
      <c r="V45" s="2029"/>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3" t="s">
        <v>374</v>
      </c>
      <c r="B63" s="3304"/>
      <c r="C63" s="3305"/>
      <c r="D63" s="341">
        <f ca="1">ROUND(C42*F63,0)</f>
        <v>50335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2" t="s">
        <v>378</v>
      </c>
      <c r="B64" s="3343"/>
      <c r="C64" s="3343"/>
      <c r="D64" s="3343"/>
      <c r="E64" s="3343"/>
      <c r="F64" s="3343"/>
      <c r="G64" s="334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9" t="s">
        <v>386</v>
      </c>
      <c r="B66" s="3310"/>
      <c r="C66" s="3310"/>
      <c r="D66" s="261">
        <f ca="1">IF(H66="情况1",0,IF(H66="情况2",D70,IF(H66="情况3",D71,IF(H66="情况4",D72))))</f>
        <v>2685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79" t="s">
        <v>385</v>
      </c>
      <c r="M66" s="3280"/>
      <c r="N66" s="2438"/>
      <c r="O66" s="2439"/>
      <c r="P66" s="2440"/>
      <c r="Q66" s="2029"/>
      <c r="R66" s="2029"/>
      <c r="S66" s="2029"/>
      <c r="T66" s="2029"/>
      <c r="U66" s="2029"/>
      <c r="V66" s="2029"/>
    </row>
    <row r="67" spans="1:22" ht="25.5" customHeight="1">
      <c r="A67" s="352" t="s">
        <v>390</v>
      </c>
      <c r="B67" s="3322" t="s">
        <v>391</v>
      </c>
      <c r="C67" s="3322"/>
      <c r="D67" s="353">
        <v>0</v>
      </c>
      <c r="E67" s="41" t="s">
        <v>392</v>
      </c>
      <c r="F67" s="62" t="s">
        <v>21</v>
      </c>
      <c r="G67" s="3306"/>
      <c r="H67" s="311"/>
      <c r="I67" s="1292"/>
      <c r="J67" s="2036"/>
      <c r="K67" s="1977">
        <v>2</v>
      </c>
      <c r="L67" s="3278" t="s">
        <v>389</v>
      </c>
      <c r="M67" s="3278"/>
      <c r="N67" s="1325">
        <f>'数据-取费表'!B2</f>
        <v>43528</v>
      </c>
      <c r="O67" s="1325"/>
      <c r="P67" s="1325"/>
      <c r="Q67" s="2029"/>
      <c r="R67" s="2029"/>
      <c r="S67" s="2029"/>
      <c r="T67" s="2029"/>
      <c r="U67" s="2029"/>
      <c r="V67" s="2029"/>
    </row>
    <row r="68" spans="1:22" ht="25.5" customHeight="1">
      <c r="A68" s="354"/>
      <c r="B68" s="3322" t="s">
        <v>394</v>
      </c>
      <c r="C68" s="3322"/>
      <c r="D68" s="355"/>
      <c r="E68" s="77"/>
      <c r="F68" s="356"/>
      <c r="G68" s="3307"/>
      <c r="H68" s="311"/>
      <c r="I68" s="1292"/>
      <c r="J68" s="2036"/>
      <c r="K68" s="1977">
        <v>3</v>
      </c>
      <c r="L68" s="3278" t="s">
        <v>393</v>
      </c>
      <c r="M68" s="3278"/>
      <c r="N68" s="1293">
        <f ca="1">C42</f>
        <v>83892</v>
      </c>
      <c r="O68" s="1293"/>
      <c r="P68" s="1293"/>
      <c r="Q68" s="2029"/>
      <c r="R68" s="2029"/>
      <c r="S68" s="2029"/>
      <c r="T68" s="2029"/>
      <c r="U68" s="2029"/>
      <c r="V68" s="2029"/>
    </row>
    <row r="69" spans="1:22" ht="12" customHeight="1">
      <c r="A69" s="357"/>
      <c r="B69" s="3322" t="s">
        <v>395</v>
      </c>
      <c r="C69" s="3322"/>
      <c r="D69" s="358"/>
      <c r="E69" s="73"/>
      <c r="F69" s="356"/>
      <c r="G69" s="3308"/>
      <c r="H69" s="311"/>
      <c r="I69" s="1292"/>
      <c r="J69" s="2036"/>
      <c r="K69" s="1294">
        <v>4</v>
      </c>
      <c r="L69" s="3284" t="s">
        <v>2884</v>
      </c>
      <c r="M69" s="3285"/>
      <c r="N69" s="1295" t="str">
        <f>C44</f>
        <v>——</v>
      </c>
      <c r="O69" s="1295"/>
      <c r="P69" s="1295"/>
      <c r="Q69" s="2029"/>
      <c r="R69" s="2029"/>
      <c r="S69" s="2029"/>
      <c r="T69" s="2029"/>
      <c r="U69" s="2029"/>
      <c r="V69" s="2029"/>
    </row>
    <row r="70" spans="1:22" ht="24" customHeight="1">
      <c r="A70" s="359" t="s">
        <v>396</v>
      </c>
      <c r="B70" s="3322" t="s">
        <v>397</v>
      </c>
      <c r="C70" s="3322"/>
      <c r="D70" s="358">
        <f ca="1">ROUND(D63*'数据-取费表'!B41/(1+'数据-取费表'!C42),0)</f>
        <v>2685</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321" t="s">
        <v>405</v>
      </c>
      <c r="C71" s="3333"/>
      <c r="D71" s="358">
        <f ca="1">ROUND(D63*'数据-取费表'!B41/(1+'数据-取费表'!C42),0)</f>
        <v>2685</v>
      </c>
      <c r="E71" s="17" t="s">
        <v>398</v>
      </c>
      <c r="F71" s="360">
        <f>'数据-取费表'!B41</f>
        <v>5.6000000000000001E-2</v>
      </c>
      <c r="G71" s="361"/>
      <c r="H71" s="311"/>
      <c r="I71" s="1292"/>
      <c r="J71" s="2036"/>
      <c r="K71" s="3037" t="s">
        <v>399</v>
      </c>
      <c r="L71" s="3286" t="s">
        <v>400</v>
      </c>
      <c r="M71" s="3286"/>
      <c r="N71" s="3037" t="s">
        <v>401</v>
      </c>
      <c r="O71" s="3037" t="s">
        <v>402</v>
      </c>
      <c r="P71" s="3037" t="s">
        <v>403</v>
      </c>
      <c r="Q71" s="2029"/>
      <c r="R71" s="2029"/>
      <c r="S71" s="2029"/>
      <c r="T71" s="2029"/>
      <c r="U71" s="2029"/>
      <c r="V71" s="2029"/>
    </row>
    <row r="72" spans="1:22" ht="12" customHeight="1">
      <c r="A72" s="359" t="s">
        <v>407</v>
      </c>
      <c r="B72" s="3321" t="s">
        <v>408</v>
      </c>
      <c r="C72" s="3333"/>
      <c r="D72" s="358">
        <f ca="1">C86</f>
        <v>2573</v>
      </c>
      <c r="E72" s="73" t="s">
        <v>409</v>
      </c>
      <c r="F72" s="360">
        <f>'数据-取费表'!B41</f>
        <v>5.6000000000000001E-2</v>
      </c>
      <c r="G72" s="361"/>
      <c r="H72" s="1298"/>
      <c r="I72" s="1292"/>
      <c r="J72" s="2036"/>
      <c r="K72" s="1977">
        <v>1</v>
      </c>
      <c r="L72" s="3283" t="s">
        <v>406</v>
      </c>
      <c r="M72" s="3283"/>
      <c r="N72" s="1296">
        <f ca="1">D66</f>
        <v>2685</v>
      </c>
      <c r="O72" s="1860" t="str">
        <f>E66</f>
        <v>销售额×税（费）率</v>
      </c>
      <c r="P72" s="1297">
        <f>F66</f>
        <v>5.6000000000000001E-2</v>
      </c>
      <c r="Q72" s="2029"/>
      <c r="R72" s="2029"/>
      <c r="S72" s="2029"/>
      <c r="T72" s="2029"/>
      <c r="U72" s="2029"/>
      <c r="V72" s="2029"/>
    </row>
    <row r="73" spans="1:22" ht="24" customHeight="1">
      <c r="A73" s="3309" t="s">
        <v>411</v>
      </c>
      <c r="B73" s="3310"/>
      <c r="C73" s="3310"/>
      <c r="D73" s="362">
        <f>IF(H73="个人住宅",0,ROUND(D63*I73,0))</f>
        <v>0</v>
      </c>
      <c r="E73" s="17" t="s">
        <v>412</v>
      </c>
      <c r="F73" s="360" t="str">
        <f>IF(H73="正常",I73,"免征")</f>
        <v>免征</v>
      </c>
      <c r="G73" s="361"/>
      <c r="H73" s="191" t="s">
        <v>2456</v>
      </c>
      <c r="I73" s="360">
        <f>'数据-取费表'!B49</f>
        <v>5.0000000000000001E-4</v>
      </c>
      <c r="J73" s="2036"/>
      <c r="K73" s="1977">
        <v>2</v>
      </c>
      <c r="L73" s="3283" t="s">
        <v>410</v>
      </c>
      <c r="M73" s="3283"/>
      <c r="N73" s="1296">
        <f t="shared" ref="N73:P74" si="1">D73</f>
        <v>0</v>
      </c>
      <c r="O73" s="1860" t="str">
        <f t="shared" si="1"/>
        <v>销售额×税（费）率</v>
      </c>
      <c r="P73" s="1297" t="str">
        <f t="shared" si="1"/>
        <v>免征</v>
      </c>
      <c r="Q73" s="2029"/>
      <c r="R73" s="2029"/>
      <c r="S73" s="2029"/>
      <c r="T73" s="2029"/>
      <c r="U73" s="2029"/>
      <c r="V73" s="2029"/>
    </row>
    <row r="74" spans="1:22" ht="24.75">
      <c r="A74" s="3309" t="s">
        <v>415</v>
      </c>
      <c r="B74" s="3310"/>
      <c r="C74" s="3310"/>
      <c r="D74" s="362">
        <f ca="1">IF(H74="个人住宅",D75,D76)</f>
        <v>27834</v>
      </c>
      <c r="E74" s="17" t="s">
        <v>416</v>
      </c>
      <c r="F74" s="360" t="str">
        <f>IF(H74="正常",F76,"免征")</f>
        <v>——</v>
      </c>
      <c r="G74" s="983" t="s">
        <v>417</v>
      </c>
      <c r="H74" s="363" t="s">
        <v>413</v>
      </c>
      <c r="I74" s="42"/>
      <c r="J74" s="2036"/>
      <c r="K74" s="1977">
        <v>3</v>
      </c>
      <c r="L74" s="3283" t="s">
        <v>414</v>
      </c>
      <c r="M74" s="3283"/>
      <c r="N74" s="1296">
        <f t="shared" ca="1" si="1"/>
        <v>27834</v>
      </c>
      <c r="O74" s="1860" t="str">
        <f t="shared" si="1"/>
        <v>增值额×税（费）率</v>
      </c>
      <c r="P74" s="1299" t="str">
        <f t="shared" si="1"/>
        <v>——</v>
      </c>
      <c r="Q74" s="2029"/>
      <c r="R74" s="2029"/>
      <c r="S74" s="2029"/>
      <c r="T74" s="2029"/>
      <c r="U74" s="2029"/>
      <c r="V74" s="2029"/>
    </row>
    <row r="75" spans="1:22" ht="24">
      <c r="A75" s="359" t="s">
        <v>418</v>
      </c>
      <c r="B75" s="3290" t="s">
        <v>419</v>
      </c>
      <c r="C75" s="3291"/>
      <c r="D75" s="364">
        <v>0</v>
      </c>
      <c r="E75" s="41" t="s">
        <v>420</v>
      </c>
      <c r="F75" s="365"/>
      <c r="G75" s="361"/>
      <c r="H75" s="42"/>
      <c r="I75" s="42"/>
      <c r="J75" s="2036"/>
      <c r="K75" s="3030">
        <f>IF(H77="非个人房产","",4)</f>
        <v>4</v>
      </c>
      <c r="L75" s="3283" t="str">
        <f>IF(H77="非个人房产","——","个人所得税")</f>
        <v>个人所得税</v>
      </c>
      <c r="M75" s="3283"/>
      <c r="N75" s="1300">
        <f ca="1">D77</f>
        <v>503</v>
      </c>
      <c r="O75" s="1873" t="str">
        <f>E77</f>
        <v>销售额×税（费）率</v>
      </c>
      <c r="P75" s="1301">
        <f>F77</f>
        <v>0.01</v>
      </c>
      <c r="Q75" s="2029"/>
      <c r="R75" s="2029"/>
      <c r="S75" s="2029"/>
      <c r="T75" s="2029"/>
      <c r="U75" s="2029"/>
      <c r="V75" s="2029"/>
    </row>
    <row r="76" spans="1:22" ht="24.75">
      <c r="A76" s="359" t="s">
        <v>396</v>
      </c>
      <c r="B76" s="3290" t="s">
        <v>422</v>
      </c>
      <c r="C76" s="3332"/>
      <c r="D76" s="362">
        <f ca="1">IF(H76="转让取得",C99,C115)</f>
        <v>27834</v>
      </c>
      <c r="E76" s="17" t="s">
        <v>423</v>
      </c>
      <c r="F76" s="53" t="s">
        <v>21</v>
      </c>
      <c r="G76" s="361"/>
      <c r="H76" s="363" t="s">
        <v>424</v>
      </c>
      <c r="I76" s="42"/>
      <c r="J76" s="2036"/>
      <c r="K76" s="3030" t="str">
        <f>IF(项目基本情况!K6="上海银行",IF(K75="",4,K75+1),"")</f>
        <v/>
      </c>
      <c r="L76" s="3271" t="str">
        <f>IF(项目基本情况!K6="上海银行","其他处置费用","")</f>
        <v/>
      </c>
      <c r="M76" s="3272"/>
      <c r="N76" s="1296" t="str">
        <f>IF(项目基本情况!K6="上海银行",N89,"")</f>
        <v/>
      </c>
      <c r="O76" s="3273" t="str">
        <f>IF(项目基本情况!K6="上海银行","包含处置中涉及的律师、诉讼、拍卖、评估等费用","")</f>
        <v/>
      </c>
      <c r="P76" s="3274"/>
      <c r="Q76" s="2029"/>
      <c r="R76" s="2029"/>
      <c r="S76" s="2029"/>
      <c r="T76" s="2029"/>
      <c r="U76" s="2029"/>
      <c r="V76" s="2029"/>
    </row>
    <row r="77" spans="1:22" ht="26.25" thickBot="1">
      <c r="A77" s="3301" t="s">
        <v>426</v>
      </c>
      <c r="B77" s="3302"/>
      <c r="C77" s="3302"/>
      <c r="D77" s="366">
        <f ca="1">IF(H77="非个人房产","——",IF(H77="个人住宅",0,ROUND(D63*I77,0)))</f>
        <v>503</v>
      </c>
      <c r="E77" s="367" t="str">
        <f>IF(H77="非个人房产","——","销售额×税（费）率")</f>
        <v>销售额×税（费）率</v>
      </c>
      <c r="F77" s="368">
        <f>IF(H77="非个人房产","——",IF(H77="个人住宅","免征",I77))</f>
        <v>0.01</v>
      </c>
      <c r="G77" s="984" t="s">
        <v>417</v>
      </c>
      <c r="H77" s="363" t="s">
        <v>2885</v>
      </c>
      <c r="I77" s="369">
        <v>0.01</v>
      </c>
      <c r="J77" s="2036"/>
      <c r="K77" s="3297">
        <f>IF(AND(K75="",K76=""),4,IF(项目基本情况!K6="上海银行",K76+1,K75+1))</f>
        <v>5</v>
      </c>
      <c r="L77" s="3283" t="s">
        <v>2886</v>
      </c>
      <c r="M77" s="3036" t="s">
        <v>421</v>
      </c>
      <c r="N77" s="1302"/>
      <c r="O77" s="1303">
        <f ca="1">SUMIF(N72:N76,"&lt;9e307")</f>
        <v>31022</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297"/>
      <c r="L78" s="3283"/>
      <c r="M78" s="3036" t="s">
        <v>425</v>
      </c>
      <c r="N78" s="1302"/>
      <c r="O78" s="1303" t="str">
        <f ca="1">NUMBERSTRING(INT(O77*10000),2)&amp;"元整"</f>
        <v>叁亿壹仟零贰拾贰万元整</v>
      </c>
      <c r="P78" s="1304"/>
      <c r="Q78" s="2029"/>
      <c r="R78" s="2029"/>
      <c r="S78" s="2029"/>
      <c r="T78" s="2029"/>
      <c r="U78" s="2029"/>
      <c r="V78" s="2029"/>
    </row>
    <row r="79" spans="1:22" ht="13.5" thickBot="1">
      <c r="A79" s="3287" t="s">
        <v>427</v>
      </c>
      <c r="B79" s="3287"/>
      <c r="C79" s="3287"/>
      <c r="D79" s="3287"/>
      <c r="E79" s="3287"/>
      <c r="F79" s="42"/>
      <c r="G79" s="42"/>
      <c r="H79" s="1003"/>
      <c r="I79" s="311"/>
      <c r="J79" s="2036"/>
      <c r="K79" s="3281">
        <f>K77+1</f>
        <v>6</v>
      </c>
      <c r="L79" s="3283" t="s">
        <v>2887</v>
      </c>
      <c r="M79" s="3036" t="s">
        <v>421</v>
      </c>
      <c r="N79" s="1302"/>
      <c r="O79" s="1303" t="e">
        <f ca="1">N69-O77</f>
        <v>#VALUE!</v>
      </c>
      <c r="P79" s="1304"/>
      <c r="Q79" s="2029"/>
      <c r="R79" s="2029"/>
      <c r="S79" s="2029"/>
      <c r="T79" s="2029"/>
      <c r="U79" s="2029"/>
      <c r="V79" s="2029"/>
    </row>
    <row r="80" spans="1:22" ht="12.75">
      <c r="A80" s="3288" t="s">
        <v>428</v>
      </c>
      <c r="B80" s="3289"/>
      <c r="C80" s="994"/>
      <c r="D80" s="994" t="s">
        <v>429</v>
      </c>
      <c r="E80" s="370" t="s">
        <v>430</v>
      </c>
      <c r="F80" s="42"/>
      <c r="G80" s="42"/>
      <c r="H80" s="1003"/>
      <c r="I80" s="311"/>
      <c r="J80" s="2029"/>
      <c r="K80" s="3282"/>
      <c r="L80" s="3283"/>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47938</v>
      </c>
      <c r="D81" s="373"/>
      <c r="E81" s="374"/>
      <c r="F81" s="42"/>
      <c r="G81" s="42"/>
      <c r="H81" s="1003"/>
      <c r="I81" s="311"/>
      <c r="J81" s="2029"/>
      <c r="K81" s="3030">
        <f>K79+1</f>
        <v>7</v>
      </c>
      <c r="L81" s="3295" t="s">
        <v>2888</v>
      </c>
      <c r="M81" s="3296"/>
      <c r="N81" s="1306"/>
      <c r="O81" s="1307" t="e">
        <f ca="1">ROUND(O79*10000/'数据-汇总表'!E3,0)</f>
        <v>#VALUE!</v>
      </c>
      <c r="P81" s="1308"/>
      <c r="Q81" s="2029"/>
      <c r="R81" s="2029"/>
      <c r="S81" s="2029"/>
      <c r="T81" s="2029"/>
      <c r="U81" s="2029"/>
      <c r="V81" s="2029"/>
    </row>
    <row r="82" spans="1:26" ht="13.5" thickTop="1">
      <c r="A82" s="375" t="s">
        <v>1825</v>
      </c>
      <c r="B82" s="376" t="s">
        <v>432</v>
      </c>
      <c r="C82" s="377">
        <f ca="1">D63</f>
        <v>50335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0" t="s">
        <v>2875</v>
      </c>
      <c r="L83" s="3042" t="s">
        <v>2876</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270"/>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1828</v>
      </c>
      <c r="B85" s="382" t="s">
        <v>435</v>
      </c>
      <c r="C85" s="385">
        <f ca="1">C81-C84</f>
        <v>45938</v>
      </c>
      <c r="D85" s="378" t="s">
        <v>19</v>
      </c>
      <c r="E85" s="379"/>
      <c r="F85" s="42"/>
      <c r="G85" s="42"/>
      <c r="H85" s="1003"/>
      <c r="I85" s="311"/>
      <c r="J85" s="2029"/>
      <c r="K85" s="3270"/>
      <c r="L85" s="3042" t="s">
        <v>2879</v>
      </c>
      <c r="M85" s="3032"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1829</v>
      </c>
      <c r="B86" s="387" t="s">
        <v>436</v>
      </c>
      <c r="C86" s="388">
        <f ca="1">IF(C85&lt;=0,0,ROUND(C85*D86,0))</f>
        <v>2573</v>
      </c>
      <c r="D86" s="389">
        <f>'数据-取费表'!B41</f>
        <v>5.6000000000000001E-2</v>
      </c>
      <c r="E86" s="390"/>
      <c r="F86" s="42"/>
      <c r="G86" s="42"/>
      <c r="H86" s="1003"/>
      <c r="I86" s="311"/>
      <c r="J86" s="2029"/>
      <c r="K86" s="3270"/>
      <c r="L86" s="3042" t="s">
        <v>2880</v>
      </c>
      <c r="M86" s="3032"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0"/>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24" t="s">
        <v>437</v>
      </c>
      <c r="B88" s="3325"/>
      <c r="C88" s="3325"/>
      <c r="D88" s="3325"/>
      <c r="E88" s="3325"/>
      <c r="F88" s="3325"/>
      <c r="G88" s="3325"/>
      <c r="H88" s="3325"/>
      <c r="I88" s="1315"/>
      <c r="J88" s="2037"/>
      <c r="K88" s="3270"/>
      <c r="L88" s="3042" t="s">
        <v>2883</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288" t="s">
        <v>428</v>
      </c>
      <c r="B89" s="3289"/>
      <c r="C89" s="994"/>
      <c r="D89" s="994" t="s">
        <v>429</v>
      </c>
      <c r="E89" s="391" t="s">
        <v>438</v>
      </c>
      <c r="F89" s="392"/>
      <c r="G89" s="392"/>
      <c r="H89" s="393"/>
      <c r="I89" s="1316"/>
      <c r="J89" s="2039"/>
      <c r="K89" s="3270"/>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47938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2849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1" t="s">
        <v>447</v>
      </c>
      <c r="F94" s="3322"/>
      <c r="G94" s="3322"/>
      <c r="H94" s="332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288</v>
      </c>
      <c r="D96" s="406">
        <f>'数据-取费表'!B43</f>
        <v>6.000000000000001E-3</v>
      </c>
      <c r="E96" s="3311" t="s">
        <v>2429</v>
      </c>
      <c r="F96" s="3312"/>
      <c r="G96" s="3312"/>
      <c r="H96" s="331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45089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15.826254826254827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26056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4" t="s">
        <v>454</v>
      </c>
      <c r="B101" s="3325"/>
      <c r="C101" s="3325"/>
      <c r="D101" s="3325"/>
      <c r="E101" s="3325"/>
      <c r="F101" s="3325"/>
      <c r="G101" s="3325"/>
      <c r="H101" s="332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8" t="s">
        <v>428</v>
      </c>
      <c r="B102" s="328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47938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978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4" t="s">
        <v>462</v>
      </c>
      <c r="F109" s="3312"/>
      <c r="G109" s="3312"/>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4" t="s">
        <v>464</v>
      </c>
      <c r="F110" s="3312"/>
      <c r="G110" s="3312"/>
      <c r="H110" s="331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288</v>
      </c>
      <c r="D111" s="406">
        <f>'数据-取费表'!B43</f>
        <v>6.000000000000001E-3</v>
      </c>
      <c r="E111" s="3311" t="s">
        <v>2429</v>
      </c>
      <c r="F111" s="3312"/>
      <c r="G111" s="3312"/>
      <c r="H111" s="331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4" t="s">
        <v>2454</v>
      </c>
      <c r="F112" s="3312"/>
      <c r="G112" s="3312"/>
      <c r="H112" s="331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46960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48.016359918200408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27834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41620</v>
      </c>
      <c r="D13" s="451"/>
      <c r="E13" s="365"/>
      <c r="F13" s="452"/>
      <c r="G13" s="444"/>
      <c r="H13" s="447"/>
      <c r="I13" s="447"/>
      <c r="J13" s="447"/>
      <c r="K13" s="448"/>
    </row>
    <row r="14" spans="1:41" s="2117" customFormat="1" ht="13.5" customHeight="1">
      <c r="A14" s="1634" t="s">
        <v>1850</v>
      </c>
      <c r="B14" s="449" t="s">
        <v>480</v>
      </c>
      <c r="C14" s="53">
        <f ca="1">ROUND(C13*F14,0)</f>
        <v>1249</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1249</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2775</v>
      </c>
      <c r="D16" s="451">
        <f ca="1">IF(B1="",'数据-汇总表'!E3,INDIRECT("'数据-取费表'!K"&amp;$K$1)+INDIRECT("'数据-取费表'!S"&amp;$K$1))</f>
        <v>138732.5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624</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47517</v>
      </c>
      <c r="D18" s="461"/>
      <c r="E18" s="462"/>
      <c r="F18" s="462"/>
      <c r="G18" s="1327" t="s">
        <v>2433</v>
      </c>
      <c r="H18" s="447"/>
      <c r="I18" s="447"/>
      <c r="J18" s="447"/>
      <c r="K18" s="448"/>
    </row>
    <row r="19" spans="1:14" s="2120" customFormat="1" ht="13.5" customHeight="1">
      <c r="A19" s="1635" t="s">
        <v>1855</v>
      </c>
      <c r="B19" s="459" t="s">
        <v>493</v>
      </c>
      <c r="C19" s="460">
        <f ca="1">ROUND(C18*F19,0)</f>
        <v>950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2302</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2302</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1.4E-3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9693</v>
      </c>
      <c r="D24" s="489">
        <f ca="1">C26</f>
        <v>6.0000000000000001E-3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2437</v>
      </c>
      <c r="C25" s="490">
        <f ca="1">ROUND((C18+C19)*F24,0)</f>
        <v>9693</v>
      </c>
      <c r="D25" s="472"/>
      <c r="E25" s="473"/>
      <c r="F25" s="480"/>
      <c r="G25" s="1326" t="s">
        <v>2434</v>
      </c>
      <c r="H25" s="457"/>
      <c r="I25" s="457"/>
      <c r="J25" s="457"/>
      <c r="K25" s="458"/>
    </row>
    <row r="26" spans="1:14" s="2121" customFormat="1" ht="13.5" customHeight="1">
      <c r="A26" s="1634" t="s">
        <v>1850</v>
      </c>
      <c r="B26" s="1328" t="s">
        <v>509</v>
      </c>
      <c r="C26" s="491">
        <f ca="1">ROUND(F20*F24,4)</f>
        <v>6.0000000000000001E-3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66493</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9" t="s">
        <v>522</v>
      </c>
      <c r="D6" s="3370"/>
      <c r="E6" s="3369" t="s">
        <v>523</v>
      </c>
      <c r="F6" s="3370"/>
      <c r="G6" s="3369" t="s">
        <v>524</v>
      </c>
      <c r="H6" s="3370"/>
      <c r="I6" s="3369" t="s">
        <v>525</v>
      </c>
      <c r="J6" s="3370"/>
      <c r="K6" s="514" t="s">
        <v>526</v>
      </c>
      <c r="L6" s="2134"/>
      <c r="M6" s="2133"/>
      <c r="N6" s="2133"/>
      <c r="O6" s="2135"/>
      <c r="P6" s="3371" t="s">
        <v>527</v>
      </c>
      <c r="Q6" s="3372"/>
      <c r="R6" s="3357" t="s">
        <v>523</v>
      </c>
      <c r="S6" s="3358"/>
      <c r="T6" s="3357" t="s">
        <v>524</v>
      </c>
      <c r="U6" s="3358"/>
      <c r="V6" s="3377" t="s">
        <v>525</v>
      </c>
      <c r="W6" s="3377"/>
      <c r="X6" s="1568"/>
      <c r="Y6" s="3357" t="s">
        <v>527</v>
      </c>
      <c r="Z6" s="3358"/>
      <c r="AA6" s="3352" t="s">
        <v>523</v>
      </c>
      <c r="AB6" s="3353" t="s">
        <v>524</v>
      </c>
      <c r="AC6" s="3352" t="s">
        <v>525</v>
      </c>
    </row>
    <row r="7" spans="1:30" ht="20.25">
      <c r="A7" s="515"/>
      <c r="B7" s="516"/>
      <c r="C7" s="3380" t="s">
        <v>2932</v>
      </c>
      <c r="D7" s="3381"/>
      <c r="E7" s="3380" t="s">
        <v>2933</v>
      </c>
      <c r="F7" s="3381"/>
      <c r="G7" s="3380" t="s">
        <v>2934</v>
      </c>
      <c r="H7" s="3381"/>
      <c r="I7" s="3380" t="s">
        <v>2935</v>
      </c>
      <c r="J7" s="3381"/>
      <c r="K7" s="514"/>
      <c r="L7" s="2134"/>
      <c r="M7" s="2133"/>
      <c r="N7" s="2133"/>
      <c r="O7" s="2135"/>
      <c r="P7" s="3373"/>
      <c r="Q7" s="3374"/>
      <c r="R7" s="3359"/>
      <c r="S7" s="3360"/>
      <c r="T7" s="3359"/>
      <c r="U7" s="3360"/>
      <c r="V7" s="3377"/>
      <c r="W7" s="3377"/>
      <c r="X7" s="1568"/>
      <c r="Y7" s="3359"/>
      <c r="Z7" s="3360"/>
      <c r="AA7" s="3353"/>
      <c r="AB7" s="3353"/>
      <c r="AC7" s="3353"/>
    </row>
    <row r="8" spans="1:30" ht="21" thickBot="1">
      <c r="A8" s="515"/>
      <c r="B8" s="516"/>
      <c r="C8" s="3382" t="s">
        <v>2936</v>
      </c>
      <c r="D8" s="3383"/>
      <c r="E8" s="3382" t="s">
        <v>2936</v>
      </c>
      <c r="F8" s="3383"/>
      <c r="G8" s="3378" t="s">
        <v>2936</v>
      </c>
      <c r="H8" s="3379"/>
      <c r="I8" s="3378" t="s">
        <v>2936</v>
      </c>
      <c r="J8" s="3379"/>
      <c r="K8" s="514" t="s">
        <v>528</v>
      </c>
      <c r="L8" s="2134"/>
      <c r="M8" s="2133"/>
      <c r="N8" s="2133"/>
      <c r="O8" s="2135"/>
      <c r="P8" s="3375"/>
      <c r="Q8" s="3376"/>
      <c r="R8" s="3359"/>
      <c r="S8" s="3360"/>
      <c r="T8" s="3361"/>
      <c r="U8" s="3362"/>
      <c r="V8" s="3377"/>
      <c r="W8" s="3377"/>
      <c r="X8" s="1568"/>
      <c r="Y8" s="3361"/>
      <c r="Z8" s="3362"/>
      <c r="AA8" s="3354"/>
      <c r="AB8" s="3354"/>
      <c r="AC8" s="3354"/>
    </row>
    <row r="9" spans="1:30" s="1220" customFormat="1" ht="21" thickBot="1">
      <c r="A9" s="2891"/>
      <c r="B9" s="2898" t="s">
        <v>529</v>
      </c>
      <c r="C9" s="2890">
        <f>'数据-取费表'!B2</f>
        <v>43528</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55" t="s">
        <v>530</v>
      </c>
      <c r="Q9" s="3364"/>
      <c r="R9" s="1569" t="s">
        <v>8</v>
      </c>
      <c r="S9" s="1570">
        <f t="shared" ref="S9:S17" si="0">F9</f>
        <v>0</v>
      </c>
      <c r="T9" s="1569" t="s">
        <v>8</v>
      </c>
      <c r="U9" s="1570">
        <f t="shared" ref="U9:U17" si="1">H9</f>
        <v>0</v>
      </c>
      <c r="V9" s="1569" t="s">
        <v>8</v>
      </c>
      <c r="W9" s="1570">
        <f t="shared" ref="W9:W17" si="2">J9</f>
        <v>0</v>
      </c>
      <c r="X9" s="1571"/>
      <c r="Y9" s="3355" t="s">
        <v>530</v>
      </c>
      <c r="Z9" s="3356"/>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55" t="s">
        <v>533</v>
      </c>
      <c r="Q10" s="3356"/>
      <c r="R10" s="1569" t="s">
        <v>8</v>
      </c>
      <c r="S10" s="1570">
        <f t="shared" si="0"/>
        <v>0</v>
      </c>
      <c r="T10" s="1569" t="s">
        <v>8</v>
      </c>
      <c r="U10" s="1570">
        <f t="shared" si="1"/>
        <v>0</v>
      </c>
      <c r="V10" s="1569" t="s">
        <v>8</v>
      </c>
      <c r="W10" s="1570">
        <f t="shared" si="2"/>
        <v>0</v>
      </c>
      <c r="X10" s="1571"/>
      <c r="Y10" s="3355" t="s">
        <v>533</v>
      </c>
      <c r="Z10" s="3356"/>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3"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103</v>
      </c>
      <c r="G12" s="530"/>
      <c r="H12" s="255">
        <f>ROUND(100/'数据-取费表'!G16,0)</f>
        <v>103</v>
      </c>
      <c r="I12" s="530"/>
      <c r="J12" s="255">
        <f>ROUND(100/'数据-取费表'!G16,0)</f>
        <v>103</v>
      </c>
      <c r="K12" s="531"/>
      <c r="L12" s="2139"/>
      <c r="M12" s="2133"/>
      <c r="N12" s="2133"/>
      <c r="O12" s="2140"/>
      <c r="P12" s="3363"/>
      <c r="Q12" s="1151" t="str">
        <f t="shared" si="6"/>
        <v>土地使用年限（年）</v>
      </c>
      <c r="R12" s="1569" t="s">
        <v>8</v>
      </c>
      <c r="S12" s="1570">
        <f t="shared" si="0"/>
        <v>103</v>
      </c>
      <c r="T12" s="1569" t="s">
        <v>8</v>
      </c>
      <c r="U12" s="1570">
        <f t="shared" si="1"/>
        <v>103</v>
      </c>
      <c r="V12" s="1569" t="s">
        <v>8</v>
      </c>
      <c r="W12" s="1570">
        <f t="shared" si="2"/>
        <v>103</v>
      </c>
      <c r="X12" s="1571"/>
      <c r="Y12" s="3320"/>
      <c r="Z12" s="1150" t="str">
        <f t="shared" si="7"/>
        <v>土地使用年限（年）</v>
      </c>
      <c r="AA12" s="1572">
        <f t="shared" si="3"/>
        <v>0.970873786407767</v>
      </c>
      <c r="AB12" s="1572">
        <f t="shared" si="4"/>
        <v>0.970873786407767</v>
      </c>
      <c r="AC12" s="1572">
        <f t="shared" si="5"/>
        <v>0.970873786407767</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63"/>
      <c r="Q13" s="1151" t="str">
        <f t="shared" si="6"/>
        <v>容积率</v>
      </c>
      <c r="R13" s="1569" t="s">
        <v>8</v>
      </c>
      <c r="S13" s="1570" t="e">
        <f t="shared" si="0"/>
        <v>#N/A</v>
      </c>
      <c r="T13" s="1569" t="s">
        <v>8</v>
      </c>
      <c r="U13" s="1570" t="e">
        <f t="shared" si="1"/>
        <v>#N/A</v>
      </c>
      <c r="V13" s="1569" t="s">
        <v>8</v>
      </c>
      <c r="W13" s="1570" t="e">
        <f t="shared" si="2"/>
        <v>#N/A</v>
      </c>
      <c r="X13" s="1571"/>
      <c r="Y13" s="3320"/>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3"/>
      <c r="Q14" s="1151" t="str">
        <f t="shared" si="6"/>
        <v>配建</v>
      </c>
      <c r="R14" s="1569" t="s">
        <v>8</v>
      </c>
      <c r="S14" s="1570">
        <f t="shared" si="0"/>
        <v>100</v>
      </c>
      <c r="T14" s="1569" t="s">
        <v>8</v>
      </c>
      <c r="U14" s="1570">
        <f t="shared" si="1"/>
        <v>100</v>
      </c>
      <c r="V14" s="1569" t="s">
        <v>8</v>
      </c>
      <c r="W14" s="1570">
        <f t="shared" si="2"/>
        <v>100</v>
      </c>
      <c r="X14" s="1571"/>
      <c r="Y14" s="3320"/>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3"/>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3"/>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5" t="s">
        <v>540</v>
      </c>
      <c r="Q17" s="1573" t="str">
        <f t="shared" si="6"/>
        <v>居住社区成熟度</v>
      </c>
      <c r="R17" s="1574" t="s">
        <v>8</v>
      </c>
      <c r="S17" s="1575">
        <f t="shared" si="0"/>
        <v>100</v>
      </c>
      <c r="T17" s="1574" t="s">
        <v>8</v>
      </c>
      <c r="U17" s="1575">
        <f t="shared" si="1"/>
        <v>100</v>
      </c>
      <c r="V17" s="1574" t="s">
        <v>8</v>
      </c>
      <c r="W17" s="1575">
        <f t="shared" si="2"/>
        <v>100</v>
      </c>
      <c r="X17" s="1568"/>
      <c r="Y17" s="3365"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6"/>
      <c r="Q18" s="1573"/>
      <c r="R18" s="1574"/>
      <c r="S18" s="1575"/>
      <c r="T18" s="1574"/>
      <c r="U18" s="1575"/>
      <c r="V18" s="1574"/>
      <c r="W18" s="1575"/>
      <c r="X18" s="1568"/>
      <c r="Y18" s="336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66"/>
      <c r="Q19" s="1573" t="str">
        <f>B19</f>
        <v>商业繁华度</v>
      </c>
      <c r="R19" s="1574" t="s">
        <v>8</v>
      </c>
      <c r="S19" s="1575">
        <f>F19</f>
        <v>100</v>
      </c>
      <c r="T19" s="1574" t="s">
        <v>8</v>
      </c>
      <c r="U19" s="1575">
        <f>H19</f>
        <v>100</v>
      </c>
      <c r="V19" s="1574" t="s">
        <v>8</v>
      </c>
      <c r="W19" s="1575">
        <f>J19</f>
        <v>100</v>
      </c>
      <c r="X19" s="1568"/>
      <c r="Y19" s="336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66"/>
      <c r="Q20" s="1573"/>
      <c r="R20" s="1574"/>
      <c r="S20" s="1575"/>
      <c r="T20" s="1574"/>
      <c r="U20" s="1575"/>
      <c r="V20" s="1574"/>
      <c r="W20" s="1575"/>
      <c r="X20" s="1568"/>
      <c r="Y20" s="336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6"/>
      <c r="Q21" s="1573" t="str">
        <f>B21</f>
        <v>办公集聚程度</v>
      </c>
      <c r="R21" s="1574" t="s">
        <v>8</v>
      </c>
      <c r="S21" s="1575">
        <f>F21</f>
        <v>100</v>
      </c>
      <c r="T21" s="1574" t="s">
        <v>8</v>
      </c>
      <c r="U21" s="1575">
        <f>H21</f>
        <v>100</v>
      </c>
      <c r="V21" s="1574" t="s">
        <v>8</v>
      </c>
      <c r="W21" s="1575">
        <f>J21</f>
        <v>100</v>
      </c>
      <c r="X21" s="1568"/>
      <c r="Y21" s="336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6"/>
      <c r="Q22" s="1573"/>
      <c r="R22" s="1574"/>
      <c r="S22" s="1575"/>
      <c r="T22" s="1574"/>
      <c r="U22" s="1575"/>
      <c r="V22" s="1574"/>
      <c r="W22" s="1575"/>
      <c r="X22" s="1568"/>
      <c r="Y22" s="336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66"/>
      <c r="Q23" s="1573" t="str">
        <f>B23</f>
        <v>交通便捷度</v>
      </c>
      <c r="R23" s="1574" t="s">
        <v>8</v>
      </c>
      <c r="S23" s="1575">
        <f>F23</f>
        <v>100</v>
      </c>
      <c r="T23" s="1574" t="s">
        <v>8</v>
      </c>
      <c r="U23" s="1575">
        <f>H23</f>
        <v>100</v>
      </c>
      <c r="V23" s="1574" t="s">
        <v>8</v>
      </c>
      <c r="W23" s="1575">
        <f>J23</f>
        <v>100</v>
      </c>
      <c r="X23" s="1568"/>
      <c r="Y23" s="3366"/>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66"/>
      <c r="Q24" s="1573"/>
      <c r="R24" s="1574"/>
      <c r="S24" s="1575"/>
      <c r="T24" s="1574"/>
      <c r="U24" s="1575"/>
      <c r="V24" s="1574"/>
      <c r="W24" s="1575"/>
      <c r="X24" s="1568"/>
      <c r="Y24" s="336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66"/>
      <c r="Q25" s="1573" t="str">
        <f t="shared" ref="Q25:Q39" si="8">B25</f>
        <v>区域土地利用方向</v>
      </c>
      <c r="R25" s="1574" t="s">
        <v>8</v>
      </c>
      <c r="S25" s="1575">
        <f>F25</f>
        <v>100</v>
      </c>
      <c r="T25" s="1574" t="s">
        <v>8</v>
      </c>
      <c r="U25" s="1575">
        <f>H25</f>
        <v>100</v>
      </c>
      <c r="V25" s="1574" t="s">
        <v>8</v>
      </c>
      <c r="W25" s="1575">
        <f>J25</f>
        <v>100</v>
      </c>
      <c r="X25" s="1568"/>
      <c r="Y25" s="336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66"/>
      <c r="Q26" s="1573"/>
      <c r="R26" s="1574"/>
      <c r="S26" s="1575"/>
      <c r="T26" s="1574"/>
      <c r="U26" s="1575"/>
      <c r="V26" s="1574"/>
      <c r="W26" s="1575"/>
      <c r="X26" s="1568"/>
      <c r="Y26" s="336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66"/>
      <c r="Q27" s="1573" t="str">
        <f t="shared" si="8"/>
        <v>自然及人文环境状况</v>
      </c>
      <c r="R27" s="1574" t="s">
        <v>8</v>
      </c>
      <c r="S27" s="1575">
        <f>F27</f>
        <v>100</v>
      </c>
      <c r="T27" s="1574" t="s">
        <v>8</v>
      </c>
      <c r="U27" s="1575">
        <f>H27</f>
        <v>100</v>
      </c>
      <c r="V27" s="1574" t="s">
        <v>8</v>
      </c>
      <c r="W27" s="1575">
        <f>J27</f>
        <v>100</v>
      </c>
      <c r="X27" s="1568"/>
      <c r="Y27" s="336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66"/>
      <c r="Q28" s="1573"/>
      <c r="R28" s="1574"/>
      <c r="S28" s="1575"/>
      <c r="T28" s="1574"/>
      <c r="U28" s="1575"/>
      <c r="V28" s="1574"/>
      <c r="W28" s="1575"/>
      <c r="X28" s="1568"/>
      <c r="Y28" s="3366"/>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66"/>
      <c r="Q29" s="1151" t="str">
        <f t="shared" si="8"/>
        <v>公共配套设施</v>
      </c>
      <c r="R29" s="1569" t="s">
        <v>8</v>
      </c>
      <c r="S29" s="1570">
        <f>F29</f>
        <v>100</v>
      </c>
      <c r="T29" s="1569" t="s">
        <v>8</v>
      </c>
      <c r="U29" s="1570">
        <f>H29</f>
        <v>100</v>
      </c>
      <c r="V29" s="1569" t="s">
        <v>8</v>
      </c>
      <c r="W29" s="1570">
        <f>J29</f>
        <v>100</v>
      </c>
      <c r="X29" s="1571"/>
      <c r="Y29" s="336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66"/>
      <c r="Q30" s="1151"/>
      <c r="R30" s="1569"/>
      <c r="S30" s="1570"/>
      <c r="T30" s="1569"/>
      <c r="U30" s="1570"/>
      <c r="V30" s="1569"/>
      <c r="W30" s="1570"/>
      <c r="X30" s="1571"/>
      <c r="Y30" s="3366"/>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66"/>
      <c r="Q31" s="2558" t="str">
        <f t="shared" ref="Q31" si="9">B31</f>
        <v>基础设施水平</v>
      </c>
      <c r="R31" s="1569" t="s">
        <v>8</v>
      </c>
      <c r="S31" s="1570">
        <f>F31</f>
        <v>100</v>
      </c>
      <c r="T31" s="1569" t="s">
        <v>8</v>
      </c>
      <c r="U31" s="1570">
        <f>H31</f>
        <v>100</v>
      </c>
      <c r="V31" s="1569" t="s">
        <v>8</v>
      </c>
      <c r="W31" s="1570">
        <f>J31</f>
        <v>100</v>
      </c>
      <c r="X31" s="1571"/>
      <c r="Y31" s="3366"/>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66"/>
      <c r="Q32" s="2558"/>
      <c r="R32" s="1569"/>
      <c r="S32" s="1570"/>
      <c r="T32" s="1569"/>
      <c r="U32" s="1570"/>
      <c r="V32" s="1569"/>
      <c r="W32" s="1570"/>
      <c r="X32" s="1571"/>
      <c r="Y32" s="3366"/>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6"/>
      <c r="Q34" s="1573" t="str">
        <f t="shared" si="8"/>
        <v>毗邻道路的类型与等级</v>
      </c>
      <c r="R34" s="1574" t="s">
        <v>8</v>
      </c>
      <c r="S34" s="1575">
        <f t="shared" si="10"/>
        <v>100</v>
      </c>
      <c r="T34" s="1574" t="s">
        <v>8</v>
      </c>
      <c r="U34" s="1575">
        <f t="shared" si="11"/>
        <v>100</v>
      </c>
      <c r="V34" s="1574" t="s">
        <v>8</v>
      </c>
      <c r="W34" s="1575">
        <f t="shared" si="12"/>
        <v>100</v>
      </c>
      <c r="X34" s="1568"/>
      <c r="Y34" s="336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6"/>
      <c r="Q35" s="1573"/>
      <c r="R35" s="1574"/>
      <c r="S35" s="1575"/>
      <c r="T35" s="1574"/>
      <c r="U35" s="1575"/>
      <c r="V35" s="1574"/>
      <c r="W35" s="1575"/>
      <c r="X35" s="1568"/>
      <c r="Y35" s="336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6"/>
      <c r="Q36" s="1573" t="str">
        <f t="shared" si="8"/>
        <v>土地级别</v>
      </c>
      <c r="R36" s="1574" t="s">
        <v>8</v>
      </c>
      <c r="S36" s="1575">
        <f t="shared" si="10"/>
        <v>100</v>
      </c>
      <c r="T36" s="1574" t="s">
        <v>8</v>
      </c>
      <c r="U36" s="1575">
        <f t="shared" si="11"/>
        <v>100</v>
      </c>
      <c r="V36" s="1574" t="s">
        <v>8</v>
      </c>
      <c r="W36" s="1575">
        <f t="shared" si="12"/>
        <v>100</v>
      </c>
      <c r="X36" s="1568"/>
      <c r="Y36" s="336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6"/>
      <c r="Q37" s="1573">
        <f t="shared" si="8"/>
        <v>111</v>
      </c>
      <c r="R37" s="1574" t="s">
        <v>8</v>
      </c>
      <c r="S37" s="1575">
        <f t="shared" si="10"/>
        <v>100</v>
      </c>
      <c r="T37" s="1574" t="s">
        <v>8</v>
      </c>
      <c r="U37" s="1575">
        <f t="shared" si="11"/>
        <v>100</v>
      </c>
      <c r="V37" s="1574" t="s">
        <v>8</v>
      </c>
      <c r="W37" s="1575">
        <f t="shared" si="12"/>
        <v>100</v>
      </c>
      <c r="X37" s="1568"/>
      <c r="Y37" s="336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7" t="s">
        <v>550</v>
      </c>
      <c r="Q38" s="1573">
        <f t="shared" si="8"/>
        <v>111</v>
      </c>
      <c r="R38" s="1574" t="s">
        <v>8</v>
      </c>
      <c r="S38" s="1575">
        <f t="shared" si="10"/>
        <v>100</v>
      </c>
      <c r="T38" s="1574" t="s">
        <v>8</v>
      </c>
      <c r="U38" s="1575">
        <f t="shared" si="11"/>
        <v>100</v>
      </c>
      <c r="V38" s="1574" t="s">
        <v>8</v>
      </c>
      <c r="W38" s="1575">
        <f t="shared" si="12"/>
        <v>100</v>
      </c>
      <c r="X38" s="1568"/>
      <c r="Y38" s="336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8"/>
      <c r="Q39" s="1573">
        <f t="shared" si="8"/>
        <v>111</v>
      </c>
      <c r="R39" s="1578" t="s">
        <v>8</v>
      </c>
      <c r="S39" s="1579">
        <f t="shared" si="10"/>
        <v>100</v>
      </c>
      <c r="T39" s="1578" t="s">
        <v>8</v>
      </c>
      <c r="U39" s="1579">
        <f t="shared" si="11"/>
        <v>100</v>
      </c>
      <c r="V39" s="1578" t="s">
        <v>8</v>
      </c>
      <c r="W39" s="1579">
        <f t="shared" si="12"/>
        <v>100</v>
      </c>
      <c r="X39" s="1580"/>
      <c r="Y39" s="3368"/>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68"/>
      <c r="Q40" s="1573" t="str">
        <f>B40</f>
        <v>宗地面积</v>
      </c>
      <c r="R40" s="1574" t="s">
        <v>8</v>
      </c>
      <c r="S40" s="1575" t="e">
        <f t="shared" si="10"/>
        <v>#N/A</v>
      </c>
      <c r="T40" s="1574" t="s">
        <v>8</v>
      </c>
      <c r="U40" s="1575" t="e">
        <f t="shared" si="11"/>
        <v>#N/A</v>
      </c>
      <c r="V40" s="1574" t="s">
        <v>8</v>
      </c>
      <c r="W40" s="1575" t="e">
        <f t="shared" si="12"/>
        <v>#N/A</v>
      </c>
      <c r="X40" s="1568"/>
      <c r="Y40" s="3368"/>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68"/>
      <c r="Q41" s="1573" t="str">
        <f t="shared" ref="Q41:Q47" si="14">B41</f>
        <v>宗地形状</v>
      </c>
      <c r="R41" s="1574" t="s">
        <v>8</v>
      </c>
      <c r="S41" s="1575">
        <f t="shared" si="10"/>
        <v>100</v>
      </c>
      <c r="T41" s="1574" t="s">
        <v>8</v>
      </c>
      <c r="U41" s="1575">
        <f t="shared" si="11"/>
        <v>100</v>
      </c>
      <c r="V41" s="1574" t="s">
        <v>8</v>
      </c>
      <c r="W41" s="1575">
        <f t="shared" si="12"/>
        <v>100</v>
      </c>
      <c r="X41" s="1568"/>
      <c r="Y41" s="3368"/>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68"/>
      <c r="Q42" s="1573" t="str">
        <f t="shared" si="14"/>
        <v>临街宽度及深度</v>
      </c>
      <c r="R42" s="1574" t="s">
        <v>8</v>
      </c>
      <c r="S42" s="1575">
        <f t="shared" si="10"/>
        <v>100</v>
      </c>
      <c r="T42" s="1574" t="s">
        <v>8</v>
      </c>
      <c r="U42" s="1575">
        <f t="shared" si="11"/>
        <v>100</v>
      </c>
      <c r="V42" s="1574" t="s">
        <v>8</v>
      </c>
      <c r="W42" s="1575">
        <f t="shared" si="12"/>
        <v>100</v>
      </c>
      <c r="X42" s="1568"/>
      <c r="Y42" s="3368"/>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68"/>
      <c r="Q43" s="1573" t="str">
        <f t="shared" si="14"/>
        <v>宗地开发程度</v>
      </c>
      <c r="R43" s="1569" t="s">
        <v>8</v>
      </c>
      <c r="S43" s="1570">
        <f t="shared" si="10"/>
        <v>100</v>
      </c>
      <c r="T43" s="1569" t="s">
        <v>8</v>
      </c>
      <c r="U43" s="1570">
        <f t="shared" si="11"/>
        <v>100</v>
      </c>
      <c r="V43" s="1569" t="s">
        <v>8</v>
      </c>
      <c r="W43" s="1570">
        <f t="shared" si="12"/>
        <v>100</v>
      </c>
      <c r="X43" s="1571"/>
      <c r="Y43" s="336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68" t="s">
        <v>550</v>
      </c>
      <c r="Q44" s="1573" t="str">
        <f t="shared" si="14"/>
        <v>工程地质条件</v>
      </c>
      <c r="R44" s="1574" t="s">
        <v>8</v>
      </c>
      <c r="S44" s="1575">
        <f t="shared" si="10"/>
        <v>100</v>
      </c>
      <c r="T44" s="1574" t="s">
        <v>8</v>
      </c>
      <c r="U44" s="1575">
        <f t="shared" si="11"/>
        <v>100</v>
      </c>
      <c r="V44" s="1574" t="s">
        <v>8</v>
      </c>
      <c r="W44" s="1575">
        <f t="shared" si="12"/>
        <v>100</v>
      </c>
      <c r="X44" s="1568"/>
      <c r="Y44" s="336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8"/>
      <c r="Q45" s="1573">
        <f t="shared" si="14"/>
        <v>111</v>
      </c>
      <c r="R45" s="1574" t="s">
        <v>8</v>
      </c>
      <c r="S45" s="1575">
        <f t="shared" si="10"/>
        <v>100</v>
      </c>
      <c r="T45" s="1574" t="s">
        <v>8</v>
      </c>
      <c r="U45" s="1575">
        <f t="shared" si="11"/>
        <v>100</v>
      </c>
      <c r="V45" s="1574" t="s">
        <v>8</v>
      </c>
      <c r="W45" s="1575">
        <f t="shared" si="12"/>
        <v>100</v>
      </c>
      <c r="X45" s="1568"/>
      <c r="Y45" s="336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8"/>
      <c r="Q46" s="1573">
        <f t="shared" si="14"/>
        <v>111</v>
      </c>
      <c r="R46" s="1574" t="s">
        <v>8</v>
      </c>
      <c r="S46" s="1575">
        <f t="shared" si="10"/>
        <v>100</v>
      </c>
      <c r="T46" s="1574" t="s">
        <v>8</v>
      </c>
      <c r="U46" s="1575">
        <f t="shared" si="11"/>
        <v>100</v>
      </c>
      <c r="V46" s="1574" t="s">
        <v>8</v>
      </c>
      <c r="W46" s="1575">
        <f t="shared" si="12"/>
        <v>100</v>
      </c>
      <c r="X46" s="1568"/>
      <c r="Y46" s="336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8"/>
      <c r="Q47" s="1573">
        <f t="shared" si="14"/>
        <v>111</v>
      </c>
      <c r="R47" s="1578" t="s">
        <v>8</v>
      </c>
      <c r="S47" s="1579">
        <f t="shared" si="10"/>
        <v>100</v>
      </c>
      <c r="T47" s="1578" t="s">
        <v>8</v>
      </c>
      <c r="U47" s="1579">
        <f t="shared" si="11"/>
        <v>100</v>
      </c>
      <c r="V47" s="1578" t="s">
        <v>8</v>
      </c>
      <c r="W47" s="1579">
        <f t="shared" si="12"/>
        <v>100</v>
      </c>
      <c r="X47" s="1580"/>
      <c r="Y47" s="3368"/>
      <c r="Z47" s="1581">
        <f t="shared" si="13"/>
        <v>111</v>
      </c>
      <c r="AA47" s="1577">
        <f t="shared" si="3"/>
        <v>1</v>
      </c>
      <c r="AB47" s="1577">
        <f t="shared" si="4"/>
        <v>1</v>
      </c>
      <c r="AC47" s="1577">
        <f t="shared" si="5"/>
        <v>1</v>
      </c>
    </row>
    <row r="48" spans="1:29" ht="20.25">
      <c r="A48" s="607" t="s">
        <v>556</v>
      </c>
      <c r="B48" s="608" t="s">
        <v>2937</v>
      </c>
      <c r="C48" s="609" t="s">
        <v>1</v>
      </c>
      <c r="D48" s="610"/>
      <c r="E48" s="611"/>
      <c r="F48" s="612"/>
      <c r="G48" s="613"/>
      <c r="H48" s="614"/>
      <c r="I48" s="611"/>
      <c r="J48" s="614"/>
      <c r="K48" s="1340"/>
      <c r="L48" s="2145"/>
      <c r="M48" s="2133"/>
      <c r="N48" s="2133"/>
      <c r="O48" s="2146"/>
      <c r="P48" s="3363" t="str">
        <f>A48</f>
        <v>成交单价</v>
      </c>
      <c r="Q48" s="3363"/>
      <c r="R48" s="3377">
        <f>E48</f>
        <v>0</v>
      </c>
      <c r="S48" s="3377"/>
      <c r="T48" s="3377">
        <f>G48</f>
        <v>0</v>
      </c>
      <c r="U48" s="3377"/>
      <c r="V48" s="3377">
        <f>I48</f>
        <v>0</v>
      </c>
      <c r="W48" s="3377"/>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63" t="str">
        <f>A49</f>
        <v>比较价格（元/平方米）</v>
      </c>
      <c r="Q49" s="3363"/>
      <c r="R49" s="3387" t="e">
        <f>ROUND(PRODUCT(R48,AA9:AA47),0)</f>
        <v>#DIV/0!</v>
      </c>
      <c r="S49" s="3387"/>
      <c r="T49" s="3387" t="e">
        <f>ROUND(PRODUCT(T48,AB9:AB47),0)</f>
        <v>#DIV/0!</v>
      </c>
      <c r="U49" s="3387"/>
      <c r="V49" s="3387" t="e">
        <f>ROUND(PRODUCT(V48,AC9:AC47),0)</f>
        <v>#DIV/0!</v>
      </c>
      <c r="W49" s="3387"/>
      <c r="X49" s="1560"/>
      <c r="Y49" s="1560"/>
      <c r="Z49" s="1560"/>
      <c r="AA49" s="1560"/>
      <c r="AB49" s="1560"/>
      <c r="AC49" s="1560"/>
    </row>
    <row r="50" spans="1:29" ht="21" thickBot="1">
      <c r="A50" s="621" t="s">
        <v>2938</v>
      </c>
      <c r="B50" s="622"/>
      <c r="C50" s="623" t="e">
        <f>R50</f>
        <v>#DIV/0!</v>
      </c>
      <c r="D50" s="623"/>
      <c r="E50" s="623"/>
      <c r="F50" s="623"/>
      <c r="G50" s="623"/>
      <c r="H50" s="623"/>
      <c r="I50" s="623"/>
      <c r="J50" s="623"/>
      <c r="K50" s="1342"/>
      <c r="L50" s="2145"/>
      <c r="M50" s="2133"/>
      <c r="N50" s="2133"/>
      <c r="O50" s="2146"/>
      <c r="P50" s="3384" t="str">
        <f>A50</f>
        <v>估价对象XX用房的比较价格（楼面单价，元/平方米）</v>
      </c>
      <c r="Q50" s="3385"/>
      <c r="R50" s="3386" t="e">
        <f>ROUND(AVERAGE(R49:V49),0)</f>
        <v>#DIV/0!</v>
      </c>
      <c r="S50" s="3386"/>
      <c r="T50" s="3386"/>
      <c r="U50" s="3386"/>
      <c r="V50" s="3386"/>
      <c r="W50" s="338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7" t="s">
        <v>2282</v>
      </c>
      <c r="H57" s="3348"/>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138732.5</v>
      </c>
      <c r="F58" s="636" t="e">
        <f t="shared" ref="F58:F67" si="15">ROUND(B58*E58/10000,0)</f>
        <v>#DIV/0!</v>
      </c>
      <c r="G58" s="3349"/>
      <c r="H58" s="335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51"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5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5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5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69366.25</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2" t="str">
        <f>项目基本情况!B1</f>
        <v>出让国有建设用地使用权市场价格预评估</v>
      </c>
      <c r="C37" s="3182"/>
      <c r="D37" s="3182"/>
      <c r="E37" s="3182"/>
      <c r="F37" s="3182"/>
      <c r="G37" s="3182"/>
      <c r="H37" s="3182"/>
      <c r="I37" s="3182"/>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13" sqref="K1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89288</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6436</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12872</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858</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9" t="s">
        <v>522</v>
      </c>
      <c r="D6" s="3370"/>
      <c r="E6" s="3393" t="s">
        <v>523</v>
      </c>
      <c r="F6" s="3394"/>
      <c r="G6" s="3369" t="s">
        <v>524</v>
      </c>
      <c r="H6" s="3370"/>
      <c r="I6" s="3369" t="s">
        <v>525</v>
      </c>
      <c r="J6" s="3370"/>
      <c r="K6" s="514" t="s">
        <v>526</v>
      </c>
      <c r="L6" s="2134"/>
      <c r="M6" s="2135"/>
      <c r="N6" s="2135"/>
      <c r="O6" s="2135"/>
      <c r="P6" s="3371" t="s">
        <v>527</v>
      </c>
      <c r="Q6" s="3372"/>
      <c r="R6" s="3357" t="s">
        <v>523</v>
      </c>
      <c r="S6" s="3358"/>
      <c r="T6" s="3357" t="s">
        <v>524</v>
      </c>
      <c r="U6" s="3358"/>
      <c r="V6" s="3377" t="s">
        <v>525</v>
      </c>
      <c r="W6" s="3377"/>
      <c r="X6" s="1568"/>
      <c r="Y6" s="3357" t="s">
        <v>527</v>
      </c>
      <c r="Z6" s="3358"/>
      <c r="AA6" s="3352" t="s">
        <v>523</v>
      </c>
      <c r="AB6" s="3353" t="s">
        <v>524</v>
      </c>
      <c r="AC6" s="3352" t="s">
        <v>525</v>
      </c>
    </row>
    <row r="7" spans="1:29" ht="15">
      <c r="A7" s="515"/>
      <c r="B7" s="516"/>
      <c r="C7" s="3380" t="s">
        <v>2932</v>
      </c>
      <c r="D7" s="3381"/>
      <c r="E7" s="3395" t="str">
        <f>土地案例!A4</f>
        <v>蚕桑路以南,蚕宝路以西</v>
      </c>
      <c r="F7" s="3396"/>
      <c r="G7" s="3380" t="str">
        <f>土地案例!A5</f>
        <v>七里路以北,金蚕路以西</v>
      </c>
      <c r="H7" s="3381"/>
      <c r="I7" s="3380" t="str">
        <f>土地案例!A8</f>
        <v>长江路以北、金山湖路以西</v>
      </c>
      <c r="J7" s="3381"/>
      <c r="K7" s="514"/>
      <c r="L7" s="2134"/>
      <c r="M7" s="2135"/>
      <c r="N7" s="2135"/>
      <c r="O7" s="2135"/>
      <c r="P7" s="3373"/>
      <c r="Q7" s="3374"/>
      <c r="R7" s="3359"/>
      <c r="S7" s="3360"/>
      <c r="T7" s="3359"/>
      <c r="U7" s="3360"/>
      <c r="V7" s="3377"/>
      <c r="W7" s="3377"/>
      <c r="X7" s="1568"/>
      <c r="Y7" s="3359"/>
      <c r="Z7" s="3360"/>
      <c r="AA7" s="3353"/>
      <c r="AB7" s="3353"/>
      <c r="AC7" s="3353"/>
    </row>
    <row r="8" spans="1:29" ht="15.75" thickBot="1">
      <c r="A8" s="517"/>
      <c r="B8" s="518"/>
      <c r="C8" s="3378" t="s">
        <v>2936</v>
      </c>
      <c r="D8" s="3379"/>
      <c r="E8" s="3397" t="s">
        <v>2936</v>
      </c>
      <c r="F8" s="3398"/>
      <c r="G8" s="3378" t="s">
        <v>2936</v>
      </c>
      <c r="H8" s="3379"/>
      <c r="I8" s="3378" t="s">
        <v>2936</v>
      </c>
      <c r="J8" s="3379"/>
      <c r="K8" s="514" t="s">
        <v>528</v>
      </c>
      <c r="L8" s="2134"/>
      <c r="M8" s="2135"/>
      <c r="N8" s="2135"/>
      <c r="O8" s="2135"/>
      <c r="P8" s="3375"/>
      <c r="Q8" s="3376"/>
      <c r="R8" s="3359"/>
      <c r="S8" s="3360"/>
      <c r="T8" s="3361"/>
      <c r="U8" s="3362"/>
      <c r="V8" s="3377"/>
      <c r="W8" s="3377"/>
      <c r="X8" s="1568"/>
      <c r="Y8" s="3361"/>
      <c r="Z8" s="3362"/>
      <c r="AA8" s="3354"/>
      <c r="AB8" s="3354"/>
      <c r="AC8" s="3354"/>
    </row>
    <row r="9" spans="1:29" s="1220" customFormat="1" ht="15.75" thickBot="1">
      <c r="A9" s="2891"/>
      <c r="B9" s="2898" t="s">
        <v>529</v>
      </c>
      <c r="C9" s="519">
        <f>'数据-取费表'!B2</f>
        <v>43528</v>
      </c>
      <c r="D9" s="520">
        <v>100</v>
      </c>
      <c r="E9" s="521" t="str">
        <f>土地案例!H4</f>
        <v>2018-03-30</v>
      </c>
      <c r="F9" s="522">
        <f>SUMIF(67:67,YEAR(E9)&amp;"-"&amp;INT((MONTH(E9)+2)/3),68:68)</f>
        <v>96</v>
      </c>
      <c r="G9" s="523" t="str">
        <f>土地案例!H5</f>
        <v>2018-03-30</v>
      </c>
      <c r="H9" s="520">
        <f>SUMIF(67:67,YEAR(G9)&amp;"-"&amp;INT((MONTH(G9)+2)/3),68:68)</f>
        <v>96</v>
      </c>
      <c r="I9" s="523" t="str">
        <f>土地案例!H8</f>
        <v>2017-12-07</v>
      </c>
      <c r="J9" s="520">
        <f>SUMIF(67:67,YEAR(I9)&amp;"-"&amp;INT((MONTH(I9)+2)/3),68:68)</f>
        <v>95</v>
      </c>
      <c r="K9" s="524"/>
      <c r="L9" s="2136"/>
      <c r="M9" s="2137"/>
      <c r="N9" s="2137"/>
      <c r="O9" s="2137"/>
      <c r="P9" s="3355" t="s">
        <v>530</v>
      </c>
      <c r="Q9" s="3364"/>
      <c r="R9" s="1569" t="s">
        <v>8</v>
      </c>
      <c r="S9" s="1570">
        <f t="shared" ref="S9:S17" si="0">F9</f>
        <v>96</v>
      </c>
      <c r="T9" s="1569" t="s">
        <v>8</v>
      </c>
      <c r="U9" s="1570">
        <f t="shared" ref="U9:U17" si="1">H9</f>
        <v>96</v>
      </c>
      <c r="V9" s="1569" t="s">
        <v>8</v>
      </c>
      <c r="W9" s="1570">
        <f t="shared" ref="W9:W17" si="2">J9</f>
        <v>95</v>
      </c>
      <c r="X9" s="1571"/>
      <c r="Y9" s="3355" t="s">
        <v>530</v>
      </c>
      <c r="Z9" s="3356"/>
      <c r="AA9" s="1572">
        <f>D9/F9</f>
        <v>1.0416666666666667</v>
      </c>
      <c r="AB9" s="1572">
        <f>D9/H9</f>
        <v>1.0416666666666667</v>
      </c>
      <c r="AC9" s="1572">
        <f>D9/J9</f>
        <v>1.0526315789473684</v>
      </c>
    </row>
    <row r="10" spans="1:29" s="1220" customFormat="1" ht="15.75" thickBot="1">
      <c r="A10" s="2892"/>
      <c r="B10" s="2899"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6"/>
      <c r="M10" s="2137"/>
      <c r="N10" s="2137"/>
      <c r="O10" s="2137"/>
      <c r="P10" s="3355" t="s">
        <v>533</v>
      </c>
      <c r="Q10" s="3356"/>
      <c r="R10" s="1569" t="s">
        <v>8</v>
      </c>
      <c r="S10" s="1570">
        <f t="shared" si="0"/>
        <v>100</v>
      </c>
      <c r="T10" s="1569" t="s">
        <v>8</v>
      </c>
      <c r="U10" s="1570">
        <f t="shared" si="1"/>
        <v>100</v>
      </c>
      <c r="V10" s="1569" t="s">
        <v>8</v>
      </c>
      <c r="W10" s="1570">
        <f t="shared" si="2"/>
        <v>100</v>
      </c>
      <c r="X10" s="1571"/>
      <c r="Y10" s="3355" t="s">
        <v>533</v>
      </c>
      <c r="Z10" s="3356"/>
      <c r="AA10" s="1572">
        <f t="shared" ref="AA10:AA42" si="3">D10/F10</f>
        <v>1</v>
      </c>
      <c r="AB10" s="1572">
        <f t="shared" ref="AB10:AB42" si="4">D10/H10</f>
        <v>1</v>
      </c>
      <c r="AC10" s="1572">
        <f t="shared" ref="AC10:AC42" si="5">D10/J10</f>
        <v>1</v>
      </c>
    </row>
    <row r="11" spans="1:29" s="1220" customFormat="1" ht="15">
      <c r="A11" s="2893"/>
      <c r="B11" s="2900" t="s">
        <v>2757</v>
      </c>
      <c r="C11" s="3178" t="s">
        <v>3014</v>
      </c>
      <c r="D11" s="254">
        <v>100</v>
      </c>
      <c r="E11" s="3178" t="s">
        <v>3014</v>
      </c>
      <c r="F11" s="254">
        <f>SUMIF(72:72,E11,73:73)-SUMIF(72:72,C11,73:73)+100</f>
        <v>100</v>
      </c>
      <c r="G11" s="3178" t="s">
        <v>3014</v>
      </c>
      <c r="H11" s="254">
        <f>SUMIF(72:72,G11,73:73)-SUMIF(72:72,C11,73:73)+100</f>
        <v>100</v>
      </c>
      <c r="I11" s="3178" t="s">
        <v>3014</v>
      </c>
      <c r="J11" s="254">
        <f>SUMIF(72:72,I11,73:73)-SUMIF(72:72,C11,73:73)+100</f>
        <v>100</v>
      </c>
      <c r="K11" s="524"/>
      <c r="L11" s="2136"/>
      <c r="M11" s="2137"/>
      <c r="N11" s="2137"/>
      <c r="O11" s="2138"/>
      <c r="P11" s="3363"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103</v>
      </c>
      <c r="G12" s="528"/>
      <c r="H12" s="255">
        <f>ROUND(100/'数据-取费表'!G16,0)</f>
        <v>103</v>
      </c>
      <c r="I12" s="528"/>
      <c r="J12" s="255">
        <f>ROUND(100/'数据-取费表'!G16,0)</f>
        <v>103</v>
      </c>
      <c r="K12" s="531"/>
      <c r="L12" s="2139"/>
      <c r="M12" s="2179"/>
      <c r="N12" s="2179"/>
      <c r="O12" s="2140"/>
      <c r="P12" s="3363"/>
      <c r="Q12" s="1151" t="str">
        <f t="shared" si="6"/>
        <v>土地使用年限（年）</v>
      </c>
      <c r="R12" s="1569" t="s">
        <v>8</v>
      </c>
      <c r="S12" s="1570">
        <f t="shared" si="0"/>
        <v>103</v>
      </c>
      <c r="T12" s="1569" t="s">
        <v>8</v>
      </c>
      <c r="U12" s="1570">
        <f t="shared" si="1"/>
        <v>103</v>
      </c>
      <c r="V12" s="1569" t="s">
        <v>8</v>
      </c>
      <c r="W12" s="1570">
        <f t="shared" si="2"/>
        <v>103</v>
      </c>
      <c r="X12" s="1571"/>
      <c r="Y12" s="3320"/>
      <c r="Z12" s="1150" t="str">
        <f t="shared" si="7"/>
        <v>土地使用年限（年）</v>
      </c>
      <c r="AA12" s="1572">
        <f t="shared" si="3"/>
        <v>0.970873786407767</v>
      </c>
      <c r="AB12" s="1572">
        <f t="shared" si="4"/>
        <v>0.970873786407767</v>
      </c>
      <c r="AC12" s="1572">
        <f t="shared" si="5"/>
        <v>0.970873786407767</v>
      </c>
    </row>
    <row r="13" spans="1:29" ht="15">
      <c r="A13" s="2895"/>
      <c r="B13" s="2899" t="s">
        <v>2759</v>
      </c>
      <c r="C13" s="533">
        <f>'数据-汇总表'!I6</f>
        <v>2</v>
      </c>
      <c r="D13" s="255">
        <v>100</v>
      </c>
      <c r="E13" s="533">
        <v>2.2000000000000002</v>
      </c>
      <c r="F13" s="255">
        <f>LOOKUP(E13,77:77,78:78)-LOOKUP(C13,77:77,78:78)+100</f>
        <v>100</v>
      </c>
      <c r="G13" s="534">
        <v>2.5</v>
      </c>
      <c r="H13" s="255">
        <f>LOOKUP(G13,77:77,78:78)-LOOKUP(C13,77:77,78:78)+100</f>
        <v>100</v>
      </c>
      <c r="I13" s="533">
        <v>1.3</v>
      </c>
      <c r="J13" s="255">
        <f>LOOKUP(I13,77:77,78:78)-LOOKUP(C13,77:77,78:78)+100</f>
        <v>103</v>
      </c>
      <c r="K13" s="535">
        <v>3</v>
      </c>
      <c r="L13" s="2141"/>
      <c r="M13" s="2135"/>
      <c r="N13" s="2135"/>
      <c r="O13" s="2142"/>
      <c r="P13" s="3363"/>
      <c r="Q13" s="1151" t="str">
        <f t="shared" si="6"/>
        <v>容积率</v>
      </c>
      <c r="R13" s="1569" t="s">
        <v>8</v>
      </c>
      <c r="S13" s="1570">
        <f t="shared" si="0"/>
        <v>100</v>
      </c>
      <c r="T13" s="1569" t="s">
        <v>8</v>
      </c>
      <c r="U13" s="1570">
        <f t="shared" si="1"/>
        <v>100</v>
      </c>
      <c r="V13" s="1569" t="s">
        <v>8</v>
      </c>
      <c r="W13" s="1570">
        <f t="shared" si="2"/>
        <v>103</v>
      </c>
      <c r="X13" s="1571"/>
      <c r="Y13" s="3320"/>
      <c r="Z13" s="1150" t="str">
        <f t="shared" si="7"/>
        <v>容积率</v>
      </c>
      <c r="AA13" s="1572">
        <f t="shared" si="3"/>
        <v>1</v>
      </c>
      <c r="AB13" s="1572">
        <f t="shared" si="4"/>
        <v>1</v>
      </c>
      <c r="AC13" s="1572">
        <f t="shared" si="5"/>
        <v>0.970873786407767</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3"/>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3"/>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5" t="s">
        <v>540</v>
      </c>
      <c r="Q17" s="1573" t="str">
        <f t="shared" si="6"/>
        <v>产业集聚程度</v>
      </c>
      <c r="R17" s="1574" t="s">
        <v>8</v>
      </c>
      <c r="S17" s="1575">
        <f t="shared" si="0"/>
        <v>100</v>
      </c>
      <c r="T17" s="1574" t="s">
        <v>8</v>
      </c>
      <c r="U17" s="1575">
        <f t="shared" si="1"/>
        <v>100</v>
      </c>
      <c r="V17" s="1574" t="s">
        <v>8</v>
      </c>
      <c r="W17" s="1575">
        <f t="shared" si="2"/>
        <v>100</v>
      </c>
      <c r="X17" s="1568"/>
      <c r="Y17" s="336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6"/>
      <c r="Q18" s="1573"/>
      <c r="R18" s="1574"/>
      <c r="S18" s="1575"/>
      <c r="T18" s="1574"/>
      <c r="U18" s="1575"/>
      <c r="V18" s="1574"/>
      <c r="W18" s="1575"/>
      <c r="X18" s="1568"/>
      <c r="Y18" s="336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6"/>
      <c r="Q19" s="1573" t="str">
        <f>B19</f>
        <v>交通便捷度</v>
      </c>
      <c r="R19" s="1574" t="s">
        <v>8</v>
      </c>
      <c r="S19" s="1575">
        <f>F19</f>
        <v>100</v>
      </c>
      <c r="T19" s="1574" t="s">
        <v>8</v>
      </c>
      <c r="U19" s="1575">
        <f>H19</f>
        <v>100</v>
      </c>
      <c r="V19" s="1574" t="s">
        <v>8</v>
      </c>
      <c r="W19" s="1575">
        <f>J19</f>
        <v>100</v>
      </c>
      <c r="X19" s="1568"/>
      <c r="Y19" s="336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6"/>
      <c r="Q20" s="1573"/>
      <c r="R20" s="1574"/>
      <c r="S20" s="1575"/>
      <c r="T20" s="1574"/>
      <c r="U20" s="1575"/>
      <c r="V20" s="1574"/>
      <c r="W20" s="1575"/>
      <c r="X20" s="1568"/>
      <c r="Y20" s="336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6"/>
      <c r="Q21" s="1573" t="str">
        <f t="shared" ref="Q21:Q35" si="8">B21</f>
        <v>区域土地利用方向</v>
      </c>
      <c r="R21" s="1574" t="s">
        <v>8</v>
      </c>
      <c r="S21" s="1575">
        <f>F21</f>
        <v>100</v>
      </c>
      <c r="T21" s="1574" t="s">
        <v>8</v>
      </c>
      <c r="U21" s="1575">
        <f>H21</f>
        <v>100</v>
      </c>
      <c r="V21" s="1574" t="s">
        <v>8</v>
      </c>
      <c r="W21" s="1575">
        <f>J21</f>
        <v>100</v>
      </c>
      <c r="X21" s="1568"/>
      <c r="Y21" s="336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6"/>
      <c r="Q22" s="1573"/>
      <c r="R22" s="1574"/>
      <c r="S22" s="1575"/>
      <c r="T22" s="1574"/>
      <c r="U22" s="1575"/>
      <c r="V22" s="1574"/>
      <c r="W22" s="1575"/>
      <c r="X22" s="1568"/>
      <c r="Y22" s="336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6"/>
      <c r="Q23" s="1573" t="str">
        <f t="shared" si="8"/>
        <v>环境状况</v>
      </c>
      <c r="R23" s="1574" t="s">
        <v>8</v>
      </c>
      <c r="S23" s="1575">
        <f>F23</f>
        <v>100</v>
      </c>
      <c r="T23" s="1574" t="s">
        <v>8</v>
      </c>
      <c r="U23" s="1575">
        <f>H23</f>
        <v>100</v>
      </c>
      <c r="V23" s="1574" t="s">
        <v>8</v>
      </c>
      <c r="W23" s="1575">
        <f>J23</f>
        <v>100</v>
      </c>
      <c r="X23" s="1568"/>
      <c r="Y23" s="336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6"/>
      <c r="Q24" s="1573"/>
      <c r="R24" s="1574"/>
      <c r="S24" s="1575"/>
      <c r="T24" s="1574"/>
      <c r="U24" s="1575"/>
      <c r="V24" s="1574"/>
      <c r="W24" s="1575"/>
      <c r="X24" s="1568"/>
      <c r="Y24" s="3366"/>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6"/>
      <c r="Q25" s="1151" t="str">
        <f t="shared" si="8"/>
        <v>公共配套设施</v>
      </c>
      <c r="R25" s="1569" t="s">
        <v>8</v>
      </c>
      <c r="S25" s="1570">
        <f>F25</f>
        <v>100</v>
      </c>
      <c r="T25" s="1569" t="s">
        <v>8</v>
      </c>
      <c r="U25" s="1570">
        <f>H25</f>
        <v>100</v>
      </c>
      <c r="V25" s="1569" t="s">
        <v>8</v>
      </c>
      <c r="W25" s="1570">
        <f>J25</f>
        <v>100</v>
      </c>
      <c r="X25" s="1571"/>
      <c r="Y25" s="3366"/>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6"/>
      <c r="Q26" s="1151"/>
      <c r="R26" s="1569"/>
      <c r="S26" s="1570"/>
      <c r="T26" s="1569"/>
      <c r="U26" s="1570"/>
      <c r="V26" s="1569"/>
      <c r="W26" s="1570"/>
      <c r="X26" s="1571"/>
      <c r="Y26" s="3366"/>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6"/>
      <c r="Q27" s="2558" t="str">
        <f t="shared" ref="Q27" si="9">B27</f>
        <v>基础设施水平</v>
      </c>
      <c r="R27" s="1569" t="s">
        <v>8</v>
      </c>
      <c r="S27" s="1570">
        <f>F27</f>
        <v>100</v>
      </c>
      <c r="T27" s="1569" t="s">
        <v>8</v>
      </c>
      <c r="U27" s="1570">
        <f>H27</f>
        <v>100</v>
      </c>
      <c r="V27" s="1569" t="s">
        <v>8</v>
      </c>
      <c r="W27" s="1570">
        <f>J27</f>
        <v>100</v>
      </c>
      <c r="X27" s="1571"/>
      <c r="Y27" s="3366"/>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6"/>
      <c r="Q28" s="2558"/>
      <c r="R28" s="1569"/>
      <c r="S28" s="1570"/>
      <c r="T28" s="1569"/>
      <c r="U28" s="1570"/>
      <c r="V28" s="1569"/>
      <c r="W28" s="1570"/>
      <c r="X28" s="1571"/>
      <c r="Y28" s="3366"/>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6"/>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6"/>
      <c r="Q30" s="1573" t="str">
        <f t="shared" si="8"/>
        <v>毗邻道路的类型与等级</v>
      </c>
      <c r="R30" s="1574" t="s">
        <v>8</v>
      </c>
      <c r="S30" s="1575">
        <f t="shared" si="10"/>
        <v>100</v>
      </c>
      <c r="T30" s="1574" t="s">
        <v>8</v>
      </c>
      <c r="U30" s="1575">
        <f t="shared" si="11"/>
        <v>100</v>
      </c>
      <c r="V30" s="1574" t="s">
        <v>8</v>
      </c>
      <c r="W30" s="1575">
        <f t="shared" si="12"/>
        <v>100</v>
      </c>
      <c r="X30" s="1568"/>
      <c r="Y30" s="336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6"/>
      <c r="Q31" s="1573"/>
      <c r="R31" s="1574"/>
      <c r="S31" s="1575"/>
      <c r="T31" s="1574"/>
      <c r="U31" s="1575"/>
      <c r="V31" s="1574"/>
      <c r="W31" s="1575"/>
      <c r="X31" s="1568"/>
      <c r="Y31" s="3366"/>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6"/>
      <c r="Q32" s="1573" t="str">
        <f t="shared" si="8"/>
        <v>土地级别</v>
      </c>
      <c r="R32" s="1574" t="s">
        <v>8</v>
      </c>
      <c r="S32" s="1575">
        <f t="shared" si="10"/>
        <v>100</v>
      </c>
      <c r="T32" s="1574" t="s">
        <v>8</v>
      </c>
      <c r="U32" s="1575">
        <f t="shared" si="11"/>
        <v>100</v>
      </c>
      <c r="V32" s="1574" t="s">
        <v>8</v>
      </c>
      <c r="W32" s="1575">
        <f t="shared" si="12"/>
        <v>100</v>
      </c>
      <c r="X32" s="1568"/>
      <c r="Y32" s="336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6"/>
      <c r="Q33" s="1573">
        <f t="shared" si="8"/>
        <v>111</v>
      </c>
      <c r="R33" s="1574" t="s">
        <v>8</v>
      </c>
      <c r="S33" s="1575">
        <f t="shared" si="10"/>
        <v>100</v>
      </c>
      <c r="T33" s="1574" t="s">
        <v>8</v>
      </c>
      <c r="U33" s="1575">
        <f t="shared" si="11"/>
        <v>100</v>
      </c>
      <c r="V33" s="1574" t="s">
        <v>8</v>
      </c>
      <c r="W33" s="1575">
        <f t="shared" si="12"/>
        <v>100</v>
      </c>
      <c r="X33" s="1568"/>
      <c r="Y33" s="336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7" t="s">
        <v>550</v>
      </c>
      <c r="Q34" s="1573">
        <f t="shared" si="8"/>
        <v>111</v>
      </c>
      <c r="R34" s="1574" t="s">
        <v>8</v>
      </c>
      <c r="S34" s="1575">
        <f t="shared" si="10"/>
        <v>100</v>
      </c>
      <c r="T34" s="1574" t="s">
        <v>8</v>
      </c>
      <c r="U34" s="1575">
        <f t="shared" si="11"/>
        <v>100</v>
      </c>
      <c r="V34" s="1574" t="s">
        <v>8</v>
      </c>
      <c r="W34" s="1575">
        <f t="shared" si="12"/>
        <v>100</v>
      </c>
      <c r="X34" s="1568"/>
      <c r="Y34" s="3368"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8"/>
      <c r="Q35" s="1573">
        <f t="shared" si="8"/>
        <v>111</v>
      </c>
      <c r="R35" s="1578" t="s">
        <v>8</v>
      </c>
      <c r="S35" s="1579">
        <f t="shared" si="10"/>
        <v>100</v>
      </c>
      <c r="T35" s="1578" t="s">
        <v>8</v>
      </c>
      <c r="U35" s="1579">
        <f t="shared" si="11"/>
        <v>100</v>
      </c>
      <c r="V35" s="1578" t="s">
        <v>8</v>
      </c>
      <c r="W35" s="1579">
        <f t="shared" si="12"/>
        <v>100</v>
      </c>
      <c r="X35" s="1580"/>
      <c r="Y35" s="3368"/>
      <c r="Z35" s="1581">
        <f t="shared" si="13"/>
        <v>111</v>
      </c>
      <c r="AA35" s="1577">
        <f t="shared" si="3"/>
        <v>1</v>
      </c>
      <c r="AB35" s="1577">
        <f t="shared" si="4"/>
        <v>1</v>
      </c>
      <c r="AC35" s="1577">
        <f t="shared" si="5"/>
        <v>1</v>
      </c>
    </row>
    <row r="36" spans="1:29" ht="15">
      <c r="A36" s="2886" t="s">
        <v>2756</v>
      </c>
      <c r="B36" s="595" t="s">
        <v>552</v>
      </c>
      <c r="C36" s="596">
        <f>'数据-基础表'!A3</f>
        <v>69366.25</v>
      </c>
      <c r="D36" s="597">
        <v>100</v>
      </c>
      <c r="E36" s="596">
        <f>土地案例!D4</f>
        <v>112889</v>
      </c>
      <c r="F36" s="597">
        <f>LOOKUP(E36,110:110,111:111)-LOOKUP(C36,110:110,111:111)+100</f>
        <v>101</v>
      </c>
      <c r="G36" s="596">
        <f>土地案例!D5</f>
        <v>97866</v>
      </c>
      <c r="H36" s="597">
        <f>LOOKUP(G36,110:110,111:111)-LOOKUP(C36,110:110,111:111)+100</f>
        <v>100</v>
      </c>
      <c r="I36" s="598">
        <f>土地案例!D8</f>
        <v>105088</v>
      </c>
      <c r="J36" s="597">
        <f>LOOKUP(I36,110:110,111:111)-LOOKUP(C36,110:110,111:111)+100</f>
        <v>101</v>
      </c>
      <c r="K36" s="581"/>
      <c r="L36" s="2143"/>
      <c r="M36" s="2135"/>
      <c r="N36" s="2135"/>
      <c r="O36" s="2142"/>
      <c r="P36" s="3368"/>
      <c r="Q36" s="1573" t="str">
        <f>B36</f>
        <v>宗地面积</v>
      </c>
      <c r="R36" s="1574" t="s">
        <v>8</v>
      </c>
      <c r="S36" s="1575">
        <f t="shared" si="10"/>
        <v>101</v>
      </c>
      <c r="T36" s="1574" t="s">
        <v>8</v>
      </c>
      <c r="U36" s="1575">
        <f t="shared" si="11"/>
        <v>100</v>
      </c>
      <c r="V36" s="1574" t="s">
        <v>8</v>
      </c>
      <c r="W36" s="1575">
        <f t="shared" si="12"/>
        <v>101</v>
      </c>
      <c r="X36" s="1568"/>
      <c r="Y36" s="3368"/>
      <c r="Z36" s="1576" t="str">
        <f t="shared" si="13"/>
        <v>宗地面积</v>
      </c>
      <c r="AA36" s="1577">
        <f t="shared" si="3"/>
        <v>0.99009900990099009</v>
      </c>
      <c r="AB36" s="1577">
        <f t="shared" si="4"/>
        <v>1</v>
      </c>
      <c r="AC36" s="1577">
        <f t="shared" si="5"/>
        <v>0.99009900990099009</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8"/>
      <c r="Q37" s="1573" t="str">
        <f t="shared" ref="Q37:Q42" si="14">B37</f>
        <v>宗地形状</v>
      </c>
      <c r="R37" s="1574" t="s">
        <v>8</v>
      </c>
      <c r="S37" s="1575">
        <f t="shared" si="10"/>
        <v>100</v>
      </c>
      <c r="T37" s="1574" t="s">
        <v>8</v>
      </c>
      <c r="U37" s="1575">
        <f t="shared" si="11"/>
        <v>100</v>
      </c>
      <c r="V37" s="1574" t="s">
        <v>8</v>
      </c>
      <c r="W37" s="1575">
        <f t="shared" si="12"/>
        <v>100</v>
      </c>
      <c r="X37" s="1568"/>
      <c r="Y37" s="3368"/>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8"/>
      <c r="Q38" s="1573" t="str">
        <f t="shared" si="14"/>
        <v>宗地开发程度</v>
      </c>
      <c r="R38" s="1569" t="s">
        <v>8</v>
      </c>
      <c r="S38" s="1570">
        <f t="shared" si="10"/>
        <v>100</v>
      </c>
      <c r="T38" s="1569" t="s">
        <v>8</v>
      </c>
      <c r="U38" s="1570">
        <f t="shared" si="11"/>
        <v>100</v>
      </c>
      <c r="V38" s="1569" t="s">
        <v>8</v>
      </c>
      <c r="W38" s="1570">
        <f t="shared" si="12"/>
        <v>100</v>
      </c>
      <c r="X38" s="1571"/>
      <c r="Y38" s="336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8" t="s">
        <v>601</v>
      </c>
      <c r="Q39" s="1573" t="str">
        <f t="shared" si="14"/>
        <v>工程地质条件</v>
      </c>
      <c r="R39" s="1574" t="s">
        <v>8</v>
      </c>
      <c r="S39" s="1575">
        <f t="shared" si="10"/>
        <v>100</v>
      </c>
      <c r="T39" s="1574" t="s">
        <v>8</v>
      </c>
      <c r="U39" s="1575">
        <f t="shared" si="11"/>
        <v>100</v>
      </c>
      <c r="V39" s="1574" t="s">
        <v>8</v>
      </c>
      <c r="W39" s="1575">
        <f t="shared" si="12"/>
        <v>100</v>
      </c>
      <c r="X39" s="1568"/>
      <c r="Y39" s="336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8"/>
      <c r="Q40" s="1573">
        <f t="shared" si="14"/>
        <v>111</v>
      </c>
      <c r="R40" s="1574" t="s">
        <v>8</v>
      </c>
      <c r="S40" s="1575">
        <f t="shared" si="10"/>
        <v>100</v>
      </c>
      <c r="T40" s="1574" t="s">
        <v>8</v>
      </c>
      <c r="U40" s="1575">
        <f t="shared" si="11"/>
        <v>100</v>
      </c>
      <c r="V40" s="1574" t="s">
        <v>8</v>
      </c>
      <c r="W40" s="1575">
        <f t="shared" si="12"/>
        <v>100</v>
      </c>
      <c r="X40" s="1568"/>
      <c r="Y40" s="336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8"/>
      <c r="Q41" s="1573">
        <f t="shared" si="14"/>
        <v>111</v>
      </c>
      <c r="R41" s="1574" t="s">
        <v>8</v>
      </c>
      <c r="S41" s="1575">
        <f t="shared" si="10"/>
        <v>100</v>
      </c>
      <c r="T41" s="1574" t="s">
        <v>8</v>
      </c>
      <c r="U41" s="1575">
        <f t="shared" si="11"/>
        <v>100</v>
      </c>
      <c r="V41" s="1574" t="s">
        <v>8</v>
      </c>
      <c r="W41" s="1575">
        <f t="shared" si="12"/>
        <v>100</v>
      </c>
      <c r="X41" s="1568"/>
      <c r="Y41" s="336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8"/>
      <c r="Q42" s="1573">
        <f t="shared" si="14"/>
        <v>111</v>
      </c>
      <c r="R42" s="1578" t="s">
        <v>8</v>
      </c>
      <c r="S42" s="1579">
        <f t="shared" si="10"/>
        <v>100</v>
      </c>
      <c r="T42" s="1578" t="s">
        <v>8</v>
      </c>
      <c r="U42" s="1579">
        <f t="shared" si="11"/>
        <v>100</v>
      </c>
      <c r="V42" s="1578" t="s">
        <v>8</v>
      </c>
      <c r="W42" s="1579">
        <f t="shared" si="12"/>
        <v>100</v>
      </c>
      <c r="X42" s="1580"/>
      <c r="Y42" s="3368"/>
      <c r="Z42" s="1581">
        <f t="shared" si="13"/>
        <v>111</v>
      </c>
      <c r="AA42" s="1577">
        <f t="shared" si="3"/>
        <v>1</v>
      </c>
      <c r="AB42" s="1577">
        <f t="shared" si="4"/>
        <v>1</v>
      </c>
      <c r="AC42" s="1577">
        <f t="shared" si="5"/>
        <v>1</v>
      </c>
    </row>
    <row r="43" spans="1:29" ht="15">
      <c r="A43" s="607" t="s">
        <v>556</v>
      </c>
      <c r="B43" s="608" t="s">
        <v>3186</v>
      </c>
      <c r="C43" s="609" t="s">
        <v>1</v>
      </c>
      <c r="D43" s="610"/>
      <c r="E43" s="611">
        <f>土地案例!K4</f>
        <v>6321.11</v>
      </c>
      <c r="F43" s="612"/>
      <c r="G43" s="613">
        <f>土地案例!K5</f>
        <v>6402.22</v>
      </c>
      <c r="H43" s="614"/>
      <c r="I43" s="611">
        <f>土地案例!K8</f>
        <v>6619.3</v>
      </c>
      <c r="J43" s="614"/>
      <c r="K43" s="1340"/>
      <c r="L43" s="2145"/>
      <c r="M43" s="2135"/>
      <c r="N43" s="2135"/>
      <c r="O43" s="2146"/>
      <c r="P43" s="3363" t="str">
        <f>A43</f>
        <v>成交单价</v>
      </c>
      <c r="Q43" s="3363"/>
      <c r="R43" s="3377">
        <f>E43</f>
        <v>6321.11</v>
      </c>
      <c r="S43" s="3377"/>
      <c r="T43" s="3377">
        <f>G43</f>
        <v>6402.22</v>
      </c>
      <c r="U43" s="3377"/>
      <c r="V43" s="3377">
        <f>I43</f>
        <v>6619.3</v>
      </c>
      <c r="W43" s="3377"/>
      <c r="X43" s="1560"/>
      <c r="Y43" s="1582"/>
      <c r="Z43" s="1560"/>
      <c r="AA43" s="1560"/>
      <c r="AB43" s="1560"/>
      <c r="AC43" s="1560"/>
    </row>
    <row r="44" spans="1:29" ht="15.75" thickBot="1">
      <c r="A44" s="615" t="s">
        <v>2694</v>
      </c>
      <c r="B44" s="616"/>
      <c r="C44" s="617">
        <f>R45</f>
        <v>6436</v>
      </c>
      <c r="D44" s="618"/>
      <c r="E44" s="617">
        <f>R44</f>
        <v>6329</v>
      </c>
      <c r="F44" s="619"/>
      <c r="G44" s="620">
        <f>T44</f>
        <v>6475</v>
      </c>
      <c r="H44" s="618"/>
      <c r="I44" s="617">
        <f>V44</f>
        <v>6503</v>
      </c>
      <c r="J44" s="618"/>
      <c r="K44" s="1341"/>
      <c r="L44" s="2145"/>
      <c r="M44" s="2135"/>
      <c r="N44" s="2135"/>
      <c r="O44" s="2146"/>
      <c r="P44" s="3363" t="str">
        <f>A44</f>
        <v>比较价格（元/平方米）</v>
      </c>
      <c r="Q44" s="3363"/>
      <c r="R44" s="3387">
        <f>ROUND(PRODUCT(R43,AA9:AA42),0)</f>
        <v>6329</v>
      </c>
      <c r="S44" s="3387"/>
      <c r="T44" s="3387">
        <f>ROUND(PRODUCT(T43,AB9:AB42),0)</f>
        <v>6475</v>
      </c>
      <c r="U44" s="3387"/>
      <c r="V44" s="3387">
        <f>ROUND(PRODUCT(V43,AC9:AC42),0)</f>
        <v>6503</v>
      </c>
      <c r="W44" s="3387"/>
      <c r="X44" s="1560"/>
      <c r="Y44" s="1560"/>
      <c r="Z44" s="1560"/>
      <c r="AA44" s="1560"/>
      <c r="AB44" s="1560"/>
      <c r="AC44" s="1560"/>
    </row>
    <row r="45" spans="1:29" ht="15.75" thickBot="1">
      <c r="A45" s="621" t="s">
        <v>2938</v>
      </c>
      <c r="B45" s="622"/>
      <c r="C45" s="623">
        <f>R45</f>
        <v>6436</v>
      </c>
      <c r="D45" s="623"/>
      <c r="E45" s="623"/>
      <c r="F45" s="623"/>
      <c r="G45" s="623"/>
      <c r="H45" s="623"/>
      <c r="I45" s="623"/>
      <c r="J45" s="623"/>
      <c r="K45" s="1342"/>
      <c r="L45" s="2145"/>
      <c r="M45" s="2135"/>
      <c r="N45" s="2135"/>
      <c r="O45" s="2146"/>
      <c r="P45" s="3384" t="str">
        <f>A45</f>
        <v>估价对象XX用房的比较价格（楼面单价，元/平方米）</v>
      </c>
      <c r="Q45" s="3385"/>
      <c r="R45" s="3386">
        <f>ROUND(AVERAGE(R44:V44),0)</f>
        <v>6436</v>
      </c>
      <c r="S45" s="3386"/>
      <c r="T45" s="3386"/>
      <c r="U45" s="3386"/>
      <c r="V45" s="3386"/>
      <c r="W45" s="338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f>IF(E43&lt;E44,E44/E43-1,E43/E44-1)</f>
        <v>1.2481984967831483E-3</v>
      </c>
      <c r="F48" s="627" t="str">
        <f>IF(OR(E48&gt;=0.3,E48&lt;=-0.3),"超过30%","")</f>
        <v/>
      </c>
      <c r="G48" s="626">
        <f>IF(G43&lt;G44,G44/G43-1,G43/G44-1)</f>
        <v>1.1367931748674565E-2</v>
      </c>
      <c r="H48" s="627" t="str">
        <f>IF(OR(G48&gt;=0.3,G48&lt;=-0.3),"超过30%","")</f>
        <v/>
      </c>
      <c r="I48" s="626">
        <f>IF(I43&lt;I44,I44/I43-1,I43/I44-1)</f>
        <v>1.7884053513762987E-2</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f>IF(E44&lt;G44,G44/E44-1,E44/G44-1)</f>
        <v>2.3068415231474182E-2</v>
      </c>
      <c r="F49" s="627" t="str">
        <f>IF(OR(E49&gt;=0.2,E49&lt;=-0.2),"超过20%","")</f>
        <v/>
      </c>
      <c r="G49" s="626">
        <f>IF(G44&lt;I44,I44/G44-1,G44/I44-1)</f>
        <v>4.3243243243242802E-3</v>
      </c>
      <c r="H49" s="627" t="str">
        <f>IF(OR(G49&gt;=0.2,G49&lt;=-0.2),"超过20%","")</f>
        <v/>
      </c>
      <c r="I49" s="626">
        <f>IF(I44&lt;E44,E44/I44-1,I44/E44-1)</f>
        <v>2.7492494864907568E-2</v>
      </c>
      <c r="J49" s="627" t="str">
        <f>IF(OR(I49&gt;=0.2,I49&lt;=-0.2),"超过20%","")</f>
        <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f>IF(E43&lt;G43,G43/E43-1,E43/G43-1)</f>
        <v>1.2831607106979614E-2</v>
      </c>
      <c r="F50" s="627" t="str">
        <f>IF(OR(E50&gt;=0.3,E50&lt;=-0.3),"超过30%","")</f>
        <v/>
      </c>
      <c r="G50" s="626">
        <f>IF(G43&lt;I43,I43/G43-1,G43/I43-1)</f>
        <v>3.3906988513359382E-2</v>
      </c>
      <c r="H50" s="627" t="str">
        <f>IF(OR(G50&gt;=0.3,G50&lt;=-0.3),"超过30%","")</f>
        <v/>
      </c>
      <c r="I50" s="626">
        <f>IF(I43&lt;E43,E43/I43-1,I43/E43-1)</f>
        <v>4.7173676775123408E-2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8" t="s">
        <v>2285</v>
      </c>
      <c r="H52" s="338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f>C45</f>
        <v>6436</v>
      </c>
      <c r="C53" s="635">
        <v>1</v>
      </c>
      <c r="D53" s="2229">
        <v>1</v>
      </c>
      <c r="E53" s="635">
        <f>'数据-汇总表'!E8+'数据-汇总表'!E9</f>
        <v>138732.5</v>
      </c>
      <c r="F53" s="1951">
        <f t="shared" ref="F53:F62" si="15">ROUND(B53*E53/10000,0)</f>
        <v>89288</v>
      </c>
      <c r="G53" s="3390"/>
      <c r="H53" s="339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f>ROUND($C$45*C54*D54,0)</f>
        <v>0</v>
      </c>
      <c r="C54" s="378">
        <f t="shared" ref="C54:C62" si="16">IF($C$52="北京市系数",I54,J54)</f>
        <v>0</v>
      </c>
      <c r="D54" s="2230">
        <v>0.25</v>
      </c>
      <c r="E54" s="639"/>
      <c r="F54" s="1951">
        <f t="shared" si="15"/>
        <v>0</v>
      </c>
      <c r="G54" s="3392"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f t="shared" ref="B55:B62" si="17">ROUND($C$45*C55*D55,0)</f>
        <v>0</v>
      </c>
      <c r="C55" s="378">
        <f t="shared" si="16"/>
        <v>0</v>
      </c>
      <c r="D55" s="2230">
        <v>0.25</v>
      </c>
      <c r="E55" s="639"/>
      <c r="F55" s="1951">
        <f t="shared" si="15"/>
        <v>0</v>
      </c>
      <c r="G55" s="339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f t="shared" si="17"/>
        <v>0</v>
      </c>
      <c r="C56" s="378">
        <f t="shared" si="16"/>
        <v>0</v>
      </c>
      <c r="D56" s="2230">
        <v>0.25</v>
      </c>
      <c r="E56" s="639"/>
      <c r="F56" s="1951">
        <f t="shared" si="15"/>
        <v>0</v>
      </c>
      <c r="G56" s="339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f t="shared" si="17"/>
        <v>0</v>
      </c>
      <c r="C57" s="378">
        <f t="shared" si="16"/>
        <v>0</v>
      </c>
      <c r="D57" s="2230">
        <v>0.25</v>
      </c>
      <c r="E57" s="639"/>
      <c r="F57" s="1951">
        <f t="shared" si="15"/>
        <v>0</v>
      </c>
      <c r="G57" s="339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f t="shared" si="17"/>
        <v>0</v>
      </c>
      <c r="C58" s="378">
        <f t="shared" si="16"/>
        <v>0</v>
      </c>
      <c r="D58" s="2230">
        <v>0.25</v>
      </c>
      <c r="E58" s="641">
        <f>'数据-汇总表'!E11</f>
        <v>0</v>
      </c>
      <c r="F58" s="1951">
        <f t="shared" si="15"/>
        <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f t="shared" si="17"/>
        <v>0</v>
      </c>
      <c r="C59" s="378">
        <f t="shared" si="16"/>
        <v>0</v>
      </c>
      <c r="D59" s="2230">
        <v>0.25</v>
      </c>
      <c r="E59" s="641">
        <f>'数据-汇总表'!E12</f>
        <v>0</v>
      </c>
      <c r="F59" s="1951">
        <f t="shared" si="15"/>
        <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f t="shared" si="17"/>
        <v>0</v>
      </c>
      <c r="C60" s="378">
        <f t="shared" si="16"/>
        <v>0</v>
      </c>
      <c r="D60" s="2230">
        <v>0.25</v>
      </c>
      <c r="E60" s="641">
        <f>'数据-汇总表'!E13</f>
        <v>0</v>
      </c>
      <c r="F60" s="1951">
        <f t="shared" si="15"/>
        <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f t="shared" si="17"/>
        <v>0</v>
      </c>
      <c r="C61" s="378">
        <f t="shared" si="16"/>
        <v>0</v>
      </c>
      <c r="D61" s="2230">
        <v>0.25</v>
      </c>
      <c r="E61" s="641">
        <f>'数据-汇总表'!E14</f>
        <v>0</v>
      </c>
      <c r="F61" s="1951">
        <f t="shared" si="15"/>
        <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f t="shared" si="17"/>
        <v>0</v>
      </c>
      <c r="C62" s="378">
        <f t="shared" si="16"/>
        <v>0</v>
      </c>
      <c r="D62" s="2230">
        <v>0.25</v>
      </c>
      <c r="E62" s="641">
        <f>'数据-汇总表'!E15</f>
        <v>0</v>
      </c>
      <c r="F62" s="1951">
        <f t="shared" si="15"/>
        <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138732.5</v>
      </c>
      <c r="F63" s="644">
        <f>IF(B43="楼面地价",SUM(F53:F62),ROUND(C45*E63/10000,0))</f>
        <v>89288</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v>99</v>
      </c>
      <c r="E68" s="730">
        <v>98</v>
      </c>
      <c r="F68" s="730">
        <v>97</v>
      </c>
      <c r="G68" s="730">
        <v>96</v>
      </c>
      <c r="H68" s="730">
        <v>95</v>
      </c>
      <c r="I68" s="730">
        <v>94</v>
      </c>
      <c r="J68" s="730">
        <v>93</v>
      </c>
      <c r="K68" s="730">
        <v>92</v>
      </c>
      <c r="L68" s="730">
        <v>91</v>
      </c>
      <c r="M68" s="730">
        <v>90</v>
      </c>
      <c r="N68" s="730">
        <v>89</v>
      </c>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v>2</v>
      </c>
      <c r="F77" s="541">
        <v>3</v>
      </c>
      <c r="G77" s="541">
        <v>4</v>
      </c>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100000</v>
      </c>
      <c r="E110" s="730">
        <v>200000</v>
      </c>
      <c r="F110" s="730">
        <v>300000</v>
      </c>
      <c r="G110" s="730">
        <v>400000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101</v>
      </c>
      <c r="E111" s="726">
        <v>102</v>
      </c>
      <c r="F111" s="726">
        <v>103</v>
      </c>
      <c r="G111" s="726">
        <v>104</v>
      </c>
      <c r="H111" s="726">
        <v>105</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1"/>
  <sheetViews>
    <sheetView workbookViewId="0">
      <selection activeCell="C9" sqref="C9: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t="s">
        <v>923</v>
      </c>
      <c r="C1" s="2105"/>
      <c r="D1" s="2105"/>
      <c r="E1" s="2105"/>
      <c r="F1" s="2105"/>
      <c r="G1" s="2105"/>
      <c r="H1" s="2105"/>
      <c r="I1" s="2105"/>
      <c r="J1" s="2105"/>
      <c r="K1" s="422">
        <f>MATCH(B1,'数据-取费表'!A6:A16,0)+5</f>
        <v>6</v>
      </c>
    </row>
    <row r="2" spans="1:31" s="2042" customFormat="1" ht="18" customHeight="1">
      <c r="A2" s="2102" t="s">
        <v>467</v>
      </c>
      <c r="B2" s="2106">
        <f ca="1">C36</f>
        <v>78495</v>
      </c>
      <c r="C2" s="2105"/>
      <c r="D2" s="2105"/>
      <c r="E2" s="2105"/>
      <c r="F2" s="2105"/>
      <c r="G2" s="2105"/>
      <c r="H2" s="2105"/>
      <c r="I2" s="2105"/>
      <c r="J2" s="2105"/>
      <c r="K2" s="2105"/>
    </row>
    <row r="3" spans="1:31" s="2042" customFormat="1" ht="18" customHeight="1">
      <c r="A3" s="2107" t="s">
        <v>1685</v>
      </c>
      <c r="B3" s="2108">
        <f ca="1">ROUND(B2*10000/IF(B1="",'数据-汇总表'!E3,INDIRECT("'数据-取费表'!K"&amp;$K$1)),0)</f>
        <v>5658</v>
      </c>
      <c r="C3" s="2105"/>
      <c r="D3" s="2105"/>
      <c r="E3" s="2105"/>
      <c r="F3" s="2105"/>
      <c r="G3" s="2105"/>
      <c r="H3" s="2105"/>
      <c r="I3" s="2105"/>
      <c r="J3" s="2105"/>
      <c r="K3" s="2105"/>
    </row>
    <row r="4" spans="1:31" s="2042" customFormat="1" ht="18" customHeight="1">
      <c r="A4" s="426" t="s">
        <v>468</v>
      </c>
      <c r="B4" s="427">
        <f ca="1">ROUND(B2*10000/IF(B1="",'数据-汇总表'!D3,INDIRECT("'数据-取费表'!R"&amp;$K$1)),0)</f>
        <v>11316</v>
      </c>
      <c r="C4" s="428"/>
      <c r="D4" s="422"/>
      <c r="E4" s="422"/>
      <c r="F4" s="422"/>
      <c r="G4" s="422"/>
      <c r="H4" s="422"/>
      <c r="I4" s="422"/>
      <c r="J4" s="422"/>
      <c r="K4" s="422"/>
    </row>
    <row r="5" spans="1:31" s="2042" customFormat="1" ht="18" customHeight="1" thickBot="1">
      <c r="A5" s="429"/>
      <c r="B5" s="430">
        <f ca="1">ROUND(B2/(IF(B1="",'数据-汇总表'!D3,INDIRECT("'数据-取费表'!R"&amp;$K$1))/666.67),0)</f>
        <v>754</v>
      </c>
      <c r="C5" s="431" t="s">
        <v>469</v>
      </c>
      <c r="D5" s="422"/>
      <c r="E5" s="422"/>
      <c r="F5" s="422"/>
      <c r="G5" s="422"/>
      <c r="H5" s="422"/>
      <c r="I5" s="422"/>
      <c r="J5" s="422"/>
      <c r="K5" s="422"/>
    </row>
    <row r="6" spans="1:31" s="2112" customFormat="1" ht="16.5" customHeight="1">
      <c r="A6" s="2807" t="s">
        <v>1843</v>
      </c>
      <c r="B6" s="2808"/>
      <c r="C6" s="2809">
        <f>SUM(C10:K10)</f>
        <v>181740</v>
      </c>
      <c r="D6" s="2808"/>
      <c r="E6" s="2808"/>
      <c r="F6" s="2808"/>
      <c r="G6" s="2808"/>
      <c r="H6" s="2808"/>
      <c r="I6" s="2808"/>
      <c r="J6" s="2808"/>
      <c r="K6" s="2810"/>
    </row>
    <row r="7" spans="1:31" s="2114" customFormat="1" ht="15">
      <c r="A7" s="2811" t="s">
        <v>470</v>
      </c>
      <c r="B7" s="2812"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v>13100</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138732.5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ROUND(C8*C9/10000,0)</f>
        <v>181740</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41620</v>
      </c>
      <c r="D13" s="2823"/>
      <c r="E13" s="2824"/>
      <c r="F13" s="2825"/>
      <c r="G13" s="2791"/>
      <c r="H13" s="2792"/>
      <c r="I13" s="2792"/>
      <c r="J13" s="2792"/>
      <c r="K13" s="2793"/>
    </row>
    <row r="14" spans="1:31" s="2117" customFormat="1" ht="13.5" customHeight="1">
      <c r="A14" s="2821" t="s">
        <v>1850</v>
      </c>
      <c r="B14" s="2822" t="s">
        <v>480</v>
      </c>
      <c r="C14" s="53">
        <f ca="1">ROUND(C13*F14,0)</f>
        <v>1249</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1249</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2775</v>
      </c>
      <c r="D16" s="2823">
        <f ca="1">IF(B1="",'数据-汇总表'!E3,INDIRECT("'数据-取费表'!K"&amp;$K$1)+INDIRECT("'数据-取费表'!S"&amp;$K$1))</f>
        <v>138732.5</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624</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47517</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138732.5</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0</v>
      </c>
      <c r="D20" s="2833"/>
      <c r="E20" s="2787"/>
      <c r="F20" s="2834"/>
      <c r="G20" s="3065" t="s">
        <v>3034</v>
      </c>
      <c r="H20" s="2789">
        <v>604.11</v>
      </c>
      <c r="I20" s="2790" t="s">
        <v>2652</v>
      </c>
      <c r="J20" s="2796"/>
      <c r="K20" s="2797"/>
    </row>
    <row r="21" spans="1:14" s="2117" customFormat="1" ht="13.5" customHeight="1">
      <c r="A21" s="2821" t="s">
        <v>1857</v>
      </c>
      <c r="B21" s="2822" t="s">
        <v>491</v>
      </c>
      <c r="C21" s="53">
        <f ca="1">ROUND(D21*E21/10000,0)</f>
        <v>2289</v>
      </c>
      <c r="D21" s="2823">
        <f ca="1">IF(B1="",'数据-汇总表'!E5,IF(INDIRECT("'数据-取费表'!c"&amp;$K$1)="住宅",INDIRECT("'数据-取费表'!k"&amp;$K$1),0))</f>
        <v>138732.5</v>
      </c>
      <c r="E21" s="53">
        <f>'数据-取费表'!B27</f>
        <v>165</v>
      </c>
      <c r="F21" s="2826"/>
      <c r="G21" s="26"/>
      <c r="H21" s="51"/>
      <c r="I21" s="51"/>
      <c r="J21" s="51"/>
      <c r="K21" s="2798"/>
    </row>
    <row r="22" spans="1:14" s="2117" customFormat="1" ht="13.5" customHeight="1">
      <c r="A22" s="2821" t="s">
        <v>1858</v>
      </c>
      <c r="B22" s="2822" t="s">
        <v>492</v>
      </c>
      <c r="C22" s="53">
        <f ca="1">ROUND(D22*E22/10000,0)</f>
        <v>0</v>
      </c>
      <c r="D22" s="2823">
        <f ca="1">IF(B1="",'数据-汇总表'!E6,IF(INDIRECT("'数据-取费表'!c"&amp;$K$1)="住宅",INDIRECT("'数据-取费表'!s"&amp;$K$1),INDIRECT("'数据-取费表'!k"&amp;$K$1)+INDIRECT("'数据-取费表'!s"&amp;$K$1)))</f>
        <v>0</v>
      </c>
      <c r="E22" s="53">
        <f>'数据-取费表'!B28</f>
        <v>215</v>
      </c>
      <c r="F22" s="2826"/>
      <c r="G22" s="26"/>
      <c r="H22" s="51"/>
      <c r="I22" s="51"/>
      <c r="J22" s="51"/>
      <c r="K22" s="2798"/>
    </row>
    <row r="23" spans="1:14" s="2117" customFormat="1" ht="13.5" customHeight="1">
      <c r="A23" s="2829" t="s">
        <v>1859</v>
      </c>
      <c r="B23" s="3011" t="s">
        <v>2835</v>
      </c>
      <c r="C23" s="2831">
        <f ca="1">ROUND((C18+C19+C20)*F23,0)</f>
        <v>950</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ROUND(C6*F24,0)</f>
        <v>5452</v>
      </c>
      <c r="D24" s="475"/>
      <c r="E24" s="473"/>
      <c r="F24" s="2835">
        <f>'数据-取费表'!B38</f>
        <v>0.03</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2561</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2561</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ROUND(C6*F29/(1+'数据-取费表'!C42),0)</f>
        <v>9693</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66173</v>
      </c>
      <c r="D30" s="477">
        <f ca="1">C32</f>
        <v>0.12909999999999999</v>
      </c>
      <c r="E30" s="469" t="s">
        <v>495</v>
      </c>
      <c r="F30" s="471"/>
      <c r="G30" s="2799" t="s">
        <v>2977</v>
      </c>
      <c r="H30" s="2792"/>
      <c r="I30" s="2792"/>
      <c r="J30" s="2792"/>
      <c r="K30" s="2793"/>
    </row>
    <row r="31" spans="1:14" s="2121" customFormat="1" ht="13.5" customHeight="1">
      <c r="A31" s="803" t="s">
        <v>1857</v>
      </c>
      <c r="B31" s="2837"/>
      <c r="C31" s="450">
        <f ca="1">C18+C19+C20+C23+C24+C26+C29</f>
        <v>66173</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2834</v>
      </c>
      <c r="B33" s="3008" t="s">
        <v>2832</v>
      </c>
      <c r="C33" s="478">
        <f ca="1">C35</f>
        <v>10784</v>
      </c>
      <c r="D33" s="467">
        <f ca="1">C34</f>
        <v>0.20580000000000001</v>
      </c>
      <c r="E33" s="469" t="s">
        <v>495</v>
      </c>
      <c r="F33" s="479">
        <f ca="1">IF(B1="",'数据-取费表'!Q16,INDIRECT("'数据-取费表'!q"&amp;$K$1))</f>
        <v>0.2</v>
      </c>
      <c r="G33" s="2795"/>
      <c r="H33" s="2796"/>
      <c r="I33" s="2796"/>
      <c r="J33" s="2796"/>
      <c r="K33" s="2797"/>
    </row>
    <row r="34" spans="1:11" s="2124" customFormat="1" ht="13.5" customHeight="1">
      <c r="A34" s="375" t="s">
        <v>1857</v>
      </c>
      <c r="B34" s="2842" t="s">
        <v>501</v>
      </c>
      <c r="C34" s="472">
        <f ca="1">ROUND((1+C25)*F33,4)</f>
        <v>0.20580000000000001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10784</v>
      </c>
      <c r="D35" s="1630"/>
      <c r="E35" s="2843"/>
      <c r="F35" s="1631"/>
      <c r="G35" s="2801"/>
      <c r="H35" s="2802"/>
      <c r="I35" s="2802"/>
      <c r="J35" s="2802"/>
      <c r="K35" s="2803"/>
    </row>
    <row r="36" spans="1:11" s="2086" customFormat="1" ht="13.5" customHeight="1" thickBot="1">
      <c r="A36" s="284" t="s">
        <v>1845</v>
      </c>
      <c r="B36" s="2805"/>
      <c r="C36" s="2844">
        <f ca="1">ROUND((C6-C30-C33)/(1+D30+D33),0)</f>
        <v>78495</v>
      </c>
      <c r="D36" s="2805"/>
      <c r="E36" s="2805"/>
      <c r="F36" s="2805"/>
      <c r="G36" s="2804" t="s">
        <v>2841</v>
      </c>
      <c r="H36" s="2805"/>
      <c r="I36" s="2805"/>
      <c r="J36" s="2805"/>
      <c r="K36" s="2806"/>
    </row>
    <row r="38" spans="1:11" ht="12.75" customHeight="1"/>
    <row r="39" spans="1:11">
      <c r="C39" s="3476" t="s">
        <v>3187</v>
      </c>
    </row>
    <row r="40" spans="1:11">
      <c r="C40" s="2126" t="s">
        <v>3188</v>
      </c>
    </row>
    <row r="41" spans="1:11">
      <c r="C41" s="2126" t="s">
        <v>3189</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2</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0"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2</v>
      </c>
      <c r="AA7" s="2193"/>
      <c r="AB7" s="2193"/>
      <c r="AC7" s="2194"/>
      <c r="AD7" s="2908"/>
      <c r="AE7" s="2908"/>
      <c r="AF7" s="2908"/>
      <c r="AG7" s="2908"/>
      <c r="AH7" s="2908"/>
      <c r="AI7" s="2908"/>
      <c r="AJ7" s="2909"/>
    </row>
    <row r="8" spans="1:39" ht="15">
      <c r="A8" s="3401"/>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0" t="s">
        <v>2784</v>
      </c>
      <c r="X8" s="341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1"/>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9"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1"/>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1"/>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9" t="s">
        <v>2782</v>
      </c>
      <c r="X11" s="1048" t="s">
        <v>2767</v>
      </c>
      <c r="Y11" s="1654">
        <f>$G$3</f>
        <v>2</v>
      </c>
      <c r="Z11" s="1654">
        <f t="shared" ref="Z11:AJ11" si="3">$G$3</f>
        <v>2</v>
      </c>
      <c r="AA11" s="1654">
        <f t="shared" si="3"/>
        <v>2</v>
      </c>
      <c r="AB11" s="1654">
        <f t="shared" si="3"/>
        <v>2</v>
      </c>
      <c r="AC11" s="1654">
        <f t="shared" si="3"/>
        <v>2</v>
      </c>
      <c r="AD11" s="1654">
        <f t="shared" si="3"/>
        <v>2</v>
      </c>
      <c r="AE11" s="1654">
        <f t="shared" si="3"/>
        <v>2</v>
      </c>
      <c r="AF11" s="1654">
        <f t="shared" si="3"/>
        <v>2</v>
      </c>
      <c r="AG11" s="1654">
        <f t="shared" si="3"/>
        <v>2</v>
      </c>
      <c r="AH11" s="1654">
        <f t="shared" si="3"/>
        <v>2</v>
      </c>
      <c r="AI11" s="1654">
        <f t="shared" si="3"/>
        <v>2</v>
      </c>
      <c r="AJ11" s="1654">
        <f t="shared" si="3"/>
        <v>2</v>
      </c>
    </row>
    <row r="12" spans="1:39" ht="25.5" thickBot="1">
      <c r="A12" s="3400"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2"/>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9"/>
      <c r="X13" s="2913"/>
      <c r="Y13" s="2912">
        <f>(-0.163*(Y12^2)-0.59*Y12+7617)*(10^(-4))/Y11</f>
        <v>0.38085000000000002</v>
      </c>
      <c r="Z13" s="2912">
        <f t="shared" ref="Z13:AJ13" si="5">(-0.163*(Z12^2)-0.59*Z12+7617)*(10^(-4))/Z11</f>
        <v>0.38085000000000002</v>
      </c>
      <c r="AA13" s="2912">
        <f t="shared" si="5"/>
        <v>0.38085000000000002</v>
      </c>
      <c r="AB13" s="2912">
        <f t="shared" si="5"/>
        <v>0.38085000000000002</v>
      </c>
      <c r="AC13" s="2912">
        <f t="shared" si="5"/>
        <v>0.38085000000000002</v>
      </c>
      <c r="AD13" s="2912">
        <f t="shared" si="5"/>
        <v>0.38085000000000002</v>
      </c>
      <c r="AE13" s="2912">
        <f t="shared" si="5"/>
        <v>0.38085000000000002</v>
      </c>
      <c r="AF13" s="2912">
        <f t="shared" si="5"/>
        <v>0.38085000000000002</v>
      </c>
      <c r="AG13" s="2912">
        <f t="shared" si="5"/>
        <v>0.38085000000000002</v>
      </c>
      <c r="AH13" s="2912">
        <f t="shared" si="5"/>
        <v>0.38085000000000002</v>
      </c>
      <c r="AI13" s="2912">
        <f t="shared" si="5"/>
        <v>0.38085000000000002</v>
      </c>
      <c r="AJ13" s="2912">
        <f t="shared" si="5"/>
        <v>0.38085000000000002</v>
      </c>
    </row>
    <row r="14" spans="1:39" ht="12.75" customHeight="1" thickBot="1">
      <c r="A14" s="3402"/>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43528</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6"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7"/>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7"/>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8"/>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4" t="s">
        <v>1634</v>
      </c>
      <c r="B90" s="3404"/>
      <c r="C90" s="3404"/>
      <c r="D90" s="3404"/>
      <c r="E90" s="3404"/>
      <c r="F90" s="3404"/>
      <c r="G90" s="3404"/>
      <c r="H90" s="3404"/>
      <c r="I90" s="3404"/>
      <c r="J90" s="3404"/>
      <c r="K90" s="2430"/>
      <c r="L90" s="2430"/>
      <c r="M90" s="2430"/>
      <c r="N90" s="2430"/>
    </row>
    <row r="91" spans="1:40">
      <c r="A91" s="3405" t="s">
        <v>1444</v>
      </c>
      <c r="B91" s="3405" t="s">
        <v>1635</v>
      </c>
      <c r="C91" s="1140" t="s">
        <v>1636</v>
      </c>
      <c r="D91" s="1141"/>
      <c r="E91" s="1141"/>
      <c r="F91" s="1141"/>
      <c r="G91" s="1141"/>
      <c r="H91" s="1141"/>
      <c r="I91" s="1141"/>
      <c r="J91" s="1142"/>
      <c r="K91" s="1134"/>
      <c r="L91" s="1134"/>
      <c r="M91" s="1134"/>
      <c r="N91" s="1134"/>
    </row>
    <row r="92" spans="1:40">
      <c r="A92" s="3405"/>
      <c r="B92" s="3405"/>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1638</v>
      </c>
      <c r="B101" s="1147" t="s">
        <v>906</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13"/>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13"/>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13"/>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13"/>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13"/>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13"/>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13"/>
      <c r="B108" s="341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4"/>
      <c r="B109" s="3416"/>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399" t="s">
        <v>1640</v>
      </c>
      <c r="B110" s="3399"/>
      <c r="C110" s="3399"/>
      <c r="D110" s="3399"/>
      <c r="E110" s="3399"/>
      <c r="F110" s="3399"/>
      <c r="G110" s="3399"/>
      <c r="H110" s="3399"/>
      <c r="I110" s="3399"/>
      <c r="J110" s="3399"/>
      <c r="K110" s="2428"/>
      <c r="L110" s="2428"/>
      <c r="M110" s="2428"/>
      <c r="N110" s="2428"/>
    </row>
    <row r="112" spans="1:14" ht="12.75" thickBot="1"/>
    <row r="113" spans="1:13" ht="25.5" thickBot="1">
      <c r="A113" s="1016" t="s">
        <v>896</v>
      </c>
      <c r="B113" s="2431">
        <f>G3</f>
        <v>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901</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902</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903</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5" t="s">
        <v>1008</v>
      </c>
      <c r="B18" s="1154" t="s">
        <v>1447</v>
      </c>
      <c r="C18" s="1131" t="s">
        <v>1448</v>
      </c>
      <c r="D18" s="1132"/>
      <c r="E18" s="1154">
        <v>1</v>
      </c>
      <c r="F18" s="1133" t="s">
        <v>1449</v>
      </c>
      <c r="G18" s="1134"/>
      <c r="H18" s="1105"/>
      <c r="I18" s="1105"/>
    </row>
    <row r="19" spans="1:9" s="1600" customFormat="1" ht="19.5" customHeight="1">
      <c r="A19" s="3405"/>
      <c r="B19" s="3405" t="s">
        <v>1450</v>
      </c>
      <c r="C19" s="1131" t="s">
        <v>1451</v>
      </c>
      <c r="D19" s="1132"/>
      <c r="E19" s="1154">
        <v>0.9</v>
      </c>
      <c r="F19" s="1133" t="s">
        <v>1452</v>
      </c>
      <c r="G19" s="1134"/>
      <c r="H19" s="1105"/>
      <c r="I19" s="1105"/>
    </row>
    <row r="20" spans="1:9" s="1600" customFormat="1" ht="19.5" customHeight="1">
      <c r="A20" s="3405"/>
      <c r="B20" s="3405"/>
      <c r="C20" s="1131" t="s">
        <v>1453</v>
      </c>
      <c r="D20" s="1132"/>
      <c r="E20" s="1154">
        <v>1.1000000000000001</v>
      </c>
      <c r="F20" s="1133" t="s">
        <v>1454</v>
      </c>
      <c r="G20" s="1134"/>
      <c r="H20" s="1105"/>
      <c r="I20" s="1105"/>
    </row>
    <row r="21" spans="1:9" s="1600" customFormat="1" ht="19.5" customHeight="1">
      <c r="A21" s="3405"/>
      <c r="B21" s="3405"/>
      <c r="C21" s="1131" t="s">
        <v>1455</v>
      </c>
      <c r="D21" s="1132"/>
      <c r="E21" s="1154">
        <v>0.8</v>
      </c>
      <c r="F21" s="1133" t="s">
        <v>1456</v>
      </c>
      <c r="G21" s="1134"/>
      <c r="H21" s="1105"/>
      <c r="I21" s="1105"/>
    </row>
    <row r="22" spans="1:9" s="1600" customFormat="1" ht="19.5" customHeight="1">
      <c r="A22" s="3405"/>
      <c r="B22" s="3405"/>
      <c r="C22" s="1131" t="s">
        <v>1457</v>
      </c>
      <c r="D22" s="1132"/>
      <c r="E22" s="1154">
        <v>0.5</v>
      </c>
      <c r="F22" s="1133"/>
      <c r="G22" s="1134"/>
      <c r="H22" s="1105"/>
      <c r="I22" s="1105"/>
    </row>
    <row r="23" spans="1:9" s="1600" customFormat="1" ht="19.5" customHeight="1">
      <c r="A23" s="3405" t="s">
        <v>1030</v>
      </c>
      <c r="B23" s="1154" t="s">
        <v>1447</v>
      </c>
      <c r="C23" s="1131" t="s">
        <v>1458</v>
      </c>
      <c r="D23" s="1132"/>
      <c r="E23" s="1154">
        <v>1</v>
      </c>
      <c r="F23" s="1133" t="s">
        <v>1459</v>
      </c>
      <c r="G23" s="1134"/>
      <c r="H23" s="1105"/>
      <c r="I23" s="1105"/>
    </row>
    <row r="24" spans="1:9" s="1600" customFormat="1" ht="19.5" customHeight="1">
      <c r="A24" s="3405"/>
      <c r="B24" s="3405" t="s">
        <v>1450</v>
      </c>
      <c r="C24" s="1131" t="s">
        <v>1460</v>
      </c>
      <c r="D24" s="1132"/>
      <c r="E24" s="1154">
        <v>0.5</v>
      </c>
      <c r="F24" s="1133"/>
      <c r="G24" s="1134"/>
      <c r="H24" s="1105"/>
      <c r="I24" s="1105"/>
    </row>
    <row r="25" spans="1:9" s="1600" customFormat="1" ht="19.5" customHeight="1">
      <c r="A25" s="3405"/>
      <c r="B25" s="3405"/>
      <c r="C25" s="1131" t="s">
        <v>1461</v>
      </c>
      <c r="D25" s="1132"/>
      <c r="E25" s="1154">
        <v>1.1000000000000001</v>
      </c>
      <c r="F25" s="1133"/>
      <c r="G25" s="1134"/>
      <c r="H25" s="1105"/>
      <c r="I25" s="1105"/>
    </row>
    <row r="26" spans="1:9" s="1600" customFormat="1" ht="19.5" customHeight="1">
      <c r="A26" s="3405"/>
      <c r="B26" s="3405"/>
      <c r="C26" s="1131" t="s">
        <v>1462</v>
      </c>
      <c r="D26" s="1132"/>
      <c r="E26" s="1154">
        <v>1.1000000000000001</v>
      </c>
      <c r="F26" s="1133"/>
      <c r="G26" s="1134"/>
      <c r="H26" s="1105"/>
      <c r="I26" s="1105"/>
    </row>
    <row r="27" spans="1:9" s="1600" customFormat="1" ht="19.5" customHeight="1">
      <c r="A27" s="3405"/>
      <c r="B27" s="3405"/>
      <c r="C27" s="1131" t="s">
        <v>1463</v>
      </c>
      <c r="D27" s="1132"/>
      <c r="E27" s="1154">
        <v>0.9</v>
      </c>
      <c r="F27" s="1133" t="s">
        <v>1464</v>
      </c>
      <c r="G27" s="1134"/>
      <c r="H27" s="1105"/>
      <c r="I27" s="1105"/>
    </row>
    <row r="28" spans="1:9" s="1600" customFormat="1" ht="19.5" customHeight="1">
      <c r="A28" s="3405"/>
      <c r="B28" s="3405"/>
      <c r="C28" s="1131" t="s">
        <v>1465</v>
      </c>
      <c r="D28" s="1132"/>
      <c r="E28" s="1154">
        <v>0.9</v>
      </c>
      <c r="F28" s="1133" t="s">
        <v>1466</v>
      </c>
      <c r="G28" s="1134"/>
      <c r="H28" s="1105"/>
      <c r="I28" s="1105"/>
    </row>
    <row r="29" spans="1:9" s="1600" customFormat="1" ht="19.5" customHeight="1">
      <c r="A29" s="3405"/>
      <c r="B29" s="3405"/>
      <c r="C29" s="1131" t="s">
        <v>1467</v>
      </c>
      <c r="D29" s="1132"/>
      <c r="E29" s="1154">
        <v>0.9</v>
      </c>
      <c r="F29" s="1133" t="s">
        <v>1468</v>
      </c>
      <c r="G29" s="1134"/>
      <c r="H29" s="1105"/>
      <c r="I29" s="1105"/>
    </row>
    <row r="30" spans="1:9" s="1600" customFormat="1" ht="19.5" customHeight="1">
      <c r="A30" s="3405"/>
      <c r="B30" s="3405"/>
      <c r="C30" s="1131" t="s">
        <v>1469</v>
      </c>
      <c r="D30" s="1132"/>
      <c r="E30" s="1154">
        <v>0.9</v>
      </c>
      <c r="F30" s="1133" t="s">
        <v>1470</v>
      </c>
      <c r="G30" s="1134"/>
      <c r="H30" s="1105"/>
      <c r="I30" s="1105"/>
    </row>
    <row r="31" spans="1:9" s="1600" customFormat="1" ht="19.5" customHeight="1">
      <c r="A31" s="3405"/>
      <c r="B31" s="3405"/>
      <c r="C31" s="1131" t="s">
        <v>1471</v>
      </c>
      <c r="D31" s="1132"/>
      <c r="E31" s="1154">
        <v>0.8</v>
      </c>
      <c r="F31" s="1133" t="s">
        <v>1472</v>
      </c>
      <c r="G31" s="1134"/>
      <c r="H31" s="1105"/>
      <c r="I31" s="1105"/>
    </row>
    <row r="32" spans="1:9" s="1600" customFormat="1" ht="19.5" customHeight="1">
      <c r="A32" s="3405"/>
      <c r="B32" s="3405"/>
      <c r="C32" s="1131" t="s">
        <v>1473</v>
      </c>
      <c r="D32" s="1132"/>
      <c r="E32" s="1154">
        <v>0.8</v>
      </c>
      <c r="F32" s="1133" t="s">
        <v>1474</v>
      </c>
      <c r="G32" s="1134"/>
      <c r="H32" s="1105"/>
      <c r="I32" s="1105"/>
    </row>
    <row r="33" spans="1:9" s="1600" customFormat="1" ht="19.5" customHeight="1">
      <c r="A33" s="3405" t="s">
        <v>1475</v>
      </c>
      <c r="B33" s="1154" t="s">
        <v>1447</v>
      </c>
      <c r="C33" s="1131" t="s">
        <v>1476</v>
      </c>
      <c r="D33" s="1132"/>
      <c r="E33" s="1154">
        <v>1</v>
      </c>
      <c r="F33" s="1133" t="s">
        <v>1477</v>
      </c>
      <c r="G33" s="1134"/>
      <c r="H33" s="1105"/>
      <c r="I33" s="1105"/>
    </row>
    <row r="34" spans="1:9" s="1600" customFormat="1" ht="19.5" customHeight="1">
      <c r="A34" s="3405"/>
      <c r="B34" s="1154" t="s">
        <v>1450</v>
      </c>
      <c r="C34" s="1131" t="s">
        <v>1478</v>
      </c>
      <c r="D34" s="1132"/>
      <c r="E34" s="1154">
        <v>1.5</v>
      </c>
      <c r="F34" s="1133" t="s">
        <v>1479</v>
      </c>
      <c r="G34" s="1134"/>
      <c r="H34" s="1105"/>
      <c r="I34" s="1105"/>
    </row>
    <row r="35" spans="1:9" s="1600" customFormat="1" ht="19.5" customHeight="1">
      <c r="A35" s="3405" t="s">
        <v>1433</v>
      </c>
      <c r="B35" s="1154" t="s">
        <v>1447</v>
      </c>
      <c r="C35" s="1131" t="s">
        <v>1480</v>
      </c>
      <c r="D35" s="1132"/>
      <c r="E35" s="1154">
        <v>1</v>
      </c>
      <c r="F35" s="1133" t="s">
        <v>1481</v>
      </c>
      <c r="G35" s="1134"/>
      <c r="H35" s="1105"/>
      <c r="I35" s="1105"/>
    </row>
    <row r="36" spans="1:9" s="1600" customFormat="1" ht="19.5" customHeight="1">
      <c r="A36" s="3405"/>
      <c r="B36" s="3405" t="s">
        <v>1450</v>
      </c>
      <c r="C36" s="1131" t="s">
        <v>1482</v>
      </c>
      <c r="D36" s="1132"/>
      <c r="E36" s="1154">
        <v>1</v>
      </c>
      <c r="F36" s="1133" t="s">
        <v>1483</v>
      </c>
      <c r="G36" s="1134"/>
      <c r="H36" s="1105"/>
      <c r="I36" s="1105"/>
    </row>
    <row r="37" spans="1:9" s="1600" customFormat="1" ht="19.5" customHeight="1">
      <c r="A37" s="3405"/>
      <c r="B37" s="3405"/>
      <c r="C37" s="1131" t="s">
        <v>1484</v>
      </c>
      <c r="D37" s="1132"/>
      <c r="E37" s="1154">
        <v>1.5</v>
      </c>
      <c r="F37" s="1133" t="s">
        <v>1485</v>
      </c>
      <c r="G37" s="1134"/>
      <c r="H37" s="1105"/>
      <c r="I37" s="1105"/>
    </row>
    <row r="38" spans="1:9" s="1600" customFormat="1" ht="19.5" customHeight="1">
      <c r="A38" s="3405"/>
      <c r="B38" s="3405"/>
      <c r="C38" s="1131" t="s">
        <v>1486</v>
      </c>
      <c r="D38" s="1132"/>
      <c r="E38" s="1154">
        <v>1</v>
      </c>
      <c r="F38" s="1133" t="s">
        <v>1487</v>
      </c>
      <c r="G38" s="1134"/>
      <c r="H38" s="1105"/>
      <c r="I38" s="1105"/>
    </row>
    <row r="39" spans="1:9" s="1600" customFormat="1" ht="19.5" customHeight="1">
      <c r="A39" s="3405"/>
      <c r="B39" s="340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5" t="s">
        <v>1502</v>
      </c>
      <c r="C61" s="1068" t="s">
        <v>1503</v>
      </c>
      <c r="D61" s="1068" t="s">
        <v>1504</v>
      </c>
      <c r="E61" s="1139">
        <v>0.5</v>
      </c>
      <c r="F61" s="1154">
        <v>80</v>
      </c>
      <c r="H61" s="1105">
        <f>SUMIF(C59:C119,基准地价!C8,E59:E119)</f>
        <v>0</v>
      </c>
    </row>
    <row r="62" spans="1:8" s="1105" customFormat="1" ht="24">
      <c r="A62" s="1154">
        <v>2</v>
      </c>
      <c r="B62" s="3405"/>
      <c r="C62" s="1068" t="s">
        <v>1505</v>
      </c>
      <c r="D62" s="1068" t="s">
        <v>1506</v>
      </c>
      <c r="E62" s="1139">
        <v>0.5</v>
      </c>
      <c r="F62" s="1154">
        <v>80</v>
      </c>
    </row>
    <row r="63" spans="1:8" s="1105" customFormat="1" ht="36">
      <c r="A63" s="1154">
        <v>3</v>
      </c>
      <c r="B63" s="3405"/>
      <c r="C63" s="1068" t="s">
        <v>1507</v>
      </c>
      <c r="D63" s="1068" t="s">
        <v>1508</v>
      </c>
      <c r="E63" s="1139">
        <v>0.5</v>
      </c>
      <c r="F63" s="1154">
        <v>80</v>
      </c>
    </row>
    <row r="64" spans="1:8" s="1105" customFormat="1" ht="36">
      <c r="A64" s="1154">
        <v>4</v>
      </c>
      <c r="B64" s="3405"/>
      <c r="C64" s="1068" t="s">
        <v>1509</v>
      </c>
      <c r="D64" s="1068" t="s">
        <v>1510</v>
      </c>
      <c r="E64" s="1139">
        <v>0.4</v>
      </c>
      <c r="F64" s="1154">
        <v>60</v>
      </c>
    </row>
    <row r="65" spans="1:6" s="1105" customFormat="1" ht="36">
      <c r="A65" s="1154">
        <v>5</v>
      </c>
      <c r="B65" s="3405"/>
      <c r="C65" s="1068" t="s">
        <v>1511</v>
      </c>
      <c r="D65" s="1068" t="s">
        <v>1512</v>
      </c>
      <c r="E65" s="1139">
        <v>0.2</v>
      </c>
      <c r="F65" s="1154">
        <v>30</v>
      </c>
    </row>
    <row r="66" spans="1:6" s="1105" customFormat="1" ht="36">
      <c r="A66" s="1154">
        <v>6</v>
      </c>
      <c r="B66" s="3405"/>
      <c r="C66" s="1068" t="s">
        <v>1513</v>
      </c>
      <c r="D66" s="1068" t="s">
        <v>1514</v>
      </c>
      <c r="E66" s="1139">
        <v>0.3</v>
      </c>
      <c r="F66" s="1154">
        <v>50</v>
      </c>
    </row>
    <row r="67" spans="1:6" s="1105" customFormat="1" ht="36">
      <c r="A67" s="1154">
        <v>7</v>
      </c>
      <c r="B67" s="3405"/>
      <c r="C67" s="1068" t="s">
        <v>1515</v>
      </c>
      <c r="D67" s="1068" t="s">
        <v>1516</v>
      </c>
      <c r="E67" s="1139">
        <v>0.2</v>
      </c>
      <c r="F67" s="1154">
        <v>30</v>
      </c>
    </row>
    <row r="68" spans="1:6" s="1105" customFormat="1" ht="36">
      <c r="A68" s="1154">
        <v>8</v>
      </c>
      <c r="B68" s="3405"/>
      <c r="C68" s="1068" t="s">
        <v>1517</v>
      </c>
      <c r="D68" s="1068" t="s">
        <v>1518</v>
      </c>
      <c r="E68" s="1139">
        <v>0.2</v>
      </c>
      <c r="F68" s="1154">
        <v>30</v>
      </c>
    </row>
    <row r="69" spans="1:6" s="1105" customFormat="1" ht="36">
      <c r="A69" s="1154">
        <v>9</v>
      </c>
      <c r="B69" s="3405"/>
      <c r="C69" s="1068" t="s">
        <v>1519</v>
      </c>
      <c r="D69" s="1068" t="s">
        <v>1520</v>
      </c>
      <c r="E69" s="1139">
        <v>0.2</v>
      </c>
      <c r="F69" s="1154">
        <v>30</v>
      </c>
    </row>
    <row r="70" spans="1:6" s="1105" customFormat="1" ht="48">
      <c r="A70" s="1154">
        <v>10</v>
      </c>
      <c r="B70" s="3405"/>
      <c r="C70" s="1068" t="s">
        <v>1521</v>
      </c>
      <c r="D70" s="1068" t="s">
        <v>1522</v>
      </c>
      <c r="E70" s="1139">
        <v>0.2</v>
      </c>
      <c r="F70" s="1154">
        <v>30</v>
      </c>
    </row>
    <row r="71" spans="1:6" s="1105" customFormat="1" ht="48">
      <c r="A71" s="1154">
        <v>11</v>
      </c>
      <c r="B71" s="3405"/>
      <c r="C71" s="1068" t="s">
        <v>1523</v>
      </c>
      <c r="D71" s="1068" t="s">
        <v>1524</v>
      </c>
      <c r="E71" s="1139">
        <v>0.2</v>
      </c>
      <c r="F71" s="1154">
        <v>30</v>
      </c>
    </row>
    <row r="72" spans="1:6" s="1105" customFormat="1" ht="36">
      <c r="A72" s="1154">
        <v>12</v>
      </c>
      <c r="B72" s="3405"/>
      <c r="C72" s="1068" t="s">
        <v>1525</v>
      </c>
      <c r="D72" s="1068" t="s">
        <v>1526</v>
      </c>
      <c r="E72" s="1139">
        <v>0.5</v>
      </c>
      <c r="F72" s="1154">
        <v>80</v>
      </c>
    </row>
    <row r="73" spans="1:6" s="1105" customFormat="1" ht="24">
      <c r="A73" s="1154">
        <v>13</v>
      </c>
      <c r="B73" s="3405"/>
      <c r="C73" s="1068" t="s">
        <v>1527</v>
      </c>
      <c r="D73" s="1068" t="s">
        <v>1528</v>
      </c>
      <c r="E73" s="1139">
        <v>0.4</v>
      </c>
      <c r="F73" s="1154">
        <v>60</v>
      </c>
    </row>
    <row r="74" spans="1:6" s="1105" customFormat="1" ht="24">
      <c r="A74" s="1154">
        <v>14</v>
      </c>
      <c r="B74" s="3405"/>
      <c r="C74" s="1068" t="s">
        <v>1529</v>
      </c>
      <c r="D74" s="1068" t="s">
        <v>1530</v>
      </c>
      <c r="E74" s="1139">
        <v>0.2</v>
      </c>
      <c r="F74" s="1154">
        <v>30</v>
      </c>
    </row>
    <row r="75" spans="1:6" s="1105" customFormat="1" ht="24">
      <c r="A75" s="1154">
        <v>15</v>
      </c>
      <c r="B75" s="3405"/>
      <c r="C75" s="1068" t="s">
        <v>1531</v>
      </c>
      <c r="D75" s="1068" t="s">
        <v>1532</v>
      </c>
      <c r="E75" s="1139">
        <v>0.2</v>
      </c>
      <c r="F75" s="1154">
        <v>30</v>
      </c>
    </row>
    <row r="76" spans="1:6" s="1105" customFormat="1" ht="24">
      <c r="A76" s="1154">
        <v>16</v>
      </c>
      <c r="B76" s="3405" t="s">
        <v>1533</v>
      </c>
      <c r="C76" s="1068" t="s">
        <v>1534</v>
      </c>
      <c r="D76" s="1068" t="s">
        <v>1535</v>
      </c>
      <c r="E76" s="1139">
        <v>0.5</v>
      </c>
      <c r="F76" s="1154">
        <v>80</v>
      </c>
    </row>
    <row r="77" spans="1:6" s="1105" customFormat="1" ht="24">
      <c r="A77" s="1154">
        <v>17</v>
      </c>
      <c r="B77" s="3405"/>
      <c r="C77" s="1068" t="s">
        <v>1536</v>
      </c>
      <c r="D77" s="1068" t="s">
        <v>1537</v>
      </c>
      <c r="E77" s="1139">
        <v>0.5</v>
      </c>
      <c r="F77" s="1154">
        <v>80</v>
      </c>
    </row>
    <row r="78" spans="1:6" s="1105" customFormat="1" ht="24">
      <c r="A78" s="1154">
        <v>18</v>
      </c>
      <c r="B78" s="3405"/>
      <c r="C78" s="1068" t="s">
        <v>1538</v>
      </c>
      <c r="D78" s="1068" t="s">
        <v>1539</v>
      </c>
      <c r="E78" s="1139">
        <v>0.2</v>
      </c>
      <c r="F78" s="1154">
        <v>30</v>
      </c>
    </row>
    <row r="79" spans="1:6" s="1105" customFormat="1" ht="24">
      <c r="A79" s="1154">
        <v>19</v>
      </c>
      <c r="B79" s="3405"/>
      <c r="C79" s="1068" t="s">
        <v>1540</v>
      </c>
      <c r="D79" s="1068" t="s">
        <v>1541</v>
      </c>
      <c r="E79" s="1139">
        <v>0.5</v>
      </c>
      <c r="F79" s="1154">
        <v>80</v>
      </c>
    </row>
    <row r="80" spans="1:6" s="1105" customFormat="1" ht="36">
      <c r="A80" s="1154">
        <v>20</v>
      </c>
      <c r="B80" s="3405"/>
      <c r="C80" s="1068" t="s">
        <v>1542</v>
      </c>
      <c r="D80" s="1068" t="s">
        <v>1543</v>
      </c>
      <c r="E80" s="1139">
        <v>0.2</v>
      </c>
      <c r="F80" s="1154">
        <v>30</v>
      </c>
    </row>
    <row r="81" spans="1:6" s="1105" customFormat="1" ht="36">
      <c r="A81" s="1154">
        <v>21</v>
      </c>
      <c r="B81" s="3405"/>
      <c r="C81" s="1068" t="s">
        <v>1544</v>
      </c>
      <c r="D81" s="1068" t="s">
        <v>1545</v>
      </c>
      <c r="E81" s="1139">
        <v>0.2</v>
      </c>
      <c r="F81" s="1154">
        <v>30</v>
      </c>
    </row>
    <row r="82" spans="1:6" s="1105" customFormat="1" ht="48">
      <c r="A82" s="1154">
        <v>22</v>
      </c>
      <c r="B82" s="3405"/>
      <c r="C82" s="1068" t="s">
        <v>1546</v>
      </c>
      <c r="D82" s="1068" t="s">
        <v>1547</v>
      </c>
      <c r="E82" s="1139">
        <v>0.2</v>
      </c>
      <c r="F82" s="1154">
        <v>30</v>
      </c>
    </row>
    <row r="83" spans="1:6" s="1105" customFormat="1" ht="48">
      <c r="A83" s="1154">
        <v>23</v>
      </c>
      <c r="B83" s="3405"/>
      <c r="C83" s="1068" t="s">
        <v>1548</v>
      </c>
      <c r="D83" s="1068" t="s">
        <v>1549</v>
      </c>
      <c r="E83" s="1139">
        <v>0.2</v>
      </c>
      <c r="F83" s="1154">
        <v>30</v>
      </c>
    </row>
    <row r="84" spans="1:6" s="1105" customFormat="1" ht="36">
      <c r="A84" s="1154">
        <v>24</v>
      </c>
      <c r="B84" s="3405"/>
      <c r="C84" s="1068" t="s">
        <v>1550</v>
      </c>
      <c r="D84" s="1068" t="s">
        <v>1551</v>
      </c>
      <c r="E84" s="1139">
        <v>0.2</v>
      </c>
      <c r="F84" s="1154">
        <v>30</v>
      </c>
    </row>
    <row r="85" spans="1:6" s="1105" customFormat="1" ht="36">
      <c r="A85" s="1154">
        <v>25</v>
      </c>
      <c r="B85" s="3405"/>
      <c r="C85" s="1068" t="s">
        <v>1552</v>
      </c>
      <c r="D85" s="1068" t="s">
        <v>1553</v>
      </c>
      <c r="E85" s="1139">
        <v>0.5</v>
      </c>
      <c r="F85" s="1154">
        <v>80</v>
      </c>
    </row>
    <row r="86" spans="1:6" s="1105" customFormat="1" ht="36">
      <c r="A86" s="1154">
        <v>26</v>
      </c>
      <c r="B86" s="3405"/>
      <c r="C86" s="1068" t="s">
        <v>1554</v>
      </c>
      <c r="D86" s="1068" t="s">
        <v>1555</v>
      </c>
      <c r="E86" s="1139">
        <v>0.2</v>
      </c>
      <c r="F86" s="1154">
        <v>30</v>
      </c>
    </row>
    <row r="87" spans="1:6" s="1105" customFormat="1" ht="36">
      <c r="A87" s="1154">
        <v>27</v>
      </c>
      <c r="B87" s="3405"/>
      <c r="C87" s="1068" t="s">
        <v>1556</v>
      </c>
      <c r="D87" s="1068" t="s">
        <v>1557</v>
      </c>
      <c r="E87" s="1139">
        <v>0.2</v>
      </c>
      <c r="F87" s="1154">
        <v>30</v>
      </c>
    </row>
    <row r="88" spans="1:6" s="1105" customFormat="1" ht="36">
      <c r="A88" s="1154">
        <v>28</v>
      </c>
      <c r="B88" s="3405"/>
      <c r="C88" s="1068" t="s">
        <v>1558</v>
      </c>
      <c r="D88" s="1068" t="s">
        <v>1559</v>
      </c>
      <c r="E88" s="1139">
        <v>0.2</v>
      </c>
      <c r="F88" s="1154">
        <v>30</v>
      </c>
    </row>
    <row r="89" spans="1:6" s="1105" customFormat="1" ht="24">
      <c r="A89" s="1154">
        <v>29</v>
      </c>
      <c r="B89" s="3405"/>
      <c r="C89" s="1068" t="s">
        <v>1560</v>
      </c>
      <c r="D89" s="1068" t="s">
        <v>1561</v>
      </c>
      <c r="E89" s="1139">
        <v>0.2</v>
      </c>
      <c r="F89" s="1154">
        <v>30</v>
      </c>
    </row>
    <row r="90" spans="1:6" s="1105" customFormat="1" ht="24">
      <c r="A90" s="1154">
        <v>30</v>
      </c>
      <c r="B90" s="3405"/>
      <c r="C90" s="1068" t="s">
        <v>1562</v>
      </c>
      <c r="D90" s="1068" t="s">
        <v>1563</v>
      </c>
      <c r="E90" s="1139">
        <v>0.2</v>
      </c>
      <c r="F90" s="1154">
        <v>30</v>
      </c>
    </row>
    <row r="91" spans="1:6" s="1105" customFormat="1" ht="36">
      <c r="A91" s="1154">
        <v>31</v>
      </c>
      <c r="B91" s="3405"/>
      <c r="C91" s="1068" t="s">
        <v>1564</v>
      </c>
      <c r="D91" s="1068" t="s">
        <v>1565</v>
      </c>
      <c r="E91" s="1139">
        <v>0.2</v>
      </c>
      <c r="F91" s="1154">
        <v>30</v>
      </c>
    </row>
    <row r="92" spans="1:6" s="1105" customFormat="1" ht="24">
      <c r="A92" s="1154">
        <v>32</v>
      </c>
      <c r="B92" s="3405" t="s">
        <v>1566</v>
      </c>
      <c r="C92" s="1154" t="s">
        <v>1567</v>
      </c>
      <c r="D92" s="1068" t="s">
        <v>1568</v>
      </c>
      <c r="E92" s="1139">
        <v>0.2</v>
      </c>
      <c r="F92" s="1154">
        <v>30</v>
      </c>
    </row>
    <row r="93" spans="1:6" s="1105" customFormat="1" ht="36">
      <c r="A93" s="1154">
        <v>33</v>
      </c>
      <c r="B93" s="3405"/>
      <c r="C93" s="1154" t="s">
        <v>1569</v>
      </c>
      <c r="D93" s="1068" t="s">
        <v>1570</v>
      </c>
      <c r="E93" s="1139">
        <v>0.2</v>
      </c>
      <c r="F93" s="1154">
        <v>30</v>
      </c>
    </row>
    <row r="94" spans="1:6" s="1105" customFormat="1" ht="48">
      <c r="A94" s="1154">
        <v>34</v>
      </c>
      <c r="B94" s="3405"/>
      <c r="C94" s="1154" t="s">
        <v>1571</v>
      </c>
      <c r="D94" s="1068" t="s">
        <v>1572</v>
      </c>
      <c r="E94" s="1139">
        <v>0.2</v>
      </c>
      <c r="F94" s="1154">
        <v>30</v>
      </c>
    </row>
    <row r="95" spans="1:6" s="1105" customFormat="1" ht="36">
      <c r="A95" s="1154">
        <v>35</v>
      </c>
      <c r="B95" s="3405"/>
      <c r="C95" s="1154" t="s">
        <v>1573</v>
      </c>
      <c r="D95" s="1068" t="s">
        <v>1574</v>
      </c>
      <c r="E95" s="1139">
        <v>0.2</v>
      </c>
      <c r="F95" s="1154">
        <v>30</v>
      </c>
    </row>
    <row r="96" spans="1:6" s="1105" customFormat="1" ht="48">
      <c r="A96" s="1154">
        <v>36</v>
      </c>
      <c r="B96" s="3405"/>
      <c r="C96" s="1068" t="s">
        <v>1575</v>
      </c>
      <c r="D96" s="1068" t="s">
        <v>1576</v>
      </c>
      <c r="E96" s="1139">
        <v>0.2</v>
      </c>
      <c r="F96" s="1154">
        <v>30</v>
      </c>
    </row>
    <row r="97" spans="1:6" s="1105" customFormat="1" ht="36">
      <c r="A97" s="1154">
        <v>37</v>
      </c>
      <c r="B97" s="3405"/>
      <c r="C97" s="1154" t="s">
        <v>1577</v>
      </c>
      <c r="D97" s="1068" t="s">
        <v>1578</v>
      </c>
      <c r="E97" s="1139">
        <v>0.2</v>
      </c>
      <c r="F97" s="1154">
        <v>30</v>
      </c>
    </row>
    <row r="98" spans="1:6" s="1105" customFormat="1" ht="36">
      <c r="A98" s="1154">
        <v>38</v>
      </c>
      <c r="B98" s="3405"/>
      <c r="C98" s="1154" t="s">
        <v>1579</v>
      </c>
      <c r="D98" s="1068" t="s">
        <v>1580</v>
      </c>
      <c r="E98" s="1139">
        <v>0.2</v>
      </c>
      <c r="F98" s="1154">
        <v>30</v>
      </c>
    </row>
    <row r="99" spans="1:6" s="1105" customFormat="1" ht="36">
      <c r="A99" s="1154">
        <v>39</v>
      </c>
      <c r="B99" s="3405" t="s">
        <v>1581</v>
      </c>
      <c r="C99" s="1154" t="s">
        <v>1582</v>
      </c>
      <c r="D99" s="1068" t="s">
        <v>1583</v>
      </c>
      <c r="E99" s="1139">
        <v>0.3</v>
      </c>
      <c r="F99" s="1154">
        <v>50</v>
      </c>
    </row>
    <row r="100" spans="1:6" s="1105" customFormat="1" ht="24">
      <c r="A100" s="1154">
        <v>40</v>
      </c>
      <c r="B100" s="3405"/>
      <c r="C100" s="1154" t="s">
        <v>1584</v>
      </c>
      <c r="D100" s="1068" t="s">
        <v>1585</v>
      </c>
      <c r="E100" s="1139">
        <v>0.2</v>
      </c>
      <c r="F100" s="1154">
        <v>30</v>
      </c>
    </row>
    <row r="101" spans="1:6" s="1105" customFormat="1" ht="36">
      <c r="A101" s="1154">
        <v>41</v>
      </c>
      <c r="B101" s="340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5" t="s">
        <v>1596</v>
      </c>
      <c r="C105" s="1154" t="s">
        <v>1597</v>
      </c>
      <c r="D105" s="1068" t="s">
        <v>1598</v>
      </c>
      <c r="E105" s="1139">
        <v>0.2</v>
      </c>
      <c r="F105" s="1154">
        <v>30</v>
      </c>
    </row>
    <row r="106" spans="1:6" s="1105" customFormat="1" ht="36">
      <c r="A106" s="1154">
        <v>46</v>
      </c>
      <c r="B106" s="3405"/>
      <c r="C106" s="1154" t="s">
        <v>1599</v>
      </c>
      <c r="D106" s="1068" t="s">
        <v>1600</v>
      </c>
      <c r="E106" s="1139">
        <v>0.2</v>
      </c>
      <c r="F106" s="1154">
        <v>30</v>
      </c>
    </row>
    <row r="107" spans="1:6" s="1105" customFormat="1" ht="36">
      <c r="A107" s="1154">
        <v>47</v>
      </c>
      <c r="B107" s="3405" t="s">
        <v>1601</v>
      </c>
      <c r="C107" s="1154" t="s">
        <v>1602</v>
      </c>
      <c r="D107" s="1068" t="s">
        <v>1603</v>
      </c>
      <c r="E107" s="1139">
        <v>0.3</v>
      </c>
      <c r="F107" s="1154">
        <v>50</v>
      </c>
    </row>
    <row r="108" spans="1:6" s="1105" customFormat="1" ht="36">
      <c r="A108" s="1154">
        <v>48</v>
      </c>
      <c r="B108" s="340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5" t="s">
        <v>1612</v>
      </c>
      <c r="C111" s="1154" t="s">
        <v>1613</v>
      </c>
      <c r="D111" s="1068" t="s">
        <v>1614</v>
      </c>
      <c r="E111" s="1139">
        <v>0.2</v>
      </c>
      <c r="F111" s="1154">
        <v>30</v>
      </c>
    </row>
    <row r="112" spans="1:6" s="1105" customFormat="1" ht="24">
      <c r="A112" s="1154">
        <v>52</v>
      </c>
      <c r="B112" s="3405"/>
      <c r="C112" s="1154" t="s">
        <v>1615</v>
      </c>
      <c r="D112" s="1068" t="s">
        <v>1616</v>
      </c>
      <c r="E112" s="1139">
        <v>0.2</v>
      </c>
      <c r="F112" s="1154">
        <v>30</v>
      </c>
    </row>
    <row r="113" spans="1:14" s="1105" customFormat="1" ht="24">
      <c r="A113" s="1154">
        <v>53</v>
      </c>
      <c r="B113" s="340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5" t="s">
        <v>1625</v>
      </c>
      <c r="C116" s="1154" t="s">
        <v>1626</v>
      </c>
      <c r="D116" s="1068" t="s">
        <v>1627</v>
      </c>
      <c r="E116" s="1139">
        <v>0.2</v>
      </c>
      <c r="F116" s="1154">
        <v>30</v>
      </c>
    </row>
    <row r="117" spans="1:14" ht="36">
      <c r="A117" s="1154">
        <v>57</v>
      </c>
      <c r="B117" s="340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4" t="s">
        <v>1634</v>
      </c>
      <c r="B121" s="3404"/>
      <c r="C121" s="3404"/>
      <c r="D121" s="3404"/>
      <c r="E121" s="3404"/>
      <c r="F121" s="3404"/>
      <c r="G121" s="3404"/>
      <c r="H121" s="3404"/>
      <c r="I121" s="3404"/>
      <c r="J121" s="340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1.4E-3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-2</v>
      </c>
      <c r="K54" s="3427"/>
      <c r="L54" s="3428"/>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1" t="s">
        <v>2577</v>
      </c>
      <c r="C1" s="3431"/>
      <c r="D1" s="3431"/>
      <c r="E1" s="3431"/>
      <c r="F1" s="3431"/>
      <c r="G1" s="3430" t="s">
        <v>2578</v>
      </c>
      <c r="H1" s="3430"/>
      <c r="I1" s="3430"/>
      <c r="J1" s="3430"/>
      <c r="K1" s="3430"/>
      <c r="L1" s="3430"/>
      <c r="N1" s="3430" t="s">
        <v>2579</v>
      </c>
      <c r="O1" s="3430"/>
      <c r="P1" s="3430"/>
      <c r="Q1" s="3430"/>
      <c r="R1" s="2634"/>
      <c r="S1" s="3430" t="s">
        <v>2580</v>
      </c>
      <c r="T1" s="3430"/>
      <c r="U1" s="3430"/>
      <c r="V1" s="3430"/>
      <c r="X1" s="3429" t="s">
        <v>2640</v>
      </c>
      <c r="Y1" s="3430"/>
      <c r="Z1" s="3430"/>
      <c r="AA1" s="3430"/>
      <c r="AB1" s="3430"/>
      <c r="AD1" s="3429" t="s">
        <v>2644</v>
      </c>
      <c r="AE1" s="3430"/>
      <c r="AF1" s="3430"/>
      <c r="AG1" s="3430"/>
      <c r="AH1" s="3430"/>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3">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3"/>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3"/>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39"/>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38">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3"/>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3"/>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39"/>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8">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3"/>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3"/>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4"/>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2">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3"/>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3"/>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4"/>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2">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3"/>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3"/>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4"/>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5">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6"/>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6"/>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7"/>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2">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3"/>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3"/>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4"/>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2">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3">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3">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4">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2">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3">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3">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4">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2">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3">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3">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4">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2">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3">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3">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4">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2">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3">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3">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4">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2">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3">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3">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4">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2">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3">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3">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4">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2">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3">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3">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4">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3">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3">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3">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3">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4">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69366.25平方米。根据《建设工程规划许可证》[]、《出让合同》[]，估价对象规划建筑面积为138732.5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2019年3月4日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根据《国有土地使用证》[]，估价对象（分摊）出让国有建设用地使用权面积为69366.25平方米。根据《建设工程规划许可证》[]、《出让合同》[]，估价对象规划建筑面积为138732.5平方米。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本次估价对象为出让国有建设用地使用权，《国有土地使用证》[]证载土地终止日期为住宅2055年11月24日仓储2025年6月17日、工业2069年2月16日。截至估价期日，出让国有建设用地使用权剩余土地使用年限为。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D3" sqref="D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982</v>
      </c>
      <c r="D1" s="3102" t="s">
        <v>3036</v>
      </c>
      <c r="E1" s="2367" t="s">
        <v>2375</v>
      </c>
      <c r="F1" s="2368" t="e">
        <f ca="1">J53</f>
        <v>#N/A</v>
      </c>
      <c r="G1" s="774" t="e">
        <f>MATCH(C1,'数据-取费表'!A6:A16,0)+5</f>
        <v>#N/A</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#N/A</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t="e">
        <f ca="1">C6+C10+C12</f>
        <v>#N/A</v>
      </c>
      <c r="D5" s="2476" t="s">
        <v>2462</v>
      </c>
      <c r="E5" s="2470"/>
      <c r="F5" s="2471"/>
      <c r="G5" s="1593"/>
      <c r="H5" s="781">
        <v>1</v>
      </c>
      <c r="I5" s="782" t="s">
        <v>2459</v>
      </c>
      <c r="J5" s="55" t="e">
        <f ca="1">J6+J10+J12</f>
        <v>#N/A</v>
      </c>
      <c r="K5" s="2476" t="s">
        <v>2462</v>
      </c>
      <c r="L5" s="2470"/>
      <c r="M5" s="2471"/>
    </row>
    <row r="6" spans="1:33" ht="18" customHeight="1">
      <c r="A6" s="1831" t="s">
        <v>1825</v>
      </c>
      <c r="B6" s="3423" t="s">
        <v>2464</v>
      </c>
      <c r="C6" s="783" t="e">
        <f ca="1">ROUND(F6*F8*F7*(1-F9)/10000,0)</f>
        <v>#N/A</v>
      </c>
      <c r="D6" s="2477" t="s">
        <v>2463</v>
      </c>
      <c r="E6" s="784" t="s">
        <v>1739</v>
      </c>
      <c r="F6" s="785" t="e">
        <f ca="1">INDIRECT("'数据-取费表'!u"&amp;$G$1)</f>
        <v>#N/A</v>
      </c>
      <c r="G6" s="1593"/>
      <c r="H6" s="2484" t="s">
        <v>2469</v>
      </c>
      <c r="I6" s="3423" t="s">
        <v>2464</v>
      </c>
      <c r="J6" s="783" t="e">
        <f ca="1">ROUND(M6*M8*M7*(1-M9)/10000,0)</f>
        <v>#N/A</v>
      </c>
      <c r="K6" s="341" t="s">
        <v>1738</v>
      </c>
      <c r="L6" s="784" t="s">
        <v>1739</v>
      </c>
      <c r="M6" s="785" t="e">
        <f ca="1">INDIRECT("'数据-取费表'!z"&amp;$G$1)</f>
        <v>#N/A</v>
      </c>
    </row>
    <row r="7" spans="1:33" ht="18" customHeight="1">
      <c r="A7" s="2480"/>
      <c r="B7" s="3424"/>
      <c r="C7" s="788"/>
      <c r="D7" s="789"/>
      <c r="E7" s="784" t="s">
        <v>1740</v>
      </c>
      <c r="F7" s="785" t="e">
        <f ca="1">IF(INDIRECT("'数据-取费表'!ah"&amp;$G$1)="",INDIRECT("'数据-取费表'!k"&amp;$G$1),INDIRECT("'数据-取费表'!ah"&amp;$G$1))</f>
        <v>#N/A</v>
      </c>
      <c r="G7" s="1593"/>
      <c r="H7" s="2469"/>
      <c r="I7" s="3424"/>
      <c r="J7" s="788"/>
      <c r="K7" s="789"/>
      <c r="L7" s="784" t="s">
        <v>1740</v>
      </c>
      <c r="M7" s="785" t="e">
        <f ca="1">F7</f>
        <v>#N/A</v>
      </c>
    </row>
    <row r="8" spans="1:33" ht="18" customHeight="1">
      <c r="A8" s="2473"/>
      <c r="B8" s="3425"/>
      <c r="C8" s="788"/>
      <c r="D8" s="789"/>
      <c r="E8" s="784" t="s">
        <v>1741</v>
      </c>
      <c r="F8" s="785" t="e">
        <f ca="1">INDIRECT("'数据-取费表'!ai"&amp;$G$1)</f>
        <v>#N/A</v>
      </c>
      <c r="G8" s="1593"/>
      <c r="H8" s="2469"/>
      <c r="I8" s="3425"/>
      <c r="J8" s="788"/>
      <c r="K8" s="789"/>
      <c r="L8" s="784" t="s">
        <v>1741</v>
      </c>
      <c r="M8" s="785" t="e">
        <f ca="1">INDIRECT("'数据-取费表'!ai"&amp;$G$1)</f>
        <v>#N/A</v>
      </c>
    </row>
    <row r="9" spans="1:33" ht="18" customHeight="1">
      <c r="A9" s="786"/>
      <c r="B9" s="3426"/>
      <c r="C9" s="788"/>
      <c r="D9" s="789"/>
      <c r="E9" s="784" t="s">
        <v>1742</v>
      </c>
      <c r="F9" s="794" t="e">
        <f ca="1">INDIRECT("'数据-取费表'!w"&amp;$G$1)</f>
        <v>#N/A</v>
      </c>
      <c r="G9" s="1593"/>
      <c r="H9" s="2485"/>
      <c r="I9" s="3425"/>
      <c r="J9" s="788"/>
      <c r="K9" s="789"/>
      <c r="L9" s="795" t="s">
        <v>1742</v>
      </c>
      <c r="M9" s="796" t="e">
        <f ca="1">INDIRECT("'数据-取费表'!ab"&amp;$G$1)</f>
        <v>#N/A</v>
      </c>
    </row>
    <row r="10" spans="1:33" ht="18" customHeight="1">
      <c r="A10" s="1831" t="s">
        <v>2467</v>
      </c>
      <c r="B10" s="2474" t="s">
        <v>2460</v>
      </c>
      <c r="C10" s="799" t="e">
        <f ca="1">ROUND(IF(F10="押一",C6/12*F11,IF(F10="押二",C6/12*2*F11,IF(F10="押三",C6/12*3*F11,C11*F11))),0)</f>
        <v>#N/A</v>
      </c>
      <c r="D10" s="2481" t="s">
        <v>2979</v>
      </c>
      <c r="E10" s="2478" t="s">
        <v>2465</v>
      </c>
      <c r="F10" s="2601" t="s">
        <v>3027</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t="e">
        <f ca="1">ROUND(C29*F13,0)</f>
        <v>#N/A</v>
      </c>
      <c r="D13" s="1835" t="s">
        <v>2298</v>
      </c>
      <c r="E13" s="1835" t="s">
        <v>1745</v>
      </c>
      <c r="F13" s="2516" t="e">
        <f ca="1">INDIRECT("'数据-取费表'!y"&amp;$G$1)</f>
        <v>#N/A</v>
      </c>
      <c r="G13" s="1593"/>
      <c r="H13" s="1830">
        <v>2</v>
      </c>
      <c r="I13" s="1828" t="s">
        <v>1743</v>
      </c>
      <c r="J13" s="1820" t="e">
        <f ca="1">ROUND(J14*J15,0)</f>
        <v>#N/A</v>
      </c>
      <c r="K13" s="1822" t="s">
        <v>1744</v>
      </c>
      <c r="L13" s="2532"/>
      <c r="M13" s="2533"/>
    </row>
    <row r="14" spans="1:33" ht="18" customHeight="1">
      <c r="A14" s="1649" t="s">
        <v>1885</v>
      </c>
      <c r="B14" s="784" t="s">
        <v>645</v>
      </c>
      <c r="C14" s="804" t="e">
        <f ca="1">INDIRECT("'数据-取费表'!m"&amp;$G$1)+INDIRECT("'数据-取费表'!t"&amp;$G$1)</f>
        <v>#N/A</v>
      </c>
      <c r="D14" s="1980" t="s">
        <v>1746</v>
      </c>
      <c r="E14" s="1981"/>
      <c r="F14" s="805"/>
      <c r="G14" s="1593"/>
      <c r="H14" s="1650" t="s">
        <v>1831</v>
      </c>
      <c r="I14" s="2232" t="s">
        <v>2827</v>
      </c>
      <c r="J14" s="53" t="e">
        <f ca="1">C29</f>
        <v>#N/A</v>
      </c>
      <c r="K14" s="26"/>
      <c r="L14" s="801"/>
      <c r="M14" s="802"/>
    </row>
    <row r="15" spans="1:33" s="2065" customFormat="1" ht="18" customHeight="1" thickBot="1">
      <c r="A15" s="1649" t="s">
        <v>1886</v>
      </c>
      <c r="B15" s="784" t="s">
        <v>647</v>
      </c>
      <c r="C15" s="53" t="e">
        <f ca="1">ROUND(C14*F15,0)</f>
        <v>#N/A</v>
      </c>
      <c r="D15" s="806" t="s">
        <v>1747</v>
      </c>
      <c r="E15" s="806" t="s">
        <v>1748</v>
      </c>
      <c r="F15" s="807">
        <f>'数据-取费表'!B33</f>
        <v>0.03</v>
      </c>
      <c r="G15" s="1594"/>
      <c r="H15" s="2531" t="s">
        <v>1890</v>
      </c>
      <c r="I15" s="2526" t="s">
        <v>1745</v>
      </c>
      <c r="J15" s="2535" t="e">
        <f ca="1">INDIRECT("'数据-取费表'!ad"&amp;$G$1)</f>
        <v>#N/A</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t="e">
        <f ca="1">ROUND(INDIRECT("'数据-取费表'!m"&amp;$G$1)*F16,0)</f>
        <v>#N/A</v>
      </c>
      <c r="D16" s="784" t="s">
        <v>1747</v>
      </c>
      <c r="E16" s="784" t="s">
        <v>1748</v>
      </c>
      <c r="F16" s="809" t="e">
        <f ca="1">IF(INDIRECT("'数据-取费表'!c"&amp;$G$1)="住宅",'数据-取费表'!B34,0)</f>
        <v>#N/A</v>
      </c>
      <c r="G16" s="1593"/>
      <c r="H16" s="1830" t="s">
        <v>1749</v>
      </c>
      <c r="I16" s="1828" t="s">
        <v>1750</v>
      </c>
      <c r="J16" s="792" t="e">
        <f ca="1">ROUND(J17+J22+J23+J24,0)</f>
        <v>#N/A</v>
      </c>
      <c r="K16" s="1822" t="s">
        <v>1751</v>
      </c>
      <c r="L16" s="2466"/>
      <c r="M16" s="2471"/>
    </row>
    <row r="17" spans="1:33" s="2065" customFormat="1" ht="18" customHeight="1">
      <c r="A17" s="1649" t="s">
        <v>1888</v>
      </c>
      <c r="B17" s="784" t="s">
        <v>653</v>
      </c>
      <c r="C17" s="53" t="e">
        <f ca="1">ROUND(F17*(F43+INDIRECT("'数据-取费表'!S"&amp;$G$1))/10000,0)</f>
        <v>#N/A</v>
      </c>
      <c r="D17" s="784" t="s">
        <v>1752</v>
      </c>
      <c r="E17" s="784" t="s">
        <v>1753</v>
      </c>
      <c r="F17" s="56">
        <f>'数据-取费表'!B35</f>
        <v>200</v>
      </c>
      <c r="G17" s="1594"/>
      <c r="H17" s="1650" t="s">
        <v>1831</v>
      </c>
      <c r="I17" s="784" t="s">
        <v>656</v>
      </c>
      <c r="J17" s="53" t="e">
        <f ca="1">ROUND(IF(项目基本情况!B11="自然人",J5*M17,J18+J19+J20),0)</f>
        <v>#N/A</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t="e">
        <f ca="1">ROUND(C14*F18,0)</f>
        <v>#N/A</v>
      </c>
      <c r="D18" s="784" t="s">
        <v>1747</v>
      </c>
      <c r="E18" s="784" t="s">
        <v>1748</v>
      </c>
      <c r="F18" s="809">
        <f>'数据-取费表'!B36</f>
        <v>1.4999999999999999E-2</v>
      </c>
      <c r="G18" s="1594"/>
      <c r="H18" s="1649" t="s">
        <v>1885</v>
      </c>
      <c r="I18" s="784" t="s">
        <v>1756</v>
      </c>
      <c r="J18" s="53" t="e">
        <f ca="1">ROUND(J5*M18/1.05,1)</f>
        <v>#N/A</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t="e">
        <f ca="1">SUM(C14:C18)</f>
        <v>#N/A</v>
      </c>
      <c r="D19" s="261" t="s">
        <v>1758</v>
      </c>
      <c r="E19" s="1983"/>
      <c r="F19" s="56"/>
      <c r="G19" s="1593"/>
      <c r="H19" s="1649" t="s">
        <v>1886</v>
      </c>
      <c r="I19" s="784" t="s">
        <v>1759</v>
      </c>
      <c r="J19" s="53" t="e">
        <f ca="1">IF(K19="按租金收入计税",ROUND(J5*M19,1),ROUND(C29*F33*0.7,1))</f>
        <v>#N/A</v>
      </c>
      <c r="K19" s="811" t="s">
        <v>665</v>
      </c>
      <c r="L19" s="784" t="s">
        <v>1748</v>
      </c>
      <c r="M19" s="809">
        <f>IF(K19="按租金收入计税",'数据-取费表'!B51,'数据-取费表'!B50)</f>
        <v>1.2E-2</v>
      </c>
    </row>
    <row r="20" spans="1:33" s="2065" customFormat="1" ht="18" customHeight="1">
      <c r="A20" s="1650" t="s">
        <v>1890</v>
      </c>
      <c r="B20" s="784" t="s">
        <v>666</v>
      </c>
      <c r="C20" s="53" t="e">
        <f ca="1">ROUND(C19*F20,0)</f>
        <v>#N/A</v>
      </c>
      <c r="D20" s="812" t="s">
        <v>1760</v>
      </c>
      <c r="E20" s="784" t="s">
        <v>1748</v>
      </c>
      <c r="F20" s="809">
        <f>'数据-取费表'!B37</f>
        <v>0.02</v>
      </c>
      <c r="G20" s="1594"/>
      <c r="H20" s="1652" t="s">
        <v>1881</v>
      </c>
      <c r="I20" s="341" t="s">
        <v>1761</v>
      </c>
      <c r="J20" s="54" t="e">
        <f ca="1">ROUND(M20*M21/10000,0)</f>
        <v>#N/A</v>
      </c>
      <c r="K20" s="814" t="s">
        <v>1762</v>
      </c>
      <c r="L20" s="784" t="s">
        <v>1763</v>
      </c>
      <c r="M20" s="640">
        <f>'数据-取费表'!B52</f>
        <v>3</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0.03</v>
      </c>
      <c r="G21" s="1594"/>
      <c r="H21" s="2486"/>
      <c r="I21" s="793"/>
      <c r="J21" s="69"/>
      <c r="K21" s="816"/>
      <c r="L21" s="784" t="s">
        <v>1767</v>
      </c>
      <c r="M21" s="785" t="e">
        <f ca="1">INDIRECT("'数据-取费表'!r"&amp;$G$1)</f>
        <v>#N/A</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t="e">
        <f ca="1">ROUND(J14*M22,0)</f>
        <v>#N/A</v>
      </c>
      <c r="K22" s="2464" t="s">
        <v>1770</v>
      </c>
      <c r="L22" s="784" t="s">
        <v>1748</v>
      </c>
      <c r="M22" s="817" t="e">
        <f ca="1">INDIRECT("'数据-取费表'!Ak"&amp;$G$1)</f>
        <v>#N/A</v>
      </c>
    </row>
    <row r="23" spans="1:33" s="2065" customFormat="1" ht="18" customHeight="1">
      <c r="A23" s="1649" t="s">
        <v>1832</v>
      </c>
      <c r="B23" s="784" t="s">
        <v>2536</v>
      </c>
      <c r="C23" s="53" t="e">
        <f ca="1">ROUND(IF('数据-取费表'!B22&lt;=1,(C19+C20)*F24*F23/2,(C19+C20)*(POWER((1+F24),F23/2)-1)),0)</f>
        <v>#N/A</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t="e">
        <f ca="1">ROUND(J13*M23,0)</f>
        <v>#N/A</v>
      </c>
      <c r="K23" s="2464" t="s">
        <v>1772</v>
      </c>
      <c r="L23" s="784" t="s">
        <v>1748</v>
      </c>
      <c r="M23" s="818" t="e">
        <f ca="1">INDIRECT("'数据-取费表'!Al"&amp;$G$1)</f>
        <v>#N/A</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1.4E-3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t="e">
        <f ca="1">ROUND(J5*M24,0)</f>
        <v>#N/A</v>
      </c>
      <c r="K24" s="2525" t="s">
        <v>1775</v>
      </c>
      <c r="L24" s="2526" t="s">
        <v>1748</v>
      </c>
      <c r="M24" s="2522" t="e">
        <f ca="1">INDIRECT("'数据-取费表'!Am"&amp;$G$1)</f>
        <v>#N/A</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t="e">
        <f ca="1">J5-J16</f>
        <v>#N/A</v>
      </c>
      <c r="K25" s="2528" t="s">
        <v>1778</v>
      </c>
      <c r="L25" s="2529"/>
      <c r="M25" s="2530"/>
    </row>
    <row r="26" spans="1:33" ht="18" customHeight="1">
      <c r="A26" s="1649" t="s">
        <v>1832</v>
      </c>
      <c r="B26" s="784" t="s">
        <v>2439</v>
      </c>
      <c r="C26" s="53" t="e">
        <f ca="1">ROUND((C19+C20)*F26,0)</f>
        <v>#N/A</v>
      </c>
      <c r="D26" s="812" t="s">
        <v>1779</v>
      </c>
      <c r="E26" s="795" t="s">
        <v>1780</v>
      </c>
      <c r="F26" s="794" t="e">
        <f ca="1">INDIRECT("'数据-取费表'!q"&amp;$G$1)</f>
        <v>#N/A</v>
      </c>
      <c r="G26" s="1593"/>
      <c r="H26" s="2482" t="s">
        <v>1781</v>
      </c>
      <c r="I26" s="2233" t="s">
        <v>2828</v>
      </c>
      <c r="J26" s="783" t="e">
        <f ca="1">IF(J5&lt;&gt;0,ROUND(J25*(1-((1+M28)/(1+M26))^M27)/(M26-M28),0),0)</f>
        <v>#N/A</v>
      </c>
      <c r="K26" s="814" t="s">
        <v>1782</v>
      </c>
      <c r="L26" s="784" t="s">
        <v>2420</v>
      </c>
      <c r="M26" s="794" t="e">
        <f ca="1">INDIRECT("'数据-取费表'!I"&amp;$G$1)</f>
        <v>#N/A</v>
      </c>
    </row>
    <row r="27" spans="1:33" ht="18" customHeight="1">
      <c r="A27" s="1649" t="s">
        <v>1833</v>
      </c>
      <c r="B27" s="784" t="s">
        <v>686</v>
      </c>
      <c r="C27" s="53" t="e">
        <f ca="1">ROUND(F21*F26,4)</f>
        <v>#N/A</v>
      </c>
      <c r="D27" s="812" t="s">
        <v>1783</v>
      </c>
      <c r="E27" s="806"/>
      <c r="F27" s="807"/>
      <c r="G27" s="1593"/>
      <c r="H27" s="2483"/>
      <c r="I27" s="787"/>
      <c r="J27" s="788"/>
      <c r="K27" s="821" t="s">
        <v>1784</v>
      </c>
      <c r="L27" s="784" t="s">
        <v>1785</v>
      </c>
      <c r="M27" s="822" t="e">
        <f ca="1">INDIRECT("'数据-取费表'!ag"&amp;$G$1)</f>
        <v>#N/A</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t="e">
        <f ca="1">INDIRECT("'数据-取费表'!aa"&amp;$G$1)</f>
        <v>#N/A</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t="e">
        <f ca="1">ROUND((C19+C20+C23+C26)/(1-F21-C24-C27-C28),0)</f>
        <v>#N/A</v>
      </c>
      <c r="D29" s="2525"/>
      <c r="E29" s="2526"/>
      <c r="F29" s="2527"/>
      <c r="G29" s="1594"/>
      <c r="H29" s="823" t="s">
        <v>1788</v>
      </c>
      <c r="I29" s="824" t="s">
        <v>1789</v>
      </c>
      <c r="J29" s="825" t="e">
        <f ca="1">ROUND(J26/(1+F40)^F41,0)</f>
        <v>#N/A</v>
      </c>
      <c r="K29" s="826" t="s">
        <v>1790</v>
      </c>
      <c r="L29" s="827"/>
      <c r="M29" s="828" t="e">
        <f ca="1">INDIRECT("'数据-取费表'!k"&amp;$G$1)</f>
        <v>#N/A</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t="e">
        <f ca="1">ROUND(C31+C36+C37+C38,0)</f>
        <v>#N/A</v>
      </c>
      <c r="D30" s="1822" t="s">
        <v>1792</v>
      </c>
      <c r="E30" s="2466"/>
      <c r="F30" s="2471"/>
      <c r="G30" s="2063"/>
      <c r="H30" s="2066"/>
      <c r="I30" s="2067"/>
      <c r="J30" s="2068"/>
      <c r="K30" s="2069"/>
      <c r="L30" s="2070"/>
      <c r="M30" s="2071"/>
    </row>
    <row r="31" spans="1:33" ht="18" customHeight="1">
      <c r="A31" s="1650" t="s">
        <v>1831</v>
      </c>
      <c r="B31" s="784" t="s">
        <v>656</v>
      </c>
      <c r="C31" s="53" t="e">
        <f ca="1">ROUND(IF(项目基本情况!B11="自然人",C5*F31,C32+C33+C34),1)</f>
        <v>#N/A</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t="e">
        <f ca="1">ROUND(C5*F32/1.05,1)</f>
        <v>#N/A</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t="e">
        <f ca="1">IF(D33="按租金收入计税",ROUND(C5*F33,1),IF(D33="按房产原值计税",ROUND(C29*F33*0.7,1),INDIRECT("'数据-取费表'!Aj"&amp;$G$1)))</f>
        <v>#N/A</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t="e">
        <f ca="1">ROUND(F34*F35/10000,1)</f>
        <v>#N/A</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t="e">
        <f ca="1">INDIRECT("'数据-取费表'!r"&amp;$G$1)</f>
        <v>#N/A</v>
      </c>
      <c r="G35" s="2063"/>
      <c r="H35" s="2066"/>
      <c r="I35" s="837" t="s">
        <v>1815</v>
      </c>
      <c r="J35" s="838" t="e">
        <f ca="1">ROUND(C13*J36,0)</f>
        <v>#N/A</v>
      </c>
      <c r="K35" s="2079"/>
      <c r="L35" s="2078"/>
      <c r="M35" s="2078"/>
    </row>
    <row r="36" spans="1:18" ht="18" customHeight="1">
      <c r="A36" s="1650" t="s">
        <v>1890</v>
      </c>
      <c r="B36" s="784" t="s">
        <v>1803</v>
      </c>
      <c r="C36" s="53" t="e">
        <f ca="1">ROUND(C29*F36,1)</f>
        <v>#N/A</v>
      </c>
      <c r="D36" s="1978" t="s">
        <v>1804</v>
      </c>
      <c r="E36" s="784" t="s">
        <v>1797</v>
      </c>
      <c r="F36" s="817" t="e">
        <f ca="1">INDIRECT("'数据-取费表'!Ak"&amp;$G$1)</f>
        <v>#N/A</v>
      </c>
      <c r="G36" s="2063"/>
      <c r="H36" s="2078"/>
      <c r="I36" s="839" t="s">
        <v>1816</v>
      </c>
      <c r="J36" s="840" t="e">
        <f ca="1">INDIRECT("'数据-取费表'!j"&amp;$G$1)</f>
        <v>#N/A</v>
      </c>
      <c r="K36" s="2083"/>
      <c r="L36" s="2078"/>
      <c r="M36" s="2078"/>
    </row>
    <row r="37" spans="1:18" ht="18" customHeight="1">
      <c r="A37" s="1650" t="s">
        <v>1891</v>
      </c>
      <c r="B37" s="784" t="s">
        <v>679</v>
      </c>
      <c r="C37" s="53" t="e">
        <f ca="1">ROUND(C13*F37,1)</f>
        <v>#N/A</v>
      </c>
      <c r="D37" s="1978" t="s">
        <v>1805</v>
      </c>
      <c r="E37" s="784" t="s">
        <v>1797</v>
      </c>
      <c r="F37" s="818" t="e">
        <f ca="1">INDIRECT("'数据-取费表'!Al"&amp;$G$1)</f>
        <v>#N/A</v>
      </c>
      <c r="G37" s="2063"/>
      <c r="H37" s="2078"/>
      <c r="I37" s="841" t="s">
        <v>1817</v>
      </c>
      <c r="J37" s="842"/>
      <c r="K37" s="2083"/>
      <c r="L37" s="2078"/>
      <c r="M37" s="2078"/>
    </row>
    <row r="38" spans="1:18" ht="18" customHeight="1" thickBot="1">
      <c r="A38" s="2531" t="s">
        <v>1892</v>
      </c>
      <c r="B38" s="2526" t="s">
        <v>666</v>
      </c>
      <c r="C38" s="2524" t="e">
        <f ca="1">ROUND(C5*F38,1)</f>
        <v>#N/A</v>
      </c>
      <c r="D38" s="2525" t="s">
        <v>1806</v>
      </c>
      <c r="E38" s="2526" t="s">
        <v>1797</v>
      </c>
      <c r="F38" s="2522" t="e">
        <f ca="1">INDIRECT("'数据-取费表'!Am"&amp;$G$1)</f>
        <v>#N/A</v>
      </c>
      <c r="G38" s="2063"/>
      <c r="H38" s="2078"/>
      <c r="I38" s="843" t="s">
        <v>1818</v>
      </c>
      <c r="J38" s="844"/>
      <c r="K38" s="2084"/>
      <c r="L38" s="2078"/>
      <c r="M38" s="2078"/>
    </row>
    <row r="39" spans="1:18" ht="24.6" customHeight="1" thickTop="1">
      <c r="A39" s="1830" t="s">
        <v>1895</v>
      </c>
      <c r="B39" s="2986" t="s">
        <v>2823</v>
      </c>
      <c r="C39" s="792" t="e">
        <f ca="1">C5-C30</f>
        <v>#N/A</v>
      </c>
      <c r="D39" s="2528" t="s">
        <v>1807</v>
      </c>
      <c r="E39" s="2529"/>
      <c r="F39" s="2530"/>
      <c r="G39" s="2063"/>
      <c r="H39" s="2078"/>
      <c r="I39" s="837" t="s">
        <v>1819</v>
      </c>
      <c r="J39" s="845" t="e">
        <f ca="1">ROUND(J35/C39,3)</f>
        <v>#N/A</v>
      </c>
      <c r="K39" s="2084"/>
      <c r="L39" s="2078"/>
      <c r="M39" s="2078"/>
    </row>
    <row r="40" spans="1:18" ht="18" customHeight="1">
      <c r="A40" s="781" t="s">
        <v>1896</v>
      </c>
      <c r="B40" s="2233" t="s">
        <v>2302</v>
      </c>
      <c r="C40" s="783" t="e">
        <f ca="1">ROUND(C39*(1-((1+F42)/(1+F40))^F41)/(F40-F42),0)</f>
        <v>#N/A</v>
      </c>
      <c r="D40" s="814" t="s">
        <v>1808</v>
      </c>
      <c r="E40" s="784" t="s">
        <v>2420</v>
      </c>
      <c r="F40" s="794" t="e">
        <f ca="1">INDIRECT("'数据-取费表'!I"&amp;$G$1)</f>
        <v>#N/A</v>
      </c>
      <c r="G40" s="2063"/>
      <c r="H40" s="2063"/>
      <c r="I40" s="837" t="s">
        <v>1820</v>
      </c>
      <c r="J40" s="845" t="e">
        <f ca="1">1-J39</f>
        <v>#N/A</v>
      </c>
      <c r="K40" s="2084"/>
      <c r="L40" s="2063"/>
      <c r="M40" s="2063"/>
    </row>
    <row r="41" spans="1:18" ht="18" customHeight="1">
      <c r="A41" s="786"/>
      <c r="B41" s="787"/>
      <c r="C41" s="788"/>
      <c r="D41" s="821" t="s">
        <v>1809</v>
      </c>
      <c r="E41" s="784" t="s">
        <v>2969</v>
      </c>
      <c r="F41" s="822" t="e">
        <f ca="1">IF(INDIRECT("'数据-取费表'!af"&amp;$G$1)=0,INDIRECT("'数据-取费表'!ae"&amp;$G$1),INDIRECT("'数据-取费表'!af"&amp;$G$1))</f>
        <v>#N/A</v>
      </c>
      <c r="G41" s="2063"/>
      <c r="H41" s="1989"/>
      <c r="I41" s="843" t="s">
        <v>1821</v>
      </c>
      <c r="J41" s="846"/>
      <c r="K41" s="2083"/>
      <c r="L41" s="1989"/>
      <c r="M41" s="1989"/>
    </row>
    <row r="42" spans="1:18" ht="18" customHeight="1">
      <c r="A42" s="790"/>
      <c r="B42" s="791"/>
      <c r="C42" s="792"/>
      <c r="D42" s="816"/>
      <c r="E42" s="784" t="s">
        <v>1810</v>
      </c>
      <c r="F42" s="794" t="e">
        <f ca="1">INDIRECT("'数据-取费表'!v"&amp;$G$1)</f>
        <v>#N/A</v>
      </c>
      <c r="G42" s="2063"/>
      <c r="H42" s="1989"/>
      <c r="I42" s="847" t="s">
        <v>1822</v>
      </c>
      <c r="J42" s="845" t="e">
        <f ca="1">ROUND(C13/C40,3)</f>
        <v>#N/A</v>
      </c>
      <c r="K42" s="2083"/>
      <c r="L42" s="1989"/>
      <c r="M42" s="1989"/>
    </row>
    <row r="43" spans="1:18" ht="18" customHeight="1" thickBot="1">
      <c r="A43" s="823" t="s">
        <v>1788</v>
      </c>
      <c r="B43" s="824" t="s">
        <v>1811</v>
      </c>
      <c r="C43" s="825" t="e">
        <f ca="1">ROUND(C40*10000/F43,0)</f>
        <v>#N/A</v>
      </c>
      <c r="D43" s="826" t="s">
        <v>1812</v>
      </c>
      <c r="E43" s="827" t="s">
        <v>1813</v>
      </c>
      <c r="F43" s="828" t="e">
        <f ca="1">INDIRECT("'数据-取费表'!k"&amp;$G$1)</f>
        <v>#N/A</v>
      </c>
      <c r="G43" s="2063"/>
      <c r="H43" s="1989"/>
      <c r="I43" s="847" t="s">
        <v>1823</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t="e">
        <f ca="1">C67-C40</f>
        <v>#N/A</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t="e">
        <f ca="1">C48+C52+C54</f>
        <v>#N/A</v>
      </c>
      <c r="D47" s="2086"/>
      <c r="E47" s="2086"/>
      <c r="F47" s="2086"/>
      <c r="I47" s="3124" t="s">
        <v>2345</v>
      </c>
      <c r="J47" s="2361" t="s">
        <v>3029</v>
      </c>
      <c r="K47" s="3131" t="s">
        <v>2350</v>
      </c>
      <c r="L47" s="3135" t="e">
        <f ca="1">INDIRECT("'数据-取费表'!d"&amp;$G$1)</f>
        <v>#N/A</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t="e">
        <f ca="1">ROUND(F48*F50*F49*(1-F51)/10000,0)</f>
        <v>#N/A</v>
      </c>
      <c r="D48" s="2355" t="s">
        <v>636</v>
      </c>
      <c r="E48" s="2356" t="s">
        <v>2297</v>
      </c>
      <c r="F48" s="2357"/>
      <c r="G48" s="2091"/>
      <c r="I48" s="3103" t="s">
        <v>2346</v>
      </c>
      <c r="J48" s="2362" t="s">
        <v>2351</v>
      </c>
      <c r="K48" s="3132" t="s">
        <v>2352</v>
      </c>
      <c r="L48" s="1909" t="e">
        <f ca="1">INDIRECT("'数据-取费表'!f"&amp;$G$1)</f>
        <v>#N/A</v>
      </c>
      <c r="O48" s="2378" t="s">
        <v>2380</v>
      </c>
      <c r="P48" s="2379" t="s">
        <v>2406</v>
      </c>
      <c r="Q48" s="2380" t="e">
        <f ca="1">C40+J29</f>
        <v>#N/A</v>
      </c>
      <c r="R48" s="2379" t="s">
        <v>2381</v>
      </c>
    </row>
    <row r="49" spans="1:18" s="2060" customFormat="1" ht="18" customHeight="1" thickBot="1">
      <c r="A49" s="786"/>
      <c r="B49" s="787"/>
      <c r="C49" s="788"/>
      <c r="D49" s="789"/>
      <c r="E49" s="784" t="s">
        <v>1740</v>
      </c>
      <c r="F49" s="785" t="e">
        <f ca="1">F7</f>
        <v>#N/A</v>
      </c>
      <c r="G49" s="2091"/>
      <c r="H49" s="2094"/>
      <c r="I49" s="3103" t="s">
        <v>2347</v>
      </c>
      <c r="J49" s="2363">
        <v>2019</v>
      </c>
      <c r="K49" s="3133" t="s">
        <v>2353</v>
      </c>
      <c r="L49" s="2364"/>
      <c r="O49" s="2378" t="s">
        <v>2382</v>
      </c>
      <c r="P49" s="2379" t="s">
        <v>2407</v>
      </c>
      <c r="Q49" s="2380" t="e">
        <f ca="1">J60</f>
        <v>#N/A</v>
      </c>
      <c r="R49" s="2379" t="s">
        <v>2383</v>
      </c>
    </row>
    <row r="50" spans="1:18" s="2060" customFormat="1" ht="18" customHeight="1" thickBot="1">
      <c r="A50" s="786"/>
      <c r="B50" s="787"/>
      <c r="C50" s="788"/>
      <c r="D50" s="789"/>
      <c r="E50" s="784" t="s">
        <v>1741</v>
      </c>
      <c r="F50" s="785" t="e">
        <f ca="1">F8</f>
        <v>#N/A</v>
      </c>
      <c r="G50" s="2096"/>
      <c r="H50" s="2094"/>
      <c r="I50" s="3103" t="s">
        <v>2348</v>
      </c>
      <c r="J50" s="3128">
        <f>SUMPRODUCT((I63:I65=J47)*(J62:L62=J48)*(J63:L65))</f>
        <v>60</v>
      </c>
      <c r="K50" s="3133" t="s">
        <v>2354</v>
      </c>
      <c r="L50" s="2364"/>
      <c r="O50" s="2381" t="s">
        <v>2384</v>
      </c>
      <c r="P50" s="2379" t="s">
        <v>2408</v>
      </c>
      <c r="Q50" s="2380" t="e">
        <f ca="1">C29</f>
        <v>#N/A</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t="e">
        <f ca="1">ROUND(-PV(INDIRECT("'数据-取费表'!h"&amp;$G$1),L48,(C39-C13*J36),0),0)</f>
        <v>#N/A</v>
      </c>
      <c r="O51" s="2381" t="s">
        <v>2385</v>
      </c>
      <c r="P51" s="2379" t="s">
        <v>2386</v>
      </c>
      <c r="Q51" s="2382" t="e">
        <f ca="1">J58</f>
        <v>#N/A</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v>0.09</v>
      </c>
      <c r="K52" s="3126" t="s">
        <v>2421</v>
      </c>
      <c r="L52" s="2365"/>
      <c r="O52" s="2381" t="s">
        <v>2387</v>
      </c>
      <c r="P52" s="2379" t="s">
        <v>2388</v>
      </c>
      <c r="Q52" s="2382">
        <f>J52</f>
        <v>0.09</v>
      </c>
      <c r="R52" s="2383"/>
    </row>
    <row r="53" spans="1:18" s="2060" customFormat="1" ht="39.75" customHeight="1" thickBot="1">
      <c r="A53" s="786"/>
      <c r="B53" s="2475" t="s">
        <v>2574</v>
      </c>
      <c r="C53" s="2479"/>
      <c r="D53" s="2481"/>
      <c r="E53" s="2478"/>
      <c r="F53" s="800"/>
      <c r="I53" s="3127" t="s">
        <v>2983</v>
      </c>
      <c r="J53" s="3130" t="e">
        <f ca="1">IF(M47="住宅",IF(D1="——",MAX(J51,L48),MAX(J51,L48-'数据-取费表'!B20)),IF(D1="——",MIN(J51,L48),MIN(J51,L48-'数据-取费表'!B20)))</f>
        <v>#N/A</v>
      </c>
      <c r="K53" s="3440" t="s">
        <v>2971</v>
      </c>
      <c r="L53" s="3441"/>
      <c r="O53" s="2381" t="s">
        <v>2389</v>
      </c>
      <c r="P53" s="2379" t="s">
        <v>2390</v>
      </c>
      <c r="Q53" s="2380" t="e">
        <f ca="1">J53</f>
        <v>#N/A</v>
      </c>
      <c r="R53" s="2379" t="s">
        <v>2391</v>
      </c>
    </row>
    <row r="54" spans="1:18" s="2060" customFormat="1" ht="18" customHeight="1" thickBot="1">
      <c r="A54" s="2517" t="s">
        <v>2468</v>
      </c>
      <c r="B54" s="2518" t="s">
        <v>2461</v>
      </c>
      <c r="C54" s="2519"/>
      <c r="D54" s="2481"/>
      <c r="E54" s="2478"/>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78" t="s">
        <v>2392</v>
      </c>
      <c r="P54" s="2379" t="s">
        <v>2409</v>
      </c>
      <c r="Q54" s="2380" t="e">
        <f ca="1">Q48+Q49</f>
        <v>#N/A</v>
      </c>
      <c r="R54" s="2383" t="s">
        <v>2393</v>
      </c>
    </row>
    <row r="55" spans="1:18" s="2060" customFormat="1" ht="18" customHeight="1" thickTop="1" thickBot="1">
      <c r="A55" s="797">
        <v>2</v>
      </c>
      <c r="B55" s="798" t="s">
        <v>644</v>
      </c>
      <c r="C55" s="799" t="e">
        <f ca="1">C13</f>
        <v>#N/A</v>
      </c>
      <c r="D55" s="795"/>
      <c r="E55" s="795"/>
      <c r="F55" s="800"/>
      <c r="I55" s="3139" t="s">
        <v>2356</v>
      </c>
      <c r="J55" s="3078" t="e">
        <f ca="1">ROUND(IF(J47="钢混",J57/J50,1-(1-2%)*(J50-J57)/J50),3)</f>
        <v>#N/A</v>
      </c>
      <c r="K55" s="3140" t="s">
        <v>2357</v>
      </c>
      <c r="L55" s="2366"/>
      <c r="O55" s="2384" t="s">
        <v>2412</v>
      </c>
      <c r="P55" s="1593"/>
      <c r="Q55" s="1605"/>
      <c r="R55" s="1593"/>
    </row>
    <row r="56" spans="1:18" s="2060" customFormat="1" ht="42.75" customHeight="1" thickBot="1">
      <c r="A56" s="1651"/>
      <c r="B56" s="2232" t="s">
        <v>2303</v>
      </c>
      <c r="C56" s="53" t="e">
        <f ca="1">C29</f>
        <v>#N/A</v>
      </c>
      <c r="D56" s="2619"/>
      <c r="E56" s="784"/>
      <c r="F56" s="809"/>
      <c r="I56" s="3141" t="s">
        <v>2358</v>
      </c>
      <c r="J56" s="3151" t="s">
        <v>1679</v>
      </c>
      <c r="K56" s="3103" t="s">
        <v>2363</v>
      </c>
      <c r="L56" s="1909" t="e">
        <f ca="1">IF(L48&lt;J51,"——",L48-J51)</f>
        <v>#N/A</v>
      </c>
      <c r="O56" s="2375" t="s">
        <v>2376</v>
      </c>
      <c r="P56" s="2376" t="s">
        <v>2377</v>
      </c>
      <c r="Q56" s="2377" t="s">
        <v>2378</v>
      </c>
      <c r="R56" s="2376" t="s">
        <v>2379</v>
      </c>
    </row>
    <row r="57" spans="1:18" s="2060" customFormat="1" ht="28.5" customHeight="1" thickBot="1">
      <c r="A57" s="797" t="s">
        <v>1749</v>
      </c>
      <c r="B57" s="798" t="s">
        <v>651</v>
      </c>
      <c r="C57" s="799" t="e">
        <f ca="1">ROUND(C58+C63+C64+C65,0)</f>
        <v>#N/A</v>
      </c>
      <c r="D57" s="26" t="s">
        <v>1751</v>
      </c>
      <c r="E57" s="2620"/>
      <c r="F57" s="56"/>
      <c r="I57" s="3142" t="s">
        <v>2359</v>
      </c>
      <c r="J57" s="3143" t="e">
        <f ca="1">IF(OR(M47="住宅",J51&lt;L48,J56="是"),"——",J51-L48)</f>
        <v>#N/A</v>
      </c>
      <c r="K57" s="3103" t="s">
        <v>2364</v>
      </c>
      <c r="L57" s="1909" t="e">
        <f ca="1">IF(L48&lt;J51,"——",IF(L55="比较法",L49,IF(L55="基准地价",L50,L51)))</f>
        <v>#N/A</v>
      </c>
      <c r="O57" s="2378" t="s">
        <v>2380</v>
      </c>
      <c r="P57" s="2379" t="s">
        <v>2410</v>
      </c>
      <c r="Q57" s="2380" t="e">
        <f ca="1">C40+J29</f>
        <v>#N/A</v>
      </c>
      <c r="R57" s="2379" t="s">
        <v>2381</v>
      </c>
    </row>
    <row r="58" spans="1:18" s="2060" customFormat="1" ht="28.5" customHeight="1" thickBot="1">
      <c r="A58" s="1650" t="s">
        <v>1825</v>
      </c>
      <c r="B58" s="784" t="s">
        <v>656</v>
      </c>
      <c r="C58" s="53" t="e">
        <f ca="1">ROUND(IF(项目基本情况!B11="自然人",C47*F58,C59+C60+C61),1)</f>
        <v>#N/A</v>
      </c>
      <c r="D58" s="2618" t="s">
        <v>657</v>
      </c>
      <c r="E58" s="2619" t="s">
        <v>690</v>
      </c>
      <c r="F58" s="810" t="str">
        <f ca="1">IF(项目基本情况!B11="企业","",IF(INDIRECT("'数据-取费表'!c"&amp;$G$1)="住宅",5%,IF(F48*F49*F50/12/(1+'数据-取费表'!C42)&gt;20000,12%,7%)))</f>
        <v/>
      </c>
      <c r="I58" s="3142" t="s">
        <v>2360</v>
      </c>
      <c r="J58" s="3079" t="e">
        <f ca="1">IF(J55&lt;0.4,0.4,J55)</f>
        <v>#N/A</v>
      </c>
      <c r="K58" s="3103" t="s">
        <v>2365</v>
      </c>
      <c r="L58" s="1909" t="e">
        <f ca="1">ROUND(POWER(1+L52,L47-L48)*(POWER(1+L52,L48)-1)/(POWER(1+L52,L47)-1),4)</f>
        <v>#N/A</v>
      </c>
      <c r="O58" s="2378" t="s">
        <v>2382</v>
      </c>
      <c r="P58" s="2379" t="s">
        <v>2413</v>
      </c>
      <c r="Q58" s="2380" t="e">
        <f ca="1">L60</f>
        <v>#N/A</v>
      </c>
      <c r="R58" s="2383" t="s">
        <v>2415</v>
      </c>
    </row>
    <row r="59" spans="1:18" s="2060" customFormat="1" ht="28.5" customHeight="1" thickBot="1">
      <c r="A59" s="1649" t="s">
        <v>1832</v>
      </c>
      <c r="B59" s="784" t="s">
        <v>660</v>
      </c>
      <c r="C59" s="53" t="e">
        <f ca="1">ROUND(C47*F59/1.05,1)</f>
        <v>#N/A</v>
      </c>
      <c r="D59" s="2619" t="s">
        <v>1757</v>
      </c>
      <c r="E59" s="784" t="s">
        <v>1748</v>
      </c>
      <c r="F59" s="809">
        <f t="shared" ref="F59:F65" si="0">F32</f>
        <v>5.6000000000000001E-2</v>
      </c>
      <c r="I59" s="3142" t="s">
        <v>2361</v>
      </c>
      <c r="J59" s="3143" t="e">
        <f ca="1">IF(OR(M47="住宅",J51&lt;L48,J56="是"),"——",ROUND(C29*J58,0))</f>
        <v>#N/A</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381" t="s">
        <v>2384</v>
      </c>
      <c r="P59" s="2379" t="s">
        <v>2414</v>
      </c>
      <c r="Q59" s="2380">
        <f>IF(L55="比较法",L49,IF(L55="基准地价",L50,0))</f>
        <v>0</v>
      </c>
      <c r="R59" s="2379" t="s">
        <v>2381</v>
      </c>
    </row>
    <row r="60" spans="1:18" s="2060" customFormat="1" ht="18" customHeight="1" thickBot="1">
      <c r="A60" s="1649" t="s">
        <v>1833</v>
      </c>
      <c r="B60" s="784" t="s">
        <v>1759</v>
      </c>
      <c r="C60" s="53" t="e">
        <f ca="1">IF(D60="按租金收入计税",ROUND(C47*F60,1),IF(D60="按房产原值计税",ROUND(C56*F60*0.7,1),INDIRECT("'数据-取费表'!Aj"&amp;$G$1)))</f>
        <v>#N/A</v>
      </c>
      <c r="D60" s="2619" t="str">
        <f>D33</f>
        <v>按租金收入计税</v>
      </c>
      <c r="E60" s="784" t="s">
        <v>1748</v>
      </c>
      <c r="F60" s="809">
        <f t="shared" si="0"/>
        <v>0.12</v>
      </c>
      <c r="I60" s="3144" t="s">
        <v>2362</v>
      </c>
      <c r="J60" s="3145" t="e">
        <f ca="1">IF(OR(M47="住宅",J51&lt;L48,J56="是"),"0",ROUND(J59/(1+J52)^J53,0))</f>
        <v>#N/A</v>
      </c>
      <c r="K60" s="3146" t="s">
        <v>2367</v>
      </c>
      <c r="L60" s="3145" t="e">
        <f ca="1">IF(OR(M47="住宅",L48&lt;J51),0,ROUND(L57*(L58/L59-1),0))</f>
        <v>#N/A</v>
      </c>
      <c r="O60" s="2381" t="s">
        <v>2385</v>
      </c>
      <c r="P60" s="2379" t="s">
        <v>2394</v>
      </c>
      <c r="Q60" s="2382">
        <f>L52</f>
        <v>0</v>
      </c>
      <c r="R60" s="2383"/>
    </row>
    <row r="61" spans="1:18" s="2060" customFormat="1" ht="18" customHeight="1" thickBot="1">
      <c r="A61" s="1652" t="s">
        <v>1834</v>
      </c>
      <c r="B61" s="341" t="s">
        <v>668</v>
      </c>
      <c r="C61" s="54" t="e">
        <f ca="1">ROUND(F61*F62/10000,1)</f>
        <v>#N/A</v>
      </c>
      <c r="D61" s="814" t="s">
        <v>669</v>
      </c>
      <c r="E61" s="784" t="s">
        <v>670</v>
      </c>
      <c r="F61" s="640">
        <f t="shared" si="0"/>
        <v>3</v>
      </c>
      <c r="K61" s="2087"/>
      <c r="O61" s="2381" t="s">
        <v>2387</v>
      </c>
      <c r="P61" s="2379" t="s">
        <v>2395</v>
      </c>
      <c r="Q61" s="2380" t="e">
        <f ca="1">L58</f>
        <v>#N/A</v>
      </c>
      <c r="R61" s="2383" t="s">
        <v>2396</v>
      </c>
    </row>
    <row r="62" spans="1:18" s="2060" customFormat="1" ht="15.75" thickBot="1">
      <c r="A62" s="815"/>
      <c r="B62" s="793"/>
      <c r="C62" s="69"/>
      <c r="D62" s="816"/>
      <c r="E62" s="784" t="s">
        <v>674</v>
      </c>
      <c r="F62" s="785" t="e">
        <f t="shared" ca="1" si="0"/>
        <v>#N/A</v>
      </c>
      <c r="I62" s="3147" t="s">
        <v>2368</v>
      </c>
      <c r="J62" s="3148" t="s">
        <v>2369</v>
      </c>
      <c r="K62" s="3148" t="s">
        <v>2370</v>
      </c>
      <c r="L62" s="3148" t="s">
        <v>2351</v>
      </c>
      <c r="M62" s="3149" t="s">
        <v>2947</v>
      </c>
      <c r="O62" s="2381" t="s">
        <v>2389</v>
      </c>
      <c r="P62" s="2379" t="str">
        <f>K59</f>
        <v>建设期及建筑物耐用年限下的土地年期修正系数Kn</v>
      </c>
      <c r="Q62" s="2380" t="e">
        <f ca="1">L59</f>
        <v>#N/A</v>
      </c>
      <c r="R62" s="2383" t="s">
        <v>2398</v>
      </c>
    </row>
    <row r="63" spans="1:18" s="2060" customFormat="1" ht="15.75" thickBot="1">
      <c r="A63" s="1650" t="s">
        <v>1890</v>
      </c>
      <c r="B63" s="784" t="s">
        <v>676</v>
      </c>
      <c r="C63" s="53" t="e">
        <f ca="1">ROUND(C56*F63,1)</f>
        <v>#N/A</v>
      </c>
      <c r="D63" s="2619" t="s">
        <v>1804</v>
      </c>
      <c r="E63" s="784" t="s">
        <v>1748</v>
      </c>
      <c r="F63" s="817" t="e">
        <f t="shared" ca="1" si="0"/>
        <v>#N/A</v>
      </c>
      <c r="I63" s="3147" t="s">
        <v>2371</v>
      </c>
      <c r="J63" s="3148">
        <v>70</v>
      </c>
      <c r="K63" s="3148">
        <v>50</v>
      </c>
      <c r="L63" s="3148">
        <v>80</v>
      </c>
      <c r="M63" s="3150">
        <v>0.02</v>
      </c>
      <c r="O63" s="2378" t="s">
        <v>2392</v>
      </c>
      <c r="P63" s="2379" t="s">
        <v>2409</v>
      </c>
      <c r="Q63" s="2380" t="e">
        <f ca="1">Q57+Q58</f>
        <v>#N/A</v>
      </c>
      <c r="R63" s="2383" t="s">
        <v>2393</v>
      </c>
    </row>
    <row r="64" spans="1:18" s="2060" customFormat="1" ht="16.5" thickBot="1">
      <c r="A64" s="1650" t="s">
        <v>1891</v>
      </c>
      <c r="B64" s="784" t="s">
        <v>679</v>
      </c>
      <c r="C64" s="53" t="e">
        <f ca="1">ROUND(C55*F64,1)</f>
        <v>#N/A</v>
      </c>
      <c r="D64" s="2619" t="s">
        <v>680</v>
      </c>
      <c r="E64" s="784" t="s">
        <v>1748</v>
      </c>
      <c r="F64" s="818" t="e">
        <f t="shared" ca="1" si="0"/>
        <v>#N/A</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t="e">
        <f ca="1">ROUND(C47*F65,1)</f>
        <v>#N/A</v>
      </c>
      <c r="D65" s="2619" t="s">
        <v>683</v>
      </c>
      <c r="E65" s="784" t="s">
        <v>1748</v>
      </c>
      <c r="F65" s="794" t="e">
        <f t="shared" ca="1" si="0"/>
        <v>#N/A</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t="e">
        <f ca="1">C47-C57</f>
        <v>#N/A</v>
      </c>
      <c r="D66" s="2618" t="s">
        <v>700</v>
      </c>
      <c r="E66" s="2617"/>
      <c r="F66" s="820"/>
      <c r="K66" s="2087"/>
      <c r="O66" s="2378" t="s">
        <v>2380</v>
      </c>
      <c r="P66" s="2379" t="s">
        <v>2410</v>
      </c>
      <c r="Q66" s="2380" t="e">
        <f ca="1">C40+J29</f>
        <v>#N/A</v>
      </c>
      <c r="R66" s="2379" t="s">
        <v>2381</v>
      </c>
    </row>
    <row r="67" spans="1:18" s="2060" customFormat="1" ht="20.25" thickBot="1">
      <c r="A67" s="781" t="s">
        <v>1781</v>
      </c>
      <c r="B67" s="2233" t="s">
        <v>2302</v>
      </c>
      <c r="C67" s="783" t="e">
        <f ca="1">ROUND(C66*(1-((1+F69)/(1+F67))^F68)/(F67-F69),0)</f>
        <v>#N/A</v>
      </c>
      <c r="D67" s="814" t="s">
        <v>704</v>
      </c>
      <c r="E67" s="784" t="s">
        <v>705</v>
      </c>
      <c r="F67" s="794" t="e">
        <f ca="1">F40</f>
        <v>#N/A</v>
      </c>
      <c r="K67" s="2087"/>
      <c r="O67" s="2378" t="s">
        <v>2382</v>
      </c>
      <c r="P67" s="2379" t="s">
        <v>2413</v>
      </c>
      <c r="Q67" s="2380" t="e">
        <f ca="1">L60</f>
        <v>#N/A</v>
      </c>
      <c r="R67" s="2383" t="s">
        <v>2415</v>
      </c>
    </row>
    <row r="68" spans="1:18" ht="21.75" thickBot="1">
      <c r="A68" s="786"/>
      <c r="B68" s="787"/>
      <c r="C68" s="788"/>
      <c r="D68" s="821" t="s">
        <v>1809</v>
      </c>
      <c r="E68" s="784" t="s">
        <v>1785</v>
      </c>
      <c r="F68" s="822" t="e">
        <f ca="1">F41</f>
        <v>#N/A</v>
      </c>
      <c r="O68" s="2381" t="s">
        <v>2384</v>
      </c>
      <c r="P68" s="2379" t="s">
        <v>2414</v>
      </c>
      <c r="Q68" s="2385" t="e">
        <f ca="1">L51</f>
        <v>#N/A</v>
      </c>
      <c r="R68" s="2386" t="s">
        <v>2417</v>
      </c>
    </row>
    <row r="69" spans="1:18" ht="20.25" thickBot="1">
      <c r="A69" s="790"/>
      <c r="B69" s="791"/>
      <c r="C69" s="792"/>
      <c r="D69" s="816"/>
      <c r="E69" s="784" t="s">
        <v>710</v>
      </c>
      <c r="F69" s="2351"/>
      <c r="O69" s="2381" t="s">
        <v>2385</v>
      </c>
      <c r="P69" s="2387" t="s">
        <v>2399</v>
      </c>
      <c r="Q69" s="2380" t="e">
        <f ca="1">ROUND(Q70-Q71*Q72,0)</f>
        <v>#N/A</v>
      </c>
      <c r="R69" s="2383"/>
    </row>
    <row r="70" spans="1:18" ht="15.75" thickBot="1">
      <c r="A70" s="823" t="s">
        <v>1788</v>
      </c>
      <c r="B70" s="824" t="s">
        <v>1811</v>
      </c>
      <c r="C70" s="825" t="e">
        <f ca="1">ROUND(C67*10000/F70,0)</f>
        <v>#N/A</v>
      </c>
      <c r="D70" s="826" t="s">
        <v>1812</v>
      </c>
      <c r="E70" s="827" t="s">
        <v>1813</v>
      </c>
      <c r="F70" s="828" t="e">
        <f ca="1">F43</f>
        <v>#N/A</v>
      </c>
      <c r="O70" s="2381" t="s">
        <v>2400</v>
      </c>
      <c r="P70" s="2387" t="s">
        <v>2401</v>
      </c>
      <c r="Q70" s="2380" t="e">
        <f ca="1">C39</f>
        <v>#N/A</v>
      </c>
      <c r="R70" s="2379" t="s">
        <v>2381</v>
      </c>
    </row>
    <row r="71" spans="1:18" ht="15.75" thickBot="1">
      <c r="O71" s="2381" t="s">
        <v>2402</v>
      </c>
      <c r="P71" s="2387" t="s">
        <v>2403</v>
      </c>
      <c r="Q71" s="2380" t="e">
        <f ca="1">C13</f>
        <v>#N/A</v>
      </c>
      <c r="R71" s="2379" t="s">
        <v>2381</v>
      </c>
    </row>
    <row r="72" spans="1:18" ht="15.75" thickBot="1">
      <c r="O72" s="2381" t="s">
        <v>2404</v>
      </c>
      <c r="P72" s="2387" t="s">
        <v>2405</v>
      </c>
      <c r="Q72" s="2382" t="e">
        <f ca="1">J36</f>
        <v>#N/A</v>
      </c>
      <c r="R72" s="2383"/>
    </row>
    <row r="73" spans="1:18" ht="15.75" thickBot="1">
      <c r="O73" s="2381" t="s">
        <v>2387</v>
      </c>
      <c r="P73" s="2379" t="s">
        <v>2394</v>
      </c>
      <c r="Q73" s="2382">
        <f>L52</f>
        <v>0</v>
      </c>
      <c r="R73" s="2383"/>
    </row>
    <row r="74" spans="1:18" ht="20.25" thickBot="1">
      <c r="O74" s="2381" t="s">
        <v>2389</v>
      </c>
      <c r="P74" s="2379" t="s">
        <v>2395</v>
      </c>
      <c r="Q74" s="2380" t="e">
        <f ca="1">L58</f>
        <v>#N/A</v>
      </c>
      <c r="R74" s="2383" t="s">
        <v>2396</v>
      </c>
    </row>
    <row r="75" spans="1:18" ht="15.75" thickBot="1">
      <c r="O75" s="2381" t="s">
        <v>2418</v>
      </c>
      <c r="P75" s="2379" t="str">
        <f>K59</f>
        <v>建设期及建筑物耐用年限下的土地年期修正系数Kn</v>
      </c>
      <c r="Q75" s="2380" t="e">
        <f ca="1">L59</f>
        <v>#N/A</v>
      </c>
      <c r="R75" s="2383" t="s">
        <v>2398</v>
      </c>
    </row>
    <row r="76" spans="1:18" ht="15.75" thickBot="1">
      <c r="O76" s="2378" t="s">
        <v>2392</v>
      </c>
      <c r="P76" s="2379" t="s">
        <v>2409</v>
      </c>
      <c r="Q76" s="2380" t="e">
        <f ca="1">Q66+Q67</f>
        <v>#N/A</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1"/>
  <sheetViews>
    <sheetView workbookViewId="0">
      <selection activeCell="F5" sqref="F5"/>
    </sheetView>
  </sheetViews>
  <sheetFormatPr defaultRowHeight="12.75"/>
  <cols>
    <col min="1" max="1" width="18.25" style="3179" customWidth="1"/>
    <col min="2" max="2" width="6.25" style="3179" customWidth="1"/>
    <col min="3" max="3" width="13.875" style="3179" customWidth="1"/>
    <col min="4" max="4" width="9.25" style="3179" customWidth="1"/>
    <col min="5" max="5" width="8.75" style="3179" customWidth="1"/>
    <col min="6" max="6" width="12.5" style="3179" customWidth="1"/>
    <col min="7" max="7" width="7.875" style="3179" customWidth="1"/>
    <col min="8" max="8" width="9" style="3179" customWidth="1"/>
    <col min="9" max="9" width="10.625" style="3179" hidden="1" customWidth="1"/>
    <col min="10" max="10" width="10.625" style="3179" customWidth="1"/>
    <col min="11" max="12" width="14.375" style="3179" customWidth="1"/>
    <col min="13" max="13" width="6.25" style="3179" customWidth="1"/>
    <col min="14" max="14" width="27.75" style="3179" customWidth="1"/>
    <col min="15" max="15" width="7.875" style="3179" customWidth="1"/>
    <col min="16" max="257" width="9" style="3179"/>
    <col min="258" max="258" width="33.125" style="3179" customWidth="1"/>
    <col min="259" max="259" width="6.25" style="3179" customWidth="1"/>
    <col min="260" max="262" width="13.875" style="3179" customWidth="1"/>
    <col min="263" max="263" width="24" style="3179" customWidth="1"/>
    <col min="264" max="264" width="7.875" style="3179" customWidth="1"/>
    <col min="265" max="265" width="9" style="3179" customWidth="1"/>
    <col min="266" max="267" width="10.625" style="3179" customWidth="1"/>
    <col min="268" max="268" width="14.375" style="3179" customWidth="1"/>
    <col min="269" max="269" width="6.25" style="3179" customWidth="1"/>
    <col min="270" max="270" width="27.75" style="3179" customWidth="1"/>
    <col min="271" max="271" width="7.875" style="3179" customWidth="1"/>
    <col min="272" max="513" width="9" style="3179"/>
    <col min="514" max="514" width="33.125" style="3179" customWidth="1"/>
    <col min="515" max="515" width="6.25" style="3179" customWidth="1"/>
    <col min="516" max="518" width="13.875" style="3179" customWidth="1"/>
    <col min="519" max="519" width="24" style="3179" customWidth="1"/>
    <col min="520" max="520" width="7.875" style="3179" customWidth="1"/>
    <col min="521" max="521" width="9" style="3179" customWidth="1"/>
    <col min="522" max="523" width="10.625" style="3179" customWidth="1"/>
    <col min="524" max="524" width="14.375" style="3179" customWidth="1"/>
    <col min="525" max="525" width="6.25" style="3179" customWidth="1"/>
    <col min="526" max="526" width="27.75" style="3179" customWidth="1"/>
    <col min="527" max="527" width="7.875" style="3179" customWidth="1"/>
    <col min="528" max="769" width="9" style="3179"/>
    <col min="770" max="770" width="33.125" style="3179" customWidth="1"/>
    <col min="771" max="771" width="6.25" style="3179" customWidth="1"/>
    <col min="772" max="774" width="13.875" style="3179" customWidth="1"/>
    <col min="775" max="775" width="24" style="3179" customWidth="1"/>
    <col min="776" max="776" width="7.875" style="3179" customWidth="1"/>
    <col min="777" max="777" width="9" style="3179" customWidth="1"/>
    <col min="778" max="779" width="10.625" style="3179" customWidth="1"/>
    <col min="780" max="780" width="14.375" style="3179" customWidth="1"/>
    <col min="781" max="781" width="6.25" style="3179" customWidth="1"/>
    <col min="782" max="782" width="27.75" style="3179" customWidth="1"/>
    <col min="783" max="783" width="7.875" style="3179" customWidth="1"/>
    <col min="784" max="1025" width="9" style="3179"/>
    <col min="1026" max="1026" width="33.125" style="3179" customWidth="1"/>
    <col min="1027" max="1027" width="6.25" style="3179" customWidth="1"/>
    <col min="1028" max="1030" width="13.875" style="3179" customWidth="1"/>
    <col min="1031" max="1031" width="24" style="3179" customWidth="1"/>
    <col min="1032" max="1032" width="7.875" style="3179" customWidth="1"/>
    <col min="1033" max="1033" width="9" style="3179" customWidth="1"/>
    <col min="1034" max="1035" width="10.625" style="3179" customWidth="1"/>
    <col min="1036" max="1036" width="14.375" style="3179" customWidth="1"/>
    <col min="1037" max="1037" width="6.25" style="3179" customWidth="1"/>
    <col min="1038" max="1038" width="27.75" style="3179" customWidth="1"/>
    <col min="1039" max="1039" width="7.875" style="3179" customWidth="1"/>
    <col min="1040" max="1281" width="9" style="3179"/>
    <col min="1282" max="1282" width="33.125" style="3179" customWidth="1"/>
    <col min="1283" max="1283" width="6.25" style="3179" customWidth="1"/>
    <col min="1284" max="1286" width="13.875" style="3179" customWidth="1"/>
    <col min="1287" max="1287" width="24" style="3179" customWidth="1"/>
    <col min="1288" max="1288" width="7.875" style="3179" customWidth="1"/>
    <col min="1289" max="1289" width="9" style="3179" customWidth="1"/>
    <col min="1290" max="1291" width="10.625" style="3179" customWidth="1"/>
    <col min="1292" max="1292" width="14.375" style="3179" customWidth="1"/>
    <col min="1293" max="1293" width="6.25" style="3179" customWidth="1"/>
    <col min="1294" max="1294" width="27.75" style="3179" customWidth="1"/>
    <col min="1295" max="1295" width="7.875" style="3179" customWidth="1"/>
    <col min="1296" max="1537" width="9" style="3179"/>
    <col min="1538" max="1538" width="33.125" style="3179" customWidth="1"/>
    <col min="1539" max="1539" width="6.25" style="3179" customWidth="1"/>
    <col min="1540" max="1542" width="13.875" style="3179" customWidth="1"/>
    <col min="1543" max="1543" width="24" style="3179" customWidth="1"/>
    <col min="1544" max="1544" width="7.875" style="3179" customWidth="1"/>
    <col min="1545" max="1545" width="9" style="3179" customWidth="1"/>
    <col min="1546" max="1547" width="10.625" style="3179" customWidth="1"/>
    <col min="1548" max="1548" width="14.375" style="3179" customWidth="1"/>
    <col min="1549" max="1549" width="6.25" style="3179" customWidth="1"/>
    <col min="1550" max="1550" width="27.75" style="3179" customWidth="1"/>
    <col min="1551" max="1551" width="7.875" style="3179" customWidth="1"/>
    <col min="1552" max="1793" width="9" style="3179"/>
    <col min="1794" max="1794" width="33.125" style="3179" customWidth="1"/>
    <col min="1795" max="1795" width="6.25" style="3179" customWidth="1"/>
    <col min="1796" max="1798" width="13.875" style="3179" customWidth="1"/>
    <col min="1799" max="1799" width="24" style="3179" customWidth="1"/>
    <col min="1800" max="1800" width="7.875" style="3179" customWidth="1"/>
    <col min="1801" max="1801" width="9" style="3179" customWidth="1"/>
    <col min="1802" max="1803" width="10.625" style="3179" customWidth="1"/>
    <col min="1804" max="1804" width="14.375" style="3179" customWidth="1"/>
    <col min="1805" max="1805" width="6.25" style="3179" customWidth="1"/>
    <col min="1806" max="1806" width="27.75" style="3179" customWidth="1"/>
    <col min="1807" max="1807" width="7.875" style="3179" customWidth="1"/>
    <col min="1808" max="2049" width="9" style="3179"/>
    <col min="2050" max="2050" width="33.125" style="3179" customWidth="1"/>
    <col min="2051" max="2051" width="6.25" style="3179" customWidth="1"/>
    <col min="2052" max="2054" width="13.875" style="3179" customWidth="1"/>
    <col min="2055" max="2055" width="24" style="3179" customWidth="1"/>
    <col min="2056" max="2056" width="7.875" style="3179" customWidth="1"/>
    <col min="2057" max="2057" width="9" style="3179" customWidth="1"/>
    <col min="2058" max="2059" width="10.625" style="3179" customWidth="1"/>
    <col min="2060" max="2060" width="14.375" style="3179" customWidth="1"/>
    <col min="2061" max="2061" width="6.25" style="3179" customWidth="1"/>
    <col min="2062" max="2062" width="27.75" style="3179" customWidth="1"/>
    <col min="2063" max="2063" width="7.875" style="3179" customWidth="1"/>
    <col min="2064" max="2305" width="9" style="3179"/>
    <col min="2306" max="2306" width="33.125" style="3179" customWidth="1"/>
    <col min="2307" max="2307" width="6.25" style="3179" customWidth="1"/>
    <col min="2308" max="2310" width="13.875" style="3179" customWidth="1"/>
    <col min="2311" max="2311" width="24" style="3179" customWidth="1"/>
    <col min="2312" max="2312" width="7.875" style="3179" customWidth="1"/>
    <col min="2313" max="2313" width="9" style="3179" customWidth="1"/>
    <col min="2314" max="2315" width="10.625" style="3179" customWidth="1"/>
    <col min="2316" max="2316" width="14.375" style="3179" customWidth="1"/>
    <col min="2317" max="2317" width="6.25" style="3179" customWidth="1"/>
    <col min="2318" max="2318" width="27.75" style="3179" customWidth="1"/>
    <col min="2319" max="2319" width="7.875" style="3179" customWidth="1"/>
    <col min="2320" max="2561" width="9" style="3179"/>
    <col min="2562" max="2562" width="33.125" style="3179" customWidth="1"/>
    <col min="2563" max="2563" width="6.25" style="3179" customWidth="1"/>
    <col min="2564" max="2566" width="13.875" style="3179" customWidth="1"/>
    <col min="2567" max="2567" width="24" style="3179" customWidth="1"/>
    <col min="2568" max="2568" width="7.875" style="3179" customWidth="1"/>
    <col min="2569" max="2569" width="9" style="3179" customWidth="1"/>
    <col min="2570" max="2571" width="10.625" style="3179" customWidth="1"/>
    <col min="2572" max="2572" width="14.375" style="3179" customWidth="1"/>
    <col min="2573" max="2573" width="6.25" style="3179" customWidth="1"/>
    <col min="2574" max="2574" width="27.75" style="3179" customWidth="1"/>
    <col min="2575" max="2575" width="7.875" style="3179" customWidth="1"/>
    <col min="2576" max="2817" width="9" style="3179"/>
    <col min="2818" max="2818" width="33.125" style="3179" customWidth="1"/>
    <col min="2819" max="2819" width="6.25" style="3179" customWidth="1"/>
    <col min="2820" max="2822" width="13.875" style="3179" customWidth="1"/>
    <col min="2823" max="2823" width="24" style="3179" customWidth="1"/>
    <col min="2824" max="2824" width="7.875" style="3179" customWidth="1"/>
    <col min="2825" max="2825" width="9" style="3179" customWidth="1"/>
    <col min="2826" max="2827" width="10.625" style="3179" customWidth="1"/>
    <col min="2828" max="2828" width="14.375" style="3179" customWidth="1"/>
    <col min="2829" max="2829" width="6.25" style="3179" customWidth="1"/>
    <col min="2830" max="2830" width="27.75" style="3179" customWidth="1"/>
    <col min="2831" max="2831" width="7.875" style="3179" customWidth="1"/>
    <col min="2832" max="3073" width="9" style="3179"/>
    <col min="3074" max="3074" width="33.125" style="3179" customWidth="1"/>
    <col min="3075" max="3075" width="6.25" style="3179" customWidth="1"/>
    <col min="3076" max="3078" width="13.875" style="3179" customWidth="1"/>
    <col min="3079" max="3079" width="24" style="3179" customWidth="1"/>
    <col min="3080" max="3080" width="7.875" style="3179" customWidth="1"/>
    <col min="3081" max="3081" width="9" style="3179" customWidth="1"/>
    <col min="3082" max="3083" width="10.625" style="3179" customWidth="1"/>
    <col min="3084" max="3084" width="14.375" style="3179" customWidth="1"/>
    <col min="3085" max="3085" width="6.25" style="3179" customWidth="1"/>
    <col min="3086" max="3086" width="27.75" style="3179" customWidth="1"/>
    <col min="3087" max="3087" width="7.875" style="3179" customWidth="1"/>
    <col min="3088" max="3329" width="9" style="3179"/>
    <col min="3330" max="3330" width="33.125" style="3179" customWidth="1"/>
    <col min="3331" max="3331" width="6.25" style="3179" customWidth="1"/>
    <col min="3332" max="3334" width="13.875" style="3179" customWidth="1"/>
    <col min="3335" max="3335" width="24" style="3179" customWidth="1"/>
    <col min="3336" max="3336" width="7.875" style="3179" customWidth="1"/>
    <col min="3337" max="3337" width="9" style="3179" customWidth="1"/>
    <col min="3338" max="3339" width="10.625" style="3179" customWidth="1"/>
    <col min="3340" max="3340" width="14.375" style="3179" customWidth="1"/>
    <col min="3341" max="3341" width="6.25" style="3179" customWidth="1"/>
    <col min="3342" max="3342" width="27.75" style="3179" customWidth="1"/>
    <col min="3343" max="3343" width="7.875" style="3179" customWidth="1"/>
    <col min="3344" max="3585" width="9" style="3179"/>
    <col min="3586" max="3586" width="33.125" style="3179" customWidth="1"/>
    <col min="3587" max="3587" width="6.25" style="3179" customWidth="1"/>
    <col min="3588" max="3590" width="13.875" style="3179" customWidth="1"/>
    <col min="3591" max="3591" width="24" style="3179" customWidth="1"/>
    <col min="3592" max="3592" width="7.875" style="3179" customWidth="1"/>
    <col min="3593" max="3593" width="9" style="3179" customWidth="1"/>
    <col min="3594" max="3595" width="10.625" style="3179" customWidth="1"/>
    <col min="3596" max="3596" width="14.375" style="3179" customWidth="1"/>
    <col min="3597" max="3597" width="6.25" style="3179" customWidth="1"/>
    <col min="3598" max="3598" width="27.75" style="3179" customWidth="1"/>
    <col min="3599" max="3599" width="7.875" style="3179" customWidth="1"/>
    <col min="3600" max="3841" width="9" style="3179"/>
    <col min="3842" max="3842" width="33.125" style="3179" customWidth="1"/>
    <col min="3843" max="3843" width="6.25" style="3179" customWidth="1"/>
    <col min="3844" max="3846" width="13.875" style="3179" customWidth="1"/>
    <col min="3847" max="3847" width="24" style="3179" customWidth="1"/>
    <col min="3848" max="3848" width="7.875" style="3179" customWidth="1"/>
    <col min="3849" max="3849" width="9" style="3179" customWidth="1"/>
    <col min="3850" max="3851" width="10.625" style="3179" customWidth="1"/>
    <col min="3852" max="3852" width="14.375" style="3179" customWidth="1"/>
    <col min="3853" max="3853" width="6.25" style="3179" customWidth="1"/>
    <col min="3854" max="3854" width="27.75" style="3179" customWidth="1"/>
    <col min="3855" max="3855" width="7.875" style="3179" customWidth="1"/>
    <col min="3856" max="4097" width="9" style="3179"/>
    <col min="4098" max="4098" width="33.125" style="3179" customWidth="1"/>
    <col min="4099" max="4099" width="6.25" style="3179" customWidth="1"/>
    <col min="4100" max="4102" width="13.875" style="3179" customWidth="1"/>
    <col min="4103" max="4103" width="24" style="3179" customWidth="1"/>
    <col min="4104" max="4104" width="7.875" style="3179" customWidth="1"/>
    <col min="4105" max="4105" width="9" style="3179" customWidth="1"/>
    <col min="4106" max="4107" width="10.625" style="3179" customWidth="1"/>
    <col min="4108" max="4108" width="14.375" style="3179" customWidth="1"/>
    <col min="4109" max="4109" width="6.25" style="3179" customWidth="1"/>
    <col min="4110" max="4110" width="27.75" style="3179" customWidth="1"/>
    <col min="4111" max="4111" width="7.875" style="3179" customWidth="1"/>
    <col min="4112" max="4353" width="9" style="3179"/>
    <col min="4354" max="4354" width="33.125" style="3179" customWidth="1"/>
    <col min="4355" max="4355" width="6.25" style="3179" customWidth="1"/>
    <col min="4356" max="4358" width="13.875" style="3179" customWidth="1"/>
    <col min="4359" max="4359" width="24" style="3179" customWidth="1"/>
    <col min="4360" max="4360" width="7.875" style="3179" customWidth="1"/>
    <col min="4361" max="4361" width="9" style="3179" customWidth="1"/>
    <col min="4362" max="4363" width="10.625" style="3179" customWidth="1"/>
    <col min="4364" max="4364" width="14.375" style="3179" customWidth="1"/>
    <col min="4365" max="4365" width="6.25" style="3179" customWidth="1"/>
    <col min="4366" max="4366" width="27.75" style="3179" customWidth="1"/>
    <col min="4367" max="4367" width="7.875" style="3179" customWidth="1"/>
    <col min="4368" max="4609" width="9" style="3179"/>
    <col min="4610" max="4610" width="33.125" style="3179" customWidth="1"/>
    <col min="4611" max="4611" width="6.25" style="3179" customWidth="1"/>
    <col min="4612" max="4614" width="13.875" style="3179" customWidth="1"/>
    <col min="4615" max="4615" width="24" style="3179" customWidth="1"/>
    <col min="4616" max="4616" width="7.875" style="3179" customWidth="1"/>
    <col min="4617" max="4617" width="9" style="3179" customWidth="1"/>
    <col min="4618" max="4619" width="10.625" style="3179" customWidth="1"/>
    <col min="4620" max="4620" width="14.375" style="3179" customWidth="1"/>
    <col min="4621" max="4621" width="6.25" style="3179" customWidth="1"/>
    <col min="4622" max="4622" width="27.75" style="3179" customWidth="1"/>
    <col min="4623" max="4623" width="7.875" style="3179" customWidth="1"/>
    <col min="4624" max="4865" width="9" style="3179"/>
    <col min="4866" max="4866" width="33.125" style="3179" customWidth="1"/>
    <col min="4867" max="4867" width="6.25" style="3179" customWidth="1"/>
    <col min="4868" max="4870" width="13.875" style="3179" customWidth="1"/>
    <col min="4871" max="4871" width="24" style="3179" customWidth="1"/>
    <col min="4872" max="4872" width="7.875" style="3179" customWidth="1"/>
    <col min="4873" max="4873" width="9" style="3179" customWidth="1"/>
    <col min="4874" max="4875" width="10.625" style="3179" customWidth="1"/>
    <col min="4876" max="4876" width="14.375" style="3179" customWidth="1"/>
    <col min="4877" max="4877" width="6.25" style="3179" customWidth="1"/>
    <col min="4878" max="4878" width="27.75" style="3179" customWidth="1"/>
    <col min="4879" max="4879" width="7.875" style="3179" customWidth="1"/>
    <col min="4880" max="5121" width="9" style="3179"/>
    <col min="5122" max="5122" width="33.125" style="3179" customWidth="1"/>
    <col min="5123" max="5123" width="6.25" style="3179" customWidth="1"/>
    <col min="5124" max="5126" width="13.875" style="3179" customWidth="1"/>
    <col min="5127" max="5127" width="24" style="3179" customWidth="1"/>
    <col min="5128" max="5128" width="7.875" style="3179" customWidth="1"/>
    <col min="5129" max="5129" width="9" style="3179" customWidth="1"/>
    <col min="5130" max="5131" width="10.625" style="3179" customWidth="1"/>
    <col min="5132" max="5132" width="14.375" style="3179" customWidth="1"/>
    <col min="5133" max="5133" width="6.25" style="3179" customWidth="1"/>
    <col min="5134" max="5134" width="27.75" style="3179" customWidth="1"/>
    <col min="5135" max="5135" width="7.875" style="3179" customWidth="1"/>
    <col min="5136" max="5377" width="9" style="3179"/>
    <col min="5378" max="5378" width="33.125" style="3179" customWidth="1"/>
    <col min="5379" max="5379" width="6.25" style="3179" customWidth="1"/>
    <col min="5380" max="5382" width="13.875" style="3179" customWidth="1"/>
    <col min="5383" max="5383" width="24" style="3179" customWidth="1"/>
    <col min="5384" max="5384" width="7.875" style="3179" customWidth="1"/>
    <col min="5385" max="5385" width="9" style="3179" customWidth="1"/>
    <col min="5386" max="5387" width="10.625" style="3179" customWidth="1"/>
    <col min="5388" max="5388" width="14.375" style="3179" customWidth="1"/>
    <col min="5389" max="5389" width="6.25" style="3179" customWidth="1"/>
    <col min="5390" max="5390" width="27.75" style="3179" customWidth="1"/>
    <col min="5391" max="5391" width="7.875" style="3179" customWidth="1"/>
    <col min="5392" max="5633" width="9" style="3179"/>
    <col min="5634" max="5634" width="33.125" style="3179" customWidth="1"/>
    <col min="5635" max="5635" width="6.25" style="3179" customWidth="1"/>
    <col min="5636" max="5638" width="13.875" style="3179" customWidth="1"/>
    <col min="5639" max="5639" width="24" style="3179" customWidth="1"/>
    <col min="5640" max="5640" width="7.875" style="3179" customWidth="1"/>
    <col min="5641" max="5641" width="9" style="3179" customWidth="1"/>
    <col min="5642" max="5643" width="10.625" style="3179" customWidth="1"/>
    <col min="5644" max="5644" width="14.375" style="3179" customWidth="1"/>
    <col min="5645" max="5645" width="6.25" style="3179" customWidth="1"/>
    <col min="5646" max="5646" width="27.75" style="3179" customWidth="1"/>
    <col min="5647" max="5647" width="7.875" style="3179" customWidth="1"/>
    <col min="5648" max="5889" width="9" style="3179"/>
    <col min="5890" max="5890" width="33.125" style="3179" customWidth="1"/>
    <col min="5891" max="5891" width="6.25" style="3179" customWidth="1"/>
    <col min="5892" max="5894" width="13.875" style="3179" customWidth="1"/>
    <col min="5895" max="5895" width="24" style="3179" customWidth="1"/>
    <col min="5896" max="5896" width="7.875" style="3179" customWidth="1"/>
    <col min="5897" max="5897" width="9" style="3179" customWidth="1"/>
    <col min="5898" max="5899" width="10.625" style="3179" customWidth="1"/>
    <col min="5900" max="5900" width="14.375" style="3179" customWidth="1"/>
    <col min="5901" max="5901" width="6.25" style="3179" customWidth="1"/>
    <col min="5902" max="5902" width="27.75" style="3179" customWidth="1"/>
    <col min="5903" max="5903" width="7.875" style="3179" customWidth="1"/>
    <col min="5904" max="6145" width="9" style="3179"/>
    <col min="6146" max="6146" width="33.125" style="3179" customWidth="1"/>
    <col min="6147" max="6147" width="6.25" style="3179" customWidth="1"/>
    <col min="6148" max="6150" width="13.875" style="3179" customWidth="1"/>
    <col min="6151" max="6151" width="24" style="3179" customWidth="1"/>
    <col min="6152" max="6152" width="7.875" style="3179" customWidth="1"/>
    <col min="6153" max="6153" width="9" style="3179" customWidth="1"/>
    <col min="6154" max="6155" width="10.625" style="3179" customWidth="1"/>
    <col min="6156" max="6156" width="14.375" style="3179" customWidth="1"/>
    <col min="6157" max="6157" width="6.25" style="3179" customWidth="1"/>
    <col min="6158" max="6158" width="27.75" style="3179" customWidth="1"/>
    <col min="6159" max="6159" width="7.875" style="3179" customWidth="1"/>
    <col min="6160" max="6401" width="9" style="3179"/>
    <col min="6402" max="6402" width="33.125" style="3179" customWidth="1"/>
    <col min="6403" max="6403" width="6.25" style="3179" customWidth="1"/>
    <col min="6404" max="6406" width="13.875" style="3179" customWidth="1"/>
    <col min="6407" max="6407" width="24" style="3179" customWidth="1"/>
    <col min="6408" max="6408" width="7.875" style="3179" customWidth="1"/>
    <col min="6409" max="6409" width="9" style="3179" customWidth="1"/>
    <col min="6410" max="6411" width="10.625" style="3179" customWidth="1"/>
    <col min="6412" max="6412" width="14.375" style="3179" customWidth="1"/>
    <col min="6413" max="6413" width="6.25" style="3179" customWidth="1"/>
    <col min="6414" max="6414" width="27.75" style="3179" customWidth="1"/>
    <col min="6415" max="6415" width="7.875" style="3179" customWidth="1"/>
    <col min="6416" max="6657" width="9" style="3179"/>
    <col min="6658" max="6658" width="33.125" style="3179" customWidth="1"/>
    <col min="6659" max="6659" width="6.25" style="3179" customWidth="1"/>
    <col min="6660" max="6662" width="13.875" style="3179" customWidth="1"/>
    <col min="6663" max="6663" width="24" style="3179" customWidth="1"/>
    <col min="6664" max="6664" width="7.875" style="3179" customWidth="1"/>
    <col min="6665" max="6665" width="9" style="3179" customWidth="1"/>
    <col min="6666" max="6667" width="10.625" style="3179" customWidth="1"/>
    <col min="6668" max="6668" width="14.375" style="3179" customWidth="1"/>
    <col min="6669" max="6669" width="6.25" style="3179" customWidth="1"/>
    <col min="6670" max="6670" width="27.75" style="3179" customWidth="1"/>
    <col min="6671" max="6671" width="7.875" style="3179" customWidth="1"/>
    <col min="6672" max="6913" width="9" style="3179"/>
    <col min="6914" max="6914" width="33.125" style="3179" customWidth="1"/>
    <col min="6915" max="6915" width="6.25" style="3179" customWidth="1"/>
    <col min="6916" max="6918" width="13.875" style="3179" customWidth="1"/>
    <col min="6919" max="6919" width="24" style="3179" customWidth="1"/>
    <col min="6920" max="6920" width="7.875" style="3179" customWidth="1"/>
    <col min="6921" max="6921" width="9" style="3179" customWidth="1"/>
    <col min="6922" max="6923" width="10.625" style="3179" customWidth="1"/>
    <col min="6924" max="6924" width="14.375" style="3179" customWidth="1"/>
    <col min="6925" max="6925" width="6.25" style="3179" customWidth="1"/>
    <col min="6926" max="6926" width="27.75" style="3179" customWidth="1"/>
    <col min="6927" max="6927" width="7.875" style="3179" customWidth="1"/>
    <col min="6928" max="7169" width="9" style="3179"/>
    <col min="7170" max="7170" width="33.125" style="3179" customWidth="1"/>
    <col min="7171" max="7171" width="6.25" style="3179" customWidth="1"/>
    <col min="7172" max="7174" width="13.875" style="3179" customWidth="1"/>
    <col min="7175" max="7175" width="24" style="3179" customWidth="1"/>
    <col min="7176" max="7176" width="7.875" style="3179" customWidth="1"/>
    <col min="7177" max="7177" width="9" style="3179" customWidth="1"/>
    <col min="7178" max="7179" width="10.625" style="3179" customWidth="1"/>
    <col min="7180" max="7180" width="14.375" style="3179" customWidth="1"/>
    <col min="7181" max="7181" width="6.25" style="3179" customWidth="1"/>
    <col min="7182" max="7182" width="27.75" style="3179" customWidth="1"/>
    <col min="7183" max="7183" width="7.875" style="3179" customWidth="1"/>
    <col min="7184" max="7425" width="9" style="3179"/>
    <col min="7426" max="7426" width="33.125" style="3179" customWidth="1"/>
    <col min="7427" max="7427" width="6.25" style="3179" customWidth="1"/>
    <col min="7428" max="7430" width="13.875" style="3179" customWidth="1"/>
    <col min="7431" max="7431" width="24" style="3179" customWidth="1"/>
    <col min="7432" max="7432" width="7.875" style="3179" customWidth="1"/>
    <col min="7433" max="7433" width="9" style="3179" customWidth="1"/>
    <col min="7434" max="7435" width="10.625" style="3179" customWidth="1"/>
    <col min="7436" max="7436" width="14.375" style="3179" customWidth="1"/>
    <col min="7437" max="7437" width="6.25" style="3179" customWidth="1"/>
    <col min="7438" max="7438" width="27.75" style="3179" customWidth="1"/>
    <col min="7439" max="7439" width="7.875" style="3179" customWidth="1"/>
    <col min="7440" max="7681" width="9" style="3179"/>
    <col min="7682" max="7682" width="33.125" style="3179" customWidth="1"/>
    <col min="7683" max="7683" width="6.25" style="3179" customWidth="1"/>
    <col min="7684" max="7686" width="13.875" style="3179" customWidth="1"/>
    <col min="7687" max="7687" width="24" style="3179" customWidth="1"/>
    <col min="7688" max="7688" width="7.875" style="3179" customWidth="1"/>
    <col min="7689" max="7689" width="9" style="3179" customWidth="1"/>
    <col min="7690" max="7691" width="10.625" style="3179" customWidth="1"/>
    <col min="7692" max="7692" width="14.375" style="3179" customWidth="1"/>
    <col min="7693" max="7693" width="6.25" style="3179" customWidth="1"/>
    <col min="7694" max="7694" width="27.75" style="3179" customWidth="1"/>
    <col min="7695" max="7695" width="7.875" style="3179" customWidth="1"/>
    <col min="7696" max="7937" width="9" style="3179"/>
    <col min="7938" max="7938" width="33.125" style="3179" customWidth="1"/>
    <col min="7939" max="7939" width="6.25" style="3179" customWidth="1"/>
    <col min="7940" max="7942" width="13.875" style="3179" customWidth="1"/>
    <col min="7943" max="7943" width="24" style="3179" customWidth="1"/>
    <col min="7944" max="7944" width="7.875" style="3179" customWidth="1"/>
    <col min="7945" max="7945" width="9" style="3179" customWidth="1"/>
    <col min="7946" max="7947" width="10.625" style="3179" customWidth="1"/>
    <col min="7948" max="7948" width="14.375" style="3179" customWidth="1"/>
    <col min="7949" max="7949" width="6.25" style="3179" customWidth="1"/>
    <col min="7950" max="7950" width="27.75" style="3179" customWidth="1"/>
    <col min="7951" max="7951" width="7.875" style="3179" customWidth="1"/>
    <col min="7952" max="8193" width="9" style="3179"/>
    <col min="8194" max="8194" width="33.125" style="3179" customWidth="1"/>
    <col min="8195" max="8195" width="6.25" style="3179" customWidth="1"/>
    <col min="8196" max="8198" width="13.875" style="3179" customWidth="1"/>
    <col min="8199" max="8199" width="24" style="3179" customWidth="1"/>
    <col min="8200" max="8200" width="7.875" style="3179" customWidth="1"/>
    <col min="8201" max="8201" width="9" style="3179" customWidth="1"/>
    <col min="8202" max="8203" width="10.625" style="3179" customWidth="1"/>
    <col min="8204" max="8204" width="14.375" style="3179" customWidth="1"/>
    <col min="8205" max="8205" width="6.25" style="3179" customWidth="1"/>
    <col min="8206" max="8206" width="27.75" style="3179" customWidth="1"/>
    <col min="8207" max="8207" width="7.875" style="3179" customWidth="1"/>
    <col min="8208" max="8449" width="9" style="3179"/>
    <col min="8450" max="8450" width="33.125" style="3179" customWidth="1"/>
    <col min="8451" max="8451" width="6.25" style="3179" customWidth="1"/>
    <col min="8452" max="8454" width="13.875" style="3179" customWidth="1"/>
    <col min="8455" max="8455" width="24" style="3179" customWidth="1"/>
    <col min="8456" max="8456" width="7.875" style="3179" customWidth="1"/>
    <col min="8457" max="8457" width="9" style="3179" customWidth="1"/>
    <col min="8458" max="8459" width="10.625" style="3179" customWidth="1"/>
    <col min="8460" max="8460" width="14.375" style="3179" customWidth="1"/>
    <col min="8461" max="8461" width="6.25" style="3179" customWidth="1"/>
    <col min="8462" max="8462" width="27.75" style="3179" customWidth="1"/>
    <col min="8463" max="8463" width="7.875" style="3179" customWidth="1"/>
    <col min="8464" max="8705" width="9" style="3179"/>
    <col min="8706" max="8706" width="33.125" style="3179" customWidth="1"/>
    <col min="8707" max="8707" width="6.25" style="3179" customWidth="1"/>
    <col min="8708" max="8710" width="13.875" style="3179" customWidth="1"/>
    <col min="8711" max="8711" width="24" style="3179" customWidth="1"/>
    <col min="8712" max="8712" width="7.875" style="3179" customWidth="1"/>
    <col min="8713" max="8713" width="9" style="3179" customWidth="1"/>
    <col min="8714" max="8715" width="10.625" style="3179" customWidth="1"/>
    <col min="8716" max="8716" width="14.375" style="3179" customWidth="1"/>
    <col min="8717" max="8717" width="6.25" style="3179" customWidth="1"/>
    <col min="8718" max="8718" width="27.75" style="3179" customWidth="1"/>
    <col min="8719" max="8719" width="7.875" style="3179" customWidth="1"/>
    <col min="8720" max="8961" width="9" style="3179"/>
    <col min="8962" max="8962" width="33.125" style="3179" customWidth="1"/>
    <col min="8963" max="8963" width="6.25" style="3179" customWidth="1"/>
    <col min="8964" max="8966" width="13.875" style="3179" customWidth="1"/>
    <col min="8967" max="8967" width="24" style="3179" customWidth="1"/>
    <col min="8968" max="8968" width="7.875" style="3179" customWidth="1"/>
    <col min="8969" max="8969" width="9" style="3179" customWidth="1"/>
    <col min="8970" max="8971" width="10.625" style="3179" customWidth="1"/>
    <col min="8972" max="8972" width="14.375" style="3179" customWidth="1"/>
    <col min="8973" max="8973" width="6.25" style="3179" customWidth="1"/>
    <col min="8974" max="8974" width="27.75" style="3179" customWidth="1"/>
    <col min="8975" max="8975" width="7.875" style="3179" customWidth="1"/>
    <col min="8976" max="9217" width="9" style="3179"/>
    <col min="9218" max="9218" width="33.125" style="3179" customWidth="1"/>
    <col min="9219" max="9219" width="6.25" style="3179" customWidth="1"/>
    <col min="9220" max="9222" width="13.875" style="3179" customWidth="1"/>
    <col min="9223" max="9223" width="24" style="3179" customWidth="1"/>
    <col min="9224" max="9224" width="7.875" style="3179" customWidth="1"/>
    <col min="9225" max="9225" width="9" style="3179" customWidth="1"/>
    <col min="9226" max="9227" width="10.625" style="3179" customWidth="1"/>
    <col min="9228" max="9228" width="14.375" style="3179" customWidth="1"/>
    <col min="9229" max="9229" width="6.25" style="3179" customWidth="1"/>
    <col min="9230" max="9230" width="27.75" style="3179" customWidth="1"/>
    <col min="9231" max="9231" width="7.875" style="3179" customWidth="1"/>
    <col min="9232" max="9473" width="9" style="3179"/>
    <col min="9474" max="9474" width="33.125" style="3179" customWidth="1"/>
    <col min="9475" max="9475" width="6.25" style="3179" customWidth="1"/>
    <col min="9476" max="9478" width="13.875" style="3179" customWidth="1"/>
    <col min="9479" max="9479" width="24" style="3179" customWidth="1"/>
    <col min="9480" max="9480" width="7.875" style="3179" customWidth="1"/>
    <col min="9481" max="9481" width="9" style="3179" customWidth="1"/>
    <col min="9482" max="9483" width="10.625" style="3179" customWidth="1"/>
    <col min="9484" max="9484" width="14.375" style="3179" customWidth="1"/>
    <col min="9485" max="9485" width="6.25" style="3179" customWidth="1"/>
    <col min="9486" max="9486" width="27.75" style="3179" customWidth="1"/>
    <col min="9487" max="9487" width="7.875" style="3179" customWidth="1"/>
    <col min="9488" max="9729" width="9" style="3179"/>
    <col min="9730" max="9730" width="33.125" style="3179" customWidth="1"/>
    <col min="9731" max="9731" width="6.25" style="3179" customWidth="1"/>
    <col min="9732" max="9734" width="13.875" style="3179" customWidth="1"/>
    <col min="9735" max="9735" width="24" style="3179" customWidth="1"/>
    <col min="9736" max="9736" width="7.875" style="3179" customWidth="1"/>
    <col min="9737" max="9737" width="9" style="3179" customWidth="1"/>
    <col min="9738" max="9739" width="10.625" style="3179" customWidth="1"/>
    <col min="9740" max="9740" width="14.375" style="3179" customWidth="1"/>
    <col min="9741" max="9741" width="6.25" style="3179" customWidth="1"/>
    <col min="9742" max="9742" width="27.75" style="3179" customWidth="1"/>
    <col min="9743" max="9743" width="7.875" style="3179" customWidth="1"/>
    <col min="9744" max="9985" width="9" style="3179"/>
    <col min="9986" max="9986" width="33.125" style="3179" customWidth="1"/>
    <col min="9987" max="9987" width="6.25" style="3179" customWidth="1"/>
    <col min="9988" max="9990" width="13.875" style="3179" customWidth="1"/>
    <col min="9991" max="9991" width="24" style="3179" customWidth="1"/>
    <col min="9992" max="9992" width="7.875" style="3179" customWidth="1"/>
    <col min="9993" max="9993" width="9" style="3179" customWidth="1"/>
    <col min="9994" max="9995" width="10.625" style="3179" customWidth="1"/>
    <col min="9996" max="9996" width="14.375" style="3179" customWidth="1"/>
    <col min="9997" max="9997" width="6.25" style="3179" customWidth="1"/>
    <col min="9998" max="9998" width="27.75" style="3179" customWidth="1"/>
    <col min="9999" max="9999" width="7.875" style="3179" customWidth="1"/>
    <col min="10000" max="10241" width="9" style="3179"/>
    <col min="10242" max="10242" width="33.125" style="3179" customWidth="1"/>
    <col min="10243" max="10243" width="6.25" style="3179" customWidth="1"/>
    <col min="10244" max="10246" width="13.875" style="3179" customWidth="1"/>
    <col min="10247" max="10247" width="24" style="3179" customWidth="1"/>
    <col min="10248" max="10248" width="7.875" style="3179" customWidth="1"/>
    <col min="10249" max="10249" width="9" style="3179" customWidth="1"/>
    <col min="10250" max="10251" width="10.625" style="3179" customWidth="1"/>
    <col min="10252" max="10252" width="14.375" style="3179" customWidth="1"/>
    <col min="10253" max="10253" width="6.25" style="3179" customWidth="1"/>
    <col min="10254" max="10254" width="27.75" style="3179" customWidth="1"/>
    <col min="10255" max="10255" width="7.875" style="3179" customWidth="1"/>
    <col min="10256" max="10497" width="9" style="3179"/>
    <col min="10498" max="10498" width="33.125" style="3179" customWidth="1"/>
    <col min="10499" max="10499" width="6.25" style="3179" customWidth="1"/>
    <col min="10500" max="10502" width="13.875" style="3179" customWidth="1"/>
    <col min="10503" max="10503" width="24" style="3179" customWidth="1"/>
    <col min="10504" max="10504" width="7.875" style="3179" customWidth="1"/>
    <col min="10505" max="10505" width="9" style="3179" customWidth="1"/>
    <col min="10506" max="10507" width="10.625" style="3179" customWidth="1"/>
    <col min="10508" max="10508" width="14.375" style="3179" customWidth="1"/>
    <col min="10509" max="10509" width="6.25" style="3179" customWidth="1"/>
    <col min="10510" max="10510" width="27.75" style="3179" customWidth="1"/>
    <col min="10511" max="10511" width="7.875" style="3179" customWidth="1"/>
    <col min="10512" max="10753" width="9" style="3179"/>
    <col min="10754" max="10754" width="33.125" style="3179" customWidth="1"/>
    <col min="10755" max="10755" width="6.25" style="3179" customWidth="1"/>
    <col min="10756" max="10758" width="13.875" style="3179" customWidth="1"/>
    <col min="10759" max="10759" width="24" style="3179" customWidth="1"/>
    <col min="10760" max="10760" width="7.875" style="3179" customWidth="1"/>
    <col min="10761" max="10761" width="9" style="3179" customWidth="1"/>
    <col min="10762" max="10763" width="10.625" style="3179" customWidth="1"/>
    <col min="10764" max="10764" width="14.375" style="3179" customWidth="1"/>
    <col min="10765" max="10765" width="6.25" style="3179" customWidth="1"/>
    <col min="10766" max="10766" width="27.75" style="3179" customWidth="1"/>
    <col min="10767" max="10767" width="7.875" style="3179" customWidth="1"/>
    <col min="10768" max="11009" width="9" style="3179"/>
    <col min="11010" max="11010" width="33.125" style="3179" customWidth="1"/>
    <col min="11011" max="11011" width="6.25" style="3179" customWidth="1"/>
    <col min="11012" max="11014" width="13.875" style="3179" customWidth="1"/>
    <col min="11015" max="11015" width="24" style="3179" customWidth="1"/>
    <col min="11016" max="11016" width="7.875" style="3179" customWidth="1"/>
    <col min="11017" max="11017" width="9" style="3179" customWidth="1"/>
    <col min="11018" max="11019" width="10.625" style="3179" customWidth="1"/>
    <col min="11020" max="11020" width="14.375" style="3179" customWidth="1"/>
    <col min="11021" max="11021" width="6.25" style="3179" customWidth="1"/>
    <col min="11022" max="11022" width="27.75" style="3179" customWidth="1"/>
    <col min="11023" max="11023" width="7.875" style="3179" customWidth="1"/>
    <col min="11024" max="11265" width="9" style="3179"/>
    <col min="11266" max="11266" width="33.125" style="3179" customWidth="1"/>
    <col min="11267" max="11267" width="6.25" style="3179" customWidth="1"/>
    <col min="11268" max="11270" width="13.875" style="3179" customWidth="1"/>
    <col min="11271" max="11271" width="24" style="3179" customWidth="1"/>
    <col min="11272" max="11272" width="7.875" style="3179" customWidth="1"/>
    <col min="11273" max="11273" width="9" style="3179" customWidth="1"/>
    <col min="11274" max="11275" width="10.625" style="3179" customWidth="1"/>
    <col min="11276" max="11276" width="14.375" style="3179" customWidth="1"/>
    <col min="11277" max="11277" width="6.25" style="3179" customWidth="1"/>
    <col min="11278" max="11278" width="27.75" style="3179" customWidth="1"/>
    <col min="11279" max="11279" width="7.875" style="3179" customWidth="1"/>
    <col min="11280" max="11521" width="9" style="3179"/>
    <col min="11522" max="11522" width="33.125" style="3179" customWidth="1"/>
    <col min="11523" max="11523" width="6.25" style="3179" customWidth="1"/>
    <col min="11524" max="11526" width="13.875" style="3179" customWidth="1"/>
    <col min="11527" max="11527" width="24" style="3179" customWidth="1"/>
    <col min="11528" max="11528" width="7.875" style="3179" customWidth="1"/>
    <col min="11529" max="11529" width="9" style="3179" customWidth="1"/>
    <col min="11530" max="11531" width="10.625" style="3179" customWidth="1"/>
    <col min="11532" max="11532" width="14.375" style="3179" customWidth="1"/>
    <col min="11533" max="11533" width="6.25" style="3179" customWidth="1"/>
    <col min="11534" max="11534" width="27.75" style="3179" customWidth="1"/>
    <col min="11535" max="11535" width="7.875" style="3179" customWidth="1"/>
    <col min="11536" max="11777" width="9" style="3179"/>
    <col min="11778" max="11778" width="33.125" style="3179" customWidth="1"/>
    <col min="11779" max="11779" width="6.25" style="3179" customWidth="1"/>
    <col min="11780" max="11782" width="13.875" style="3179" customWidth="1"/>
    <col min="11783" max="11783" width="24" style="3179" customWidth="1"/>
    <col min="11784" max="11784" width="7.875" style="3179" customWidth="1"/>
    <col min="11785" max="11785" width="9" style="3179" customWidth="1"/>
    <col min="11786" max="11787" width="10.625" style="3179" customWidth="1"/>
    <col min="11788" max="11788" width="14.375" style="3179" customWidth="1"/>
    <col min="11789" max="11789" width="6.25" style="3179" customWidth="1"/>
    <col min="11790" max="11790" width="27.75" style="3179" customWidth="1"/>
    <col min="11791" max="11791" width="7.875" style="3179" customWidth="1"/>
    <col min="11792" max="12033" width="9" style="3179"/>
    <col min="12034" max="12034" width="33.125" style="3179" customWidth="1"/>
    <col min="12035" max="12035" width="6.25" style="3179" customWidth="1"/>
    <col min="12036" max="12038" width="13.875" style="3179" customWidth="1"/>
    <col min="12039" max="12039" width="24" style="3179" customWidth="1"/>
    <col min="12040" max="12040" width="7.875" style="3179" customWidth="1"/>
    <col min="12041" max="12041" width="9" style="3179" customWidth="1"/>
    <col min="12042" max="12043" width="10.625" style="3179" customWidth="1"/>
    <col min="12044" max="12044" width="14.375" style="3179" customWidth="1"/>
    <col min="12045" max="12045" width="6.25" style="3179" customWidth="1"/>
    <col min="12046" max="12046" width="27.75" style="3179" customWidth="1"/>
    <col min="12047" max="12047" width="7.875" style="3179" customWidth="1"/>
    <col min="12048" max="12289" width="9" style="3179"/>
    <col min="12290" max="12290" width="33.125" style="3179" customWidth="1"/>
    <col min="12291" max="12291" width="6.25" style="3179" customWidth="1"/>
    <col min="12292" max="12294" width="13.875" style="3179" customWidth="1"/>
    <col min="12295" max="12295" width="24" style="3179" customWidth="1"/>
    <col min="12296" max="12296" width="7.875" style="3179" customWidth="1"/>
    <col min="12297" max="12297" width="9" style="3179" customWidth="1"/>
    <col min="12298" max="12299" width="10.625" style="3179" customWidth="1"/>
    <col min="12300" max="12300" width="14.375" style="3179" customWidth="1"/>
    <col min="12301" max="12301" width="6.25" style="3179" customWidth="1"/>
    <col min="12302" max="12302" width="27.75" style="3179" customWidth="1"/>
    <col min="12303" max="12303" width="7.875" style="3179" customWidth="1"/>
    <col min="12304" max="12545" width="9" style="3179"/>
    <col min="12546" max="12546" width="33.125" style="3179" customWidth="1"/>
    <col min="12547" max="12547" width="6.25" style="3179" customWidth="1"/>
    <col min="12548" max="12550" width="13.875" style="3179" customWidth="1"/>
    <col min="12551" max="12551" width="24" style="3179" customWidth="1"/>
    <col min="12552" max="12552" width="7.875" style="3179" customWidth="1"/>
    <col min="12553" max="12553" width="9" style="3179" customWidth="1"/>
    <col min="12554" max="12555" width="10.625" style="3179" customWidth="1"/>
    <col min="12556" max="12556" width="14.375" style="3179" customWidth="1"/>
    <col min="12557" max="12557" width="6.25" style="3179" customWidth="1"/>
    <col min="12558" max="12558" width="27.75" style="3179" customWidth="1"/>
    <col min="12559" max="12559" width="7.875" style="3179" customWidth="1"/>
    <col min="12560" max="12801" width="9" style="3179"/>
    <col min="12802" max="12802" width="33.125" style="3179" customWidth="1"/>
    <col min="12803" max="12803" width="6.25" style="3179" customWidth="1"/>
    <col min="12804" max="12806" width="13.875" style="3179" customWidth="1"/>
    <col min="12807" max="12807" width="24" style="3179" customWidth="1"/>
    <col min="12808" max="12808" width="7.875" style="3179" customWidth="1"/>
    <col min="12809" max="12809" width="9" style="3179" customWidth="1"/>
    <col min="12810" max="12811" width="10.625" style="3179" customWidth="1"/>
    <col min="12812" max="12812" width="14.375" style="3179" customWidth="1"/>
    <col min="12813" max="12813" width="6.25" style="3179" customWidth="1"/>
    <col min="12814" max="12814" width="27.75" style="3179" customWidth="1"/>
    <col min="12815" max="12815" width="7.875" style="3179" customWidth="1"/>
    <col min="12816" max="13057" width="9" style="3179"/>
    <col min="13058" max="13058" width="33.125" style="3179" customWidth="1"/>
    <col min="13059" max="13059" width="6.25" style="3179" customWidth="1"/>
    <col min="13060" max="13062" width="13.875" style="3179" customWidth="1"/>
    <col min="13063" max="13063" width="24" style="3179" customWidth="1"/>
    <col min="13064" max="13064" width="7.875" style="3179" customWidth="1"/>
    <col min="13065" max="13065" width="9" style="3179" customWidth="1"/>
    <col min="13066" max="13067" width="10.625" style="3179" customWidth="1"/>
    <col min="13068" max="13068" width="14.375" style="3179" customWidth="1"/>
    <col min="13069" max="13069" width="6.25" style="3179" customWidth="1"/>
    <col min="13070" max="13070" width="27.75" style="3179" customWidth="1"/>
    <col min="13071" max="13071" width="7.875" style="3179" customWidth="1"/>
    <col min="13072" max="13313" width="9" style="3179"/>
    <col min="13314" max="13314" width="33.125" style="3179" customWidth="1"/>
    <col min="13315" max="13315" width="6.25" style="3179" customWidth="1"/>
    <col min="13316" max="13318" width="13.875" style="3179" customWidth="1"/>
    <col min="13319" max="13319" width="24" style="3179" customWidth="1"/>
    <col min="13320" max="13320" width="7.875" style="3179" customWidth="1"/>
    <col min="13321" max="13321" width="9" style="3179" customWidth="1"/>
    <col min="13322" max="13323" width="10.625" style="3179" customWidth="1"/>
    <col min="13324" max="13324" width="14.375" style="3179" customWidth="1"/>
    <col min="13325" max="13325" width="6.25" style="3179" customWidth="1"/>
    <col min="13326" max="13326" width="27.75" style="3179" customWidth="1"/>
    <col min="13327" max="13327" width="7.875" style="3179" customWidth="1"/>
    <col min="13328" max="13569" width="9" style="3179"/>
    <col min="13570" max="13570" width="33.125" style="3179" customWidth="1"/>
    <col min="13571" max="13571" width="6.25" style="3179" customWidth="1"/>
    <col min="13572" max="13574" width="13.875" style="3179" customWidth="1"/>
    <col min="13575" max="13575" width="24" style="3179" customWidth="1"/>
    <col min="13576" max="13576" width="7.875" style="3179" customWidth="1"/>
    <col min="13577" max="13577" width="9" style="3179" customWidth="1"/>
    <col min="13578" max="13579" width="10.625" style="3179" customWidth="1"/>
    <col min="13580" max="13580" width="14.375" style="3179" customWidth="1"/>
    <col min="13581" max="13581" width="6.25" style="3179" customWidth="1"/>
    <col min="13582" max="13582" width="27.75" style="3179" customWidth="1"/>
    <col min="13583" max="13583" width="7.875" style="3179" customWidth="1"/>
    <col min="13584" max="13825" width="9" style="3179"/>
    <col min="13826" max="13826" width="33.125" style="3179" customWidth="1"/>
    <col min="13827" max="13827" width="6.25" style="3179" customWidth="1"/>
    <col min="13828" max="13830" width="13.875" style="3179" customWidth="1"/>
    <col min="13831" max="13831" width="24" style="3179" customWidth="1"/>
    <col min="13832" max="13832" width="7.875" style="3179" customWidth="1"/>
    <col min="13833" max="13833" width="9" style="3179" customWidth="1"/>
    <col min="13834" max="13835" width="10.625" style="3179" customWidth="1"/>
    <col min="13836" max="13836" width="14.375" style="3179" customWidth="1"/>
    <col min="13837" max="13837" width="6.25" style="3179" customWidth="1"/>
    <col min="13838" max="13838" width="27.75" style="3179" customWidth="1"/>
    <col min="13839" max="13839" width="7.875" style="3179" customWidth="1"/>
    <col min="13840" max="14081" width="9" style="3179"/>
    <col min="14082" max="14082" width="33.125" style="3179" customWidth="1"/>
    <col min="14083" max="14083" width="6.25" style="3179" customWidth="1"/>
    <col min="14084" max="14086" width="13.875" style="3179" customWidth="1"/>
    <col min="14087" max="14087" width="24" style="3179" customWidth="1"/>
    <col min="14088" max="14088" width="7.875" style="3179" customWidth="1"/>
    <col min="14089" max="14089" width="9" style="3179" customWidth="1"/>
    <col min="14090" max="14091" width="10.625" style="3179" customWidth="1"/>
    <col min="14092" max="14092" width="14.375" style="3179" customWidth="1"/>
    <col min="14093" max="14093" width="6.25" style="3179" customWidth="1"/>
    <col min="14094" max="14094" width="27.75" style="3179" customWidth="1"/>
    <col min="14095" max="14095" width="7.875" style="3179" customWidth="1"/>
    <col min="14096" max="14337" width="9" style="3179"/>
    <col min="14338" max="14338" width="33.125" style="3179" customWidth="1"/>
    <col min="14339" max="14339" width="6.25" style="3179" customWidth="1"/>
    <col min="14340" max="14342" width="13.875" style="3179" customWidth="1"/>
    <col min="14343" max="14343" width="24" style="3179" customWidth="1"/>
    <col min="14344" max="14344" width="7.875" style="3179" customWidth="1"/>
    <col min="14345" max="14345" width="9" style="3179" customWidth="1"/>
    <col min="14346" max="14347" width="10.625" style="3179" customWidth="1"/>
    <col min="14348" max="14348" width="14.375" style="3179" customWidth="1"/>
    <col min="14349" max="14349" width="6.25" style="3179" customWidth="1"/>
    <col min="14350" max="14350" width="27.75" style="3179" customWidth="1"/>
    <col min="14351" max="14351" width="7.875" style="3179" customWidth="1"/>
    <col min="14352" max="14593" width="9" style="3179"/>
    <col min="14594" max="14594" width="33.125" style="3179" customWidth="1"/>
    <col min="14595" max="14595" width="6.25" style="3179" customWidth="1"/>
    <col min="14596" max="14598" width="13.875" style="3179" customWidth="1"/>
    <col min="14599" max="14599" width="24" style="3179" customWidth="1"/>
    <col min="14600" max="14600" width="7.875" style="3179" customWidth="1"/>
    <col min="14601" max="14601" width="9" style="3179" customWidth="1"/>
    <col min="14602" max="14603" width="10.625" style="3179" customWidth="1"/>
    <col min="14604" max="14604" width="14.375" style="3179" customWidth="1"/>
    <col min="14605" max="14605" width="6.25" style="3179" customWidth="1"/>
    <col min="14606" max="14606" width="27.75" style="3179" customWidth="1"/>
    <col min="14607" max="14607" width="7.875" style="3179" customWidth="1"/>
    <col min="14608" max="14849" width="9" style="3179"/>
    <col min="14850" max="14850" width="33.125" style="3179" customWidth="1"/>
    <col min="14851" max="14851" width="6.25" style="3179" customWidth="1"/>
    <col min="14852" max="14854" width="13.875" style="3179" customWidth="1"/>
    <col min="14855" max="14855" width="24" style="3179" customWidth="1"/>
    <col min="14856" max="14856" width="7.875" style="3179" customWidth="1"/>
    <col min="14857" max="14857" width="9" style="3179" customWidth="1"/>
    <col min="14858" max="14859" width="10.625" style="3179" customWidth="1"/>
    <col min="14860" max="14860" width="14.375" style="3179" customWidth="1"/>
    <col min="14861" max="14861" width="6.25" style="3179" customWidth="1"/>
    <col min="14862" max="14862" width="27.75" style="3179" customWidth="1"/>
    <col min="14863" max="14863" width="7.875" style="3179" customWidth="1"/>
    <col min="14864" max="15105" width="9" style="3179"/>
    <col min="15106" max="15106" width="33.125" style="3179" customWidth="1"/>
    <col min="15107" max="15107" width="6.25" style="3179" customWidth="1"/>
    <col min="15108" max="15110" width="13.875" style="3179" customWidth="1"/>
    <col min="15111" max="15111" width="24" style="3179" customWidth="1"/>
    <col min="15112" max="15112" width="7.875" style="3179" customWidth="1"/>
    <col min="15113" max="15113" width="9" style="3179" customWidth="1"/>
    <col min="15114" max="15115" width="10.625" style="3179" customWidth="1"/>
    <col min="15116" max="15116" width="14.375" style="3179" customWidth="1"/>
    <col min="15117" max="15117" width="6.25" style="3179" customWidth="1"/>
    <col min="15118" max="15118" width="27.75" style="3179" customWidth="1"/>
    <col min="15119" max="15119" width="7.875" style="3179" customWidth="1"/>
    <col min="15120" max="15361" width="9" style="3179"/>
    <col min="15362" max="15362" width="33.125" style="3179" customWidth="1"/>
    <col min="15363" max="15363" width="6.25" style="3179" customWidth="1"/>
    <col min="15364" max="15366" width="13.875" style="3179" customWidth="1"/>
    <col min="15367" max="15367" width="24" style="3179" customWidth="1"/>
    <col min="15368" max="15368" width="7.875" style="3179" customWidth="1"/>
    <col min="15369" max="15369" width="9" style="3179" customWidth="1"/>
    <col min="15370" max="15371" width="10.625" style="3179" customWidth="1"/>
    <col min="15372" max="15372" width="14.375" style="3179" customWidth="1"/>
    <col min="15373" max="15373" width="6.25" style="3179" customWidth="1"/>
    <col min="15374" max="15374" width="27.75" style="3179" customWidth="1"/>
    <col min="15375" max="15375" width="7.875" style="3179" customWidth="1"/>
    <col min="15376" max="15617" width="9" style="3179"/>
    <col min="15618" max="15618" width="33.125" style="3179" customWidth="1"/>
    <col min="15619" max="15619" width="6.25" style="3179" customWidth="1"/>
    <col min="15620" max="15622" width="13.875" style="3179" customWidth="1"/>
    <col min="15623" max="15623" width="24" style="3179" customWidth="1"/>
    <col min="15624" max="15624" width="7.875" style="3179" customWidth="1"/>
    <col min="15625" max="15625" width="9" style="3179" customWidth="1"/>
    <col min="15626" max="15627" width="10.625" style="3179" customWidth="1"/>
    <col min="15628" max="15628" width="14.375" style="3179" customWidth="1"/>
    <col min="15629" max="15629" width="6.25" style="3179" customWidth="1"/>
    <col min="15630" max="15630" width="27.75" style="3179" customWidth="1"/>
    <col min="15631" max="15631" width="7.875" style="3179" customWidth="1"/>
    <col min="15632" max="15873" width="9" style="3179"/>
    <col min="15874" max="15874" width="33.125" style="3179" customWidth="1"/>
    <col min="15875" max="15875" width="6.25" style="3179" customWidth="1"/>
    <col min="15876" max="15878" width="13.875" style="3179" customWidth="1"/>
    <col min="15879" max="15879" width="24" style="3179" customWidth="1"/>
    <col min="15880" max="15880" width="7.875" style="3179" customWidth="1"/>
    <col min="15881" max="15881" width="9" style="3179" customWidth="1"/>
    <col min="15882" max="15883" width="10.625" style="3179" customWidth="1"/>
    <col min="15884" max="15884" width="14.375" style="3179" customWidth="1"/>
    <col min="15885" max="15885" width="6.25" style="3179" customWidth="1"/>
    <col min="15886" max="15886" width="27.75" style="3179" customWidth="1"/>
    <col min="15887" max="15887" width="7.875" style="3179" customWidth="1"/>
    <col min="15888" max="16129" width="9" style="3179"/>
    <col min="16130" max="16130" width="33.125" style="3179" customWidth="1"/>
    <col min="16131" max="16131" width="6.25" style="3179" customWidth="1"/>
    <col min="16132" max="16134" width="13.875" style="3179" customWidth="1"/>
    <col min="16135" max="16135" width="24" style="3179" customWidth="1"/>
    <col min="16136" max="16136" width="7.875" style="3179" customWidth="1"/>
    <col min="16137" max="16137" width="9" style="3179" customWidth="1"/>
    <col min="16138" max="16139" width="10.625" style="3179" customWidth="1"/>
    <col min="16140" max="16140" width="14.375" style="3179" customWidth="1"/>
    <col min="16141" max="16141" width="6.25" style="3179" customWidth="1"/>
    <col min="16142" max="16142" width="27.75" style="3179" customWidth="1"/>
    <col min="16143" max="16143" width="7.875" style="3179" customWidth="1"/>
    <col min="16144" max="16384" width="9" style="3179"/>
  </cols>
  <sheetData>
    <row r="1" spans="1:15">
      <c r="A1" s="3179" t="s">
        <v>2996</v>
      </c>
      <c r="B1" s="3179" t="s">
        <v>2997</v>
      </c>
      <c r="C1" s="3179" t="s">
        <v>2998</v>
      </c>
      <c r="D1" s="3179" t="s">
        <v>2999</v>
      </c>
      <c r="E1" s="3179" t="s">
        <v>3000</v>
      </c>
      <c r="F1" s="3179" t="s">
        <v>2033</v>
      </c>
      <c r="G1" s="3179" t="s">
        <v>3001</v>
      </c>
      <c r="H1" s="3179" t="s">
        <v>3002</v>
      </c>
      <c r="I1" s="3179" t="s">
        <v>3003</v>
      </c>
      <c r="J1" s="3179" t="s">
        <v>3004</v>
      </c>
      <c r="K1" s="3179" t="s">
        <v>3005</v>
      </c>
      <c r="L1" s="3179" t="s">
        <v>3183</v>
      </c>
      <c r="M1" s="3179" t="s">
        <v>3006</v>
      </c>
      <c r="N1" s="3179" t="s">
        <v>3007</v>
      </c>
      <c r="O1" s="3179" t="s">
        <v>3008</v>
      </c>
    </row>
    <row r="2" spans="1:15">
      <c r="A2" s="3179" t="s">
        <v>3038</v>
      </c>
      <c r="B2" s="3179" t="s">
        <v>3037</v>
      </c>
      <c r="C2" s="3179" t="s">
        <v>3039</v>
      </c>
      <c r="D2" s="3179">
        <v>5599</v>
      </c>
      <c r="E2" s="3179">
        <v>7278.7</v>
      </c>
      <c r="F2" s="3179" t="s">
        <v>3040</v>
      </c>
      <c r="G2" s="3179" t="s">
        <v>3009</v>
      </c>
      <c r="H2" s="3179" t="s">
        <v>3041</v>
      </c>
      <c r="I2" s="3179">
        <v>6241.5</v>
      </c>
      <c r="J2" s="3179">
        <v>6241.5</v>
      </c>
      <c r="K2" s="3179">
        <v>8575.02</v>
      </c>
      <c r="L2" s="3179">
        <f>ROUND(J2*10000/D2,0)</f>
        <v>11148</v>
      </c>
      <c r="M2" s="3179">
        <v>0</v>
      </c>
      <c r="N2" s="3179" t="s">
        <v>3042</v>
      </c>
      <c r="O2" s="3179" t="s">
        <v>3013</v>
      </c>
    </row>
    <row r="3" spans="1:15" s="3181" customFormat="1">
      <c r="A3" s="3181" t="s">
        <v>3043</v>
      </c>
      <c r="B3" s="3181" t="s">
        <v>3037</v>
      </c>
      <c r="C3" s="3181" t="s">
        <v>3044</v>
      </c>
      <c r="D3" s="3181">
        <v>55810</v>
      </c>
      <c r="E3" s="3181">
        <v>180266.3</v>
      </c>
      <c r="F3" s="3181" t="s">
        <v>3045</v>
      </c>
      <c r="G3" s="3181" t="s">
        <v>3009</v>
      </c>
      <c r="H3" s="3181" t="s">
        <v>3046</v>
      </c>
      <c r="I3" s="3181">
        <v>77400</v>
      </c>
      <c r="J3" s="3181">
        <v>114480</v>
      </c>
      <c r="K3" s="3181">
        <v>6350.6</v>
      </c>
      <c r="L3" s="3181">
        <f t="shared" ref="L3:L51" si="0">ROUND(J3*10000/D3,0)</f>
        <v>20512</v>
      </c>
      <c r="M3" s="3181">
        <v>47.91</v>
      </c>
      <c r="N3" s="3181" t="s">
        <v>3047</v>
      </c>
      <c r="O3" s="3181" t="s">
        <v>3048</v>
      </c>
    </row>
    <row r="4" spans="1:15" s="3180" customFormat="1">
      <c r="A4" s="3180" t="s">
        <v>3049</v>
      </c>
      <c r="B4" s="3180" t="s">
        <v>3037</v>
      </c>
      <c r="C4" s="3180" t="s">
        <v>3039</v>
      </c>
      <c r="D4" s="3180">
        <v>112889</v>
      </c>
      <c r="E4" s="3180">
        <v>248355.8</v>
      </c>
      <c r="F4" s="3180" t="s">
        <v>3050</v>
      </c>
      <c r="G4" s="3180" t="s">
        <v>3009</v>
      </c>
      <c r="H4" s="3180" t="s">
        <v>3046</v>
      </c>
      <c r="I4" s="3180">
        <v>131652</v>
      </c>
      <c r="J4" s="3180">
        <v>156988.79</v>
      </c>
      <c r="K4" s="3180">
        <v>6321.11</v>
      </c>
      <c r="L4" s="3180">
        <f t="shared" si="0"/>
        <v>13906</v>
      </c>
      <c r="M4" s="3180">
        <v>19.25</v>
      </c>
      <c r="N4" s="3180" t="s">
        <v>3051</v>
      </c>
      <c r="O4" s="3180" t="s">
        <v>3013</v>
      </c>
    </row>
    <row r="5" spans="1:15" s="3180" customFormat="1">
      <c r="A5" s="3180" t="s">
        <v>3052</v>
      </c>
      <c r="B5" s="3180" t="s">
        <v>3037</v>
      </c>
      <c r="C5" s="3180" t="s">
        <v>3039</v>
      </c>
      <c r="D5" s="3180">
        <v>97866</v>
      </c>
      <c r="E5" s="3180">
        <v>244665</v>
      </c>
      <c r="F5" s="3180" t="s">
        <v>3053</v>
      </c>
      <c r="G5" s="3180" t="s">
        <v>3009</v>
      </c>
      <c r="H5" s="3180" t="s">
        <v>3046</v>
      </c>
      <c r="I5" s="3180">
        <v>122375</v>
      </c>
      <c r="J5" s="3180">
        <v>156640</v>
      </c>
      <c r="K5" s="3180">
        <v>6402.22</v>
      </c>
      <c r="L5" s="3180">
        <f t="shared" si="0"/>
        <v>16006</v>
      </c>
      <c r="M5" s="3180">
        <v>28</v>
      </c>
      <c r="N5" s="3180" t="s">
        <v>3054</v>
      </c>
      <c r="O5" s="3180" t="s">
        <v>3013</v>
      </c>
    </row>
    <row r="6" spans="1:15">
      <c r="A6" s="3179" t="s">
        <v>3057</v>
      </c>
      <c r="B6" s="3179" t="s">
        <v>3037</v>
      </c>
      <c r="C6" s="3179" t="s">
        <v>3039</v>
      </c>
      <c r="D6" s="3179">
        <v>111717</v>
      </c>
      <c r="E6" s="3179">
        <v>206676.5</v>
      </c>
      <c r="F6" s="3179" t="s">
        <v>3058</v>
      </c>
      <c r="G6" s="3179" t="s">
        <v>3009</v>
      </c>
      <c r="H6" s="3179" t="s">
        <v>3055</v>
      </c>
      <c r="I6" s="3179">
        <v>13800</v>
      </c>
      <c r="J6" s="3179">
        <v>14000</v>
      </c>
      <c r="K6" s="3179">
        <v>677.38</v>
      </c>
      <c r="L6" s="3179">
        <f t="shared" si="0"/>
        <v>1253</v>
      </c>
      <c r="M6" s="3179">
        <v>1.45</v>
      </c>
      <c r="N6" s="3179" t="s">
        <v>3059</v>
      </c>
      <c r="O6" s="3179" t="s">
        <v>3060</v>
      </c>
    </row>
    <row r="7" spans="1:15">
      <c r="A7" s="3179" t="s">
        <v>3061</v>
      </c>
      <c r="B7" s="3179" t="s">
        <v>3037</v>
      </c>
      <c r="C7" s="3179" t="s">
        <v>3039</v>
      </c>
      <c r="D7" s="3179">
        <v>121940</v>
      </c>
      <c r="E7" s="3179">
        <v>158522</v>
      </c>
      <c r="F7" s="3179" t="s">
        <v>3040</v>
      </c>
      <c r="G7" s="3179" t="s">
        <v>3009</v>
      </c>
      <c r="H7" s="3179" t="s">
        <v>3062</v>
      </c>
      <c r="I7" s="3179">
        <v>103090</v>
      </c>
      <c r="J7" s="3179">
        <v>104358.8</v>
      </c>
      <c r="K7" s="3179">
        <v>6583.23</v>
      </c>
      <c r="L7" s="3179">
        <f t="shared" si="0"/>
        <v>8558</v>
      </c>
      <c r="M7" s="3179">
        <v>1.23</v>
      </c>
      <c r="N7" s="3179" t="s">
        <v>3054</v>
      </c>
      <c r="O7" s="3179" t="s">
        <v>3013</v>
      </c>
    </row>
    <row r="8" spans="1:15" s="3180" customFormat="1">
      <c r="A8" s="3180" t="s">
        <v>3063</v>
      </c>
      <c r="B8" s="3180" t="s">
        <v>3037</v>
      </c>
      <c r="C8" s="3180" t="s">
        <v>3039</v>
      </c>
      <c r="D8" s="3180">
        <v>105088</v>
      </c>
      <c r="E8" s="3180">
        <v>136614.39999999999</v>
      </c>
      <c r="F8" s="3180" t="s">
        <v>3040</v>
      </c>
      <c r="G8" s="3180" t="s">
        <v>3009</v>
      </c>
      <c r="H8" s="3180" t="s">
        <v>3062</v>
      </c>
      <c r="I8" s="3180">
        <v>88790</v>
      </c>
      <c r="J8" s="3180">
        <v>90429.19</v>
      </c>
      <c r="K8" s="3180">
        <v>6619.3</v>
      </c>
      <c r="L8" s="3180">
        <f t="shared" si="0"/>
        <v>8605</v>
      </c>
      <c r="M8" s="3180">
        <v>1.85</v>
      </c>
      <c r="N8" s="3180" t="s">
        <v>3064</v>
      </c>
      <c r="O8" s="3180" t="s">
        <v>3013</v>
      </c>
    </row>
    <row r="9" spans="1:15">
      <c r="A9" s="3179" t="s">
        <v>3065</v>
      </c>
      <c r="B9" s="3179" t="s">
        <v>3037</v>
      </c>
      <c r="C9" s="3179" t="s">
        <v>3039</v>
      </c>
      <c r="D9" s="3179">
        <v>35069</v>
      </c>
      <c r="E9" s="3179">
        <v>112220.8</v>
      </c>
      <c r="F9" s="3179" t="s">
        <v>3066</v>
      </c>
      <c r="G9" s="3179" t="s">
        <v>3009</v>
      </c>
      <c r="H9" s="3179" t="s">
        <v>3062</v>
      </c>
      <c r="I9" s="3179">
        <v>53760</v>
      </c>
      <c r="J9" s="3179">
        <v>94976</v>
      </c>
      <c r="K9" s="3179">
        <v>8463.31</v>
      </c>
      <c r="L9" s="3179">
        <f t="shared" si="0"/>
        <v>27083</v>
      </c>
      <c r="M9" s="3179">
        <v>76.67</v>
      </c>
      <c r="N9" s="3179" t="s">
        <v>3067</v>
      </c>
      <c r="O9" s="3179" t="s">
        <v>3048</v>
      </c>
    </row>
    <row r="10" spans="1:15">
      <c r="A10" s="3179" t="s">
        <v>3069</v>
      </c>
      <c r="B10" s="3179" t="s">
        <v>3037</v>
      </c>
      <c r="C10" s="3179" t="s">
        <v>3039</v>
      </c>
      <c r="D10" s="3179">
        <v>3901</v>
      </c>
      <c r="E10" s="3179">
        <v>4096.05</v>
      </c>
      <c r="F10" s="3179" t="s">
        <v>3070</v>
      </c>
      <c r="G10" s="3179" t="s">
        <v>3009</v>
      </c>
      <c r="H10" s="3179" t="s">
        <v>3068</v>
      </c>
      <c r="I10" s="3179">
        <v>3500</v>
      </c>
      <c r="J10" s="3179">
        <v>3500</v>
      </c>
      <c r="K10" s="3179">
        <v>8544.81</v>
      </c>
      <c r="L10" s="3179">
        <f t="shared" si="0"/>
        <v>8972</v>
      </c>
      <c r="M10" s="3179">
        <v>0</v>
      </c>
      <c r="N10" s="3179" t="s">
        <v>3071</v>
      </c>
      <c r="O10" s="3179" t="s">
        <v>3048</v>
      </c>
    </row>
    <row r="11" spans="1:15">
      <c r="A11" s="3179" t="s">
        <v>3072</v>
      </c>
      <c r="B11" s="3179" t="s">
        <v>3037</v>
      </c>
      <c r="C11" s="3179" t="s">
        <v>3039</v>
      </c>
      <c r="D11" s="3179">
        <v>14763</v>
      </c>
      <c r="E11" s="3179">
        <v>48717.9</v>
      </c>
      <c r="F11" s="3179" t="s">
        <v>3073</v>
      </c>
      <c r="G11" s="3179" t="s">
        <v>3009</v>
      </c>
      <c r="H11" s="3179" t="s">
        <v>3068</v>
      </c>
      <c r="I11" s="3179">
        <v>6190</v>
      </c>
      <c r="J11" s="3179">
        <v>6190</v>
      </c>
      <c r="K11" s="3179">
        <v>1270.57</v>
      </c>
      <c r="L11" s="3179">
        <f t="shared" si="0"/>
        <v>4193</v>
      </c>
      <c r="M11" s="3179">
        <v>0</v>
      </c>
      <c r="N11" s="3179" t="s">
        <v>3074</v>
      </c>
      <c r="O11" s="3179" t="s">
        <v>3048</v>
      </c>
    </row>
    <row r="12" spans="1:15">
      <c r="A12" s="3179" t="s">
        <v>3075</v>
      </c>
      <c r="B12" s="3179" t="s">
        <v>3037</v>
      </c>
      <c r="C12" s="3179" t="s">
        <v>3039</v>
      </c>
      <c r="D12" s="3179">
        <v>38615</v>
      </c>
      <c r="E12" s="3179">
        <v>94606.75</v>
      </c>
      <c r="F12" s="3179" t="s">
        <v>3076</v>
      </c>
      <c r="G12" s="3179" t="s">
        <v>3009</v>
      </c>
      <c r="H12" s="3179" t="s">
        <v>3068</v>
      </c>
      <c r="I12" s="3179">
        <v>16000</v>
      </c>
      <c r="J12" s="3179">
        <v>16000</v>
      </c>
      <c r="K12" s="3179">
        <v>1691.21</v>
      </c>
      <c r="L12" s="3179">
        <f t="shared" si="0"/>
        <v>4143</v>
      </c>
      <c r="M12" s="3179">
        <v>0</v>
      </c>
      <c r="N12" s="3179" t="s">
        <v>3074</v>
      </c>
      <c r="O12" s="3179" t="s">
        <v>3048</v>
      </c>
    </row>
    <row r="13" spans="1:15">
      <c r="A13" s="3179" t="s">
        <v>3077</v>
      </c>
      <c r="B13" s="3179" t="s">
        <v>3037</v>
      </c>
      <c r="C13" s="3179" t="s">
        <v>3039</v>
      </c>
      <c r="D13" s="3179">
        <v>27200</v>
      </c>
      <c r="E13" s="3179">
        <v>95200</v>
      </c>
      <c r="F13" s="3179" t="s">
        <v>3056</v>
      </c>
      <c r="G13" s="3179" t="s">
        <v>3009</v>
      </c>
      <c r="H13" s="3179" t="s">
        <v>3068</v>
      </c>
      <c r="I13" s="3179">
        <v>10600</v>
      </c>
      <c r="J13" s="3179">
        <v>10600</v>
      </c>
      <c r="K13" s="3179">
        <v>1113.45</v>
      </c>
      <c r="L13" s="3179">
        <f t="shared" si="0"/>
        <v>3897</v>
      </c>
      <c r="M13" s="3179">
        <v>0</v>
      </c>
      <c r="N13" s="3179" t="s">
        <v>3074</v>
      </c>
      <c r="O13" s="3179" t="s">
        <v>3048</v>
      </c>
    </row>
    <row r="14" spans="1:15">
      <c r="A14" s="3179" t="s">
        <v>3078</v>
      </c>
      <c r="B14" s="3179" t="s">
        <v>3037</v>
      </c>
      <c r="C14" s="3179" t="s">
        <v>3039</v>
      </c>
      <c r="D14" s="3179">
        <v>4962</v>
      </c>
      <c r="E14" s="3179">
        <v>7939.2</v>
      </c>
      <c r="F14" s="3179" t="s">
        <v>3079</v>
      </c>
      <c r="G14" s="3179" t="s">
        <v>3009</v>
      </c>
      <c r="H14" s="3179" t="s">
        <v>3068</v>
      </c>
      <c r="I14" s="3179">
        <v>900</v>
      </c>
      <c r="J14" s="3179">
        <v>900</v>
      </c>
      <c r="K14" s="3179">
        <v>1133.6099999999999</v>
      </c>
      <c r="L14" s="3179">
        <f t="shared" si="0"/>
        <v>1814</v>
      </c>
      <c r="M14" s="3179">
        <v>0</v>
      </c>
      <c r="N14" s="3179" t="s">
        <v>3080</v>
      </c>
      <c r="O14" s="3179" t="s">
        <v>3048</v>
      </c>
    </row>
    <row r="15" spans="1:15">
      <c r="A15" s="3179" t="s">
        <v>3081</v>
      </c>
      <c r="B15" s="3179" t="s">
        <v>3037</v>
      </c>
      <c r="C15" s="3179" t="s">
        <v>3039</v>
      </c>
      <c r="D15" s="3179">
        <v>162780</v>
      </c>
      <c r="E15" s="3179">
        <v>266959.2</v>
      </c>
      <c r="F15" s="3179" t="s">
        <v>3082</v>
      </c>
      <c r="G15" s="3179" t="s">
        <v>3083</v>
      </c>
      <c r="H15" s="3179" t="s">
        <v>3012</v>
      </c>
      <c r="I15" s="3179">
        <v>120105</v>
      </c>
      <c r="J15" s="3179">
        <v>252220.5</v>
      </c>
      <c r="K15" s="3179">
        <v>9447.89</v>
      </c>
      <c r="L15" s="3179">
        <f t="shared" si="0"/>
        <v>15495</v>
      </c>
      <c r="M15" s="3179">
        <v>110</v>
      </c>
      <c r="N15" s="3179" t="s">
        <v>3084</v>
      </c>
      <c r="O15" s="3179" t="s">
        <v>3048</v>
      </c>
    </row>
    <row r="16" spans="1:15">
      <c r="A16" s="3179" t="s">
        <v>3085</v>
      </c>
      <c r="B16" s="3179" t="s">
        <v>3037</v>
      </c>
      <c r="C16" s="3179" t="s">
        <v>3039</v>
      </c>
      <c r="D16" s="3179">
        <v>75795</v>
      </c>
      <c r="E16" s="3179">
        <v>128851.5</v>
      </c>
      <c r="F16" s="3179" t="s">
        <v>3086</v>
      </c>
      <c r="G16" s="3179" t="s">
        <v>3083</v>
      </c>
      <c r="H16" s="3179" t="s">
        <v>3012</v>
      </c>
      <c r="I16" s="3179">
        <v>40334</v>
      </c>
      <c r="J16" s="3179">
        <v>100510.8</v>
      </c>
      <c r="K16" s="3179">
        <v>7800.51</v>
      </c>
      <c r="L16" s="3179">
        <f t="shared" si="0"/>
        <v>13261</v>
      </c>
      <c r="M16" s="3179">
        <v>149.19999999999999</v>
      </c>
      <c r="N16" s="3179" t="s">
        <v>3087</v>
      </c>
      <c r="O16" s="3179" t="s">
        <v>3048</v>
      </c>
    </row>
    <row r="17" spans="1:15">
      <c r="A17" s="3179" t="s">
        <v>3088</v>
      </c>
      <c r="B17" s="3179" t="s">
        <v>3037</v>
      </c>
      <c r="C17" s="3179" t="s">
        <v>3039</v>
      </c>
      <c r="D17" s="3179">
        <v>148955</v>
      </c>
      <c r="E17" s="3179">
        <v>275566.8</v>
      </c>
      <c r="F17" s="3179" t="s">
        <v>3058</v>
      </c>
      <c r="G17" s="3179" t="s">
        <v>3083</v>
      </c>
      <c r="H17" s="3179" t="s">
        <v>3012</v>
      </c>
      <c r="I17" s="3179">
        <v>123975</v>
      </c>
      <c r="J17" s="3179">
        <v>233899.5</v>
      </c>
      <c r="K17" s="3179">
        <v>8487.94</v>
      </c>
      <c r="L17" s="3179">
        <f t="shared" si="0"/>
        <v>15703</v>
      </c>
      <c r="M17" s="3179">
        <v>88.67</v>
      </c>
      <c r="N17" s="3179" t="s">
        <v>3089</v>
      </c>
      <c r="O17" s="3179" t="s">
        <v>3048</v>
      </c>
    </row>
    <row r="18" spans="1:15">
      <c r="A18" s="3179" t="s">
        <v>3091</v>
      </c>
      <c r="B18" s="3179" t="s">
        <v>3037</v>
      </c>
      <c r="C18" s="3179" t="s">
        <v>3044</v>
      </c>
      <c r="D18" s="3179">
        <v>2586</v>
      </c>
      <c r="E18" s="3179">
        <v>14223</v>
      </c>
      <c r="F18" s="3179" t="s">
        <v>3092</v>
      </c>
      <c r="G18" s="3179" t="s">
        <v>3009</v>
      </c>
      <c r="H18" s="3179" t="s">
        <v>3090</v>
      </c>
      <c r="I18" s="3179">
        <v>3000</v>
      </c>
      <c r="J18" s="3179">
        <v>3000</v>
      </c>
      <c r="K18" s="3179">
        <v>2109.2600000000002</v>
      </c>
      <c r="L18" s="3179">
        <f t="shared" si="0"/>
        <v>11601</v>
      </c>
      <c r="M18" s="3179">
        <v>0</v>
      </c>
      <c r="N18" s="3179" t="s">
        <v>3093</v>
      </c>
      <c r="O18" s="3179" t="s">
        <v>3048</v>
      </c>
    </row>
    <row r="19" spans="1:15">
      <c r="A19" s="3179" t="s">
        <v>3095</v>
      </c>
      <c r="B19" s="3179" t="s">
        <v>3037</v>
      </c>
      <c r="C19" s="3179" t="s">
        <v>3044</v>
      </c>
      <c r="D19" s="3179">
        <v>121472</v>
      </c>
      <c r="E19" s="3179">
        <v>303680</v>
      </c>
      <c r="F19" s="3179" t="s">
        <v>3053</v>
      </c>
      <c r="G19" s="3179" t="s">
        <v>3009</v>
      </c>
      <c r="H19" s="3179" t="s">
        <v>3094</v>
      </c>
      <c r="I19" s="3179">
        <v>55000</v>
      </c>
      <c r="J19" s="3179">
        <v>55000</v>
      </c>
      <c r="K19" s="3179">
        <v>1811.11</v>
      </c>
      <c r="L19" s="3179">
        <f t="shared" si="0"/>
        <v>4528</v>
      </c>
      <c r="M19" s="3179">
        <v>0</v>
      </c>
      <c r="N19" s="3179" t="s">
        <v>3096</v>
      </c>
      <c r="O19" s="3179" t="s">
        <v>3048</v>
      </c>
    </row>
    <row r="20" spans="1:15">
      <c r="A20" s="3179" t="s">
        <v>3098</v>
      </c>
      <c r="B20" s="3179" t="s">
        <v>3037</v>
      </c>
      <c r="C20" s="3179" t="s">
        <v>3044</v>
      </c>
      <c r="D20" s="3179">
        <v>34209</v>
      </c>
      <c r="E20" s="3179">
        <v>92364.3</v>
      </c>
      <c r="F20" s="3179" t="s">
        <v>3099</v>
      </c>
      <c r="G20" s="3179" t="s">
        <v>3009</v>
      </c>
      <c r="H20" s="3179" t="s">
        <v>3097</v>
      </c>
      <c r="I20" s="3179">
        <v>23000</v>
      </c>
      <c r="J20" s="3179">
        <v>23000</v>
      </c>
      <c r="K20" s="3179">
        <v>2490.13</v>
      </c>
      <c r="L20" s="3179">
        <f t="shared" si="0"/>
        <v>6723</v>
      </c>
      <c r="M20" s="3179">
        <v>0</v>
      </c>
      <c r="N20" s="3179" t="s">
        <v>3093</v>
      </c>
      <c r="O20" s="3179" t="s">
        <v>3048</v>
      </c>
    </row>
    <row r="21" spans="1:15">
      <c r="A21" s="3179" t="s">
        <v>3101</v>
      </c>
      <c r="B21" s="3179" t="s">
        <v>3037</v>
      </c>
      <c r="C21" s="3179" t="s">
        <v>3039</v>
      </c>
      <c r="D21" s="3179">
        <v>10512</v>
      </c>
      <c r="E21" s="3179">
        <v>11563.2</v>
      </c>
      <c r="F21" s="3179">
        <v>1.1000000000000001</v>
      </c>
      <c r="G21" s="3179" t="s">
        <v>3009</v>
      </c>
      <c r="H21" s="3179" t="s">
        <v>3102</v>
      </c>
      <c r="I21" s="3179">
        <v>2600</v>
      </c>
      <c r="J21" s="3179">
        <v>2600</v>
      </c>
      <c r="K21" s="3179">
        <v>2248.5100000000002</v>
      </c>
      <c r="L21" s="3179">
        <f t="shared" si="0"/>
        <v>2473</v>
      </c>
      <c r="M21" s="3179">
        <v>0</v>
      </c>
      <c r="N21" s="3179" t="s">
        <v>3080</v>
      </c>
      <c r="O21" s="3179" t="s">
        <v>3048</v>
      </c>
    </row>
    <row r="22" spans="1:15">
      <c r="A22" s="3179" t="s">
        <v>3103</v>
      </c>
      <c r="B22" s="3179" t="s">
        <v>3037</v>
      </c>
      <c r="C22" s="3179" t="s">
        <v>3044</v>
      </c>
      <c r="D22" s="3179">
        <v>20898</v>
      </c>
      <c r="E22" s="3179">
        <v>71053.2</v>
      </c>
      <c r="F22" s="3179">
        <v>3.4</v>
      </c>
      <c r="G22" s="3179" t="s">
        <v>3009</v>
      </c>
      <c r="H22" s="3179" t="s">
        <v>3102</v>
      </c>
      <c r="I22" s="3179">
        <v>10300</v>
      </c>
      <c r="J22" s="3179">
        <v>10300</v>
      </c>
      <c r="K22" s="3179">
        <v>1449.61</v>
      </c>
      <c r="L22" s="3179">
        <f t="shared" si="0"/>
        <v>4929</v>
      </c>
      <c r="M22" s="3179">
        <v>0</v>
      </c>
      <c r="N22" s="3179" t="s">
        <v>3104</v>
      </c>
      <c r="O22" s="3179" t="s">
        <v>3060</v>
      </c>
    </row>
    <row r="23" spans="1:15">
      <c r="A23" s="3179" t="s">
        <v>3105</v>
      </c>
      <c r="B23" s="3179" t="s">
        <v>3037</v>
      </c>
      <c r="C23" s="3179" t="s">
        <v>3044</v>
      </c>
      <c r="D23" s="3179">
        <v>77456</v>
      </c>
      <c r="E23" s="3179">
        <v>240113.6</v>
      </c>
      <c r="F23" s="3179">
        <v>3.1</v>
      </c>
      <c r="G23" s="3179" t="s">
        <v>3009</v>
      </c>
      <c r="H23" s="3179" t="s">
        <v>3102</v>
      </c>
      <c r="I23" s="3179">
        <v>11700</v>
      </c>
      <c r="J23" s="3179">
        <v>11700</v>
      </c>
      <c r="K23" s="3179">
        <v>487.26</v>
      </c>
      <c r="L23" s="3179">
        <f t="shared" si="0"/>
        <v>1511</v>
      </c>
      <c r="M23" s="3179">
        <v>0</v>
      </c>
      <c r="N23" s="3179" t="s">
        <v>3106</v>
      </c>
      <c r="O23" s="3179" t="s">
        <v>3013</v>
      </c>
    </row>
    <row r="24" spans="1:15">
      <c r="A24" s="3179" t="s">
        <v>3107</v>
      </c>
      <c r="B24" s="3179" t="s">
        <v>3037</v>
      </c>
      <c r="C24" s="3179" t="s">
        <v>3044</v>
      </c>
      <c r="D24" s="3179">
        <v>70425</v>
      </c>
      <c r="E24" s="3179">
        <v>186626.25</v>
      </c>
      <c r="F24" s="3179">
        <v>2.65</v>
      </c>
      <c r="G24" s="3179" t="s">
        <v>3009</v>
      </c>
      <c r="H24" s="3179" t="s">
        <v>3102</v>
      </c>
      <c r="I24" s="3179">
        <v>28900</v>
      </c>
      <c r="J24" s="3179">
        <v>28900</v>
      </c>
      <c r="K24" s="3179">
        <v>1548.54</v>
      </c>
      <c r="L24" s="3179">
        <f t="shared" si="0"/>
        <v>4104</v>
      </c>
      <c r="M24" s="3179">
        <v>0</v>
      </c>
      <c r="N24" s="3179" t="s">
        <v>3108</v>
      </c>
      <c r="O24" s="3179" t="s">
        <v>3048</v>
      </c>
    </row>
    <row r="25" spans="1:15">
      <c r="A25" s="3179" t="s">
        <v>3109</v>
      </c>
      <c r="B25" s="3179" t="s">
        <v>3037</v>
      </c>
      <c r="C25" s="3179" t="s">
        <v>3039</v>
      </c>
      <c r="D25" s="3179">
        <v>69045</v>
      </c>
      <c r="E25" s="3179">
        <v>79401.75</v>
      </c>
      <c r="F25" s="3179" t="s">
        <v>3110</v>
      </c>
      <c r="G25" s="3179" t="s">
        <v>3009</v>
      </c>
      <c r="H25" s="3179" t="s">
        <v>3111</v>
      </c>
      <c r="I25" s="3179">
        <v>24600</v>
      </c>
      <c r="J25" s="3179">
        <v>24600</v>
      </c>
      <c r="K25" s="3179">
        <v>3098.17</v>
      </c>
      <c r="L25" s="3179">
        <f t="shared" si="0"/>
        <v>3563</v>
      </c>
      <c r="M25" s="3179">
        <v>0</v>
      </c>
      <c r="N25" s="3179" t="s">
        <v>3112</v>
      </c>
      <c r="O25" s="3179" t="s">
        <v>3060</v>
      </c>
    </row>
    <row r="26" spans="1:15">
      <c r="A26" s="3179" t="s">
        <v>3113</v>
      </c>
      <c r="B26" s="3179" t="s">
        <v>3037</v>
      </c>
      <c r="C26" s="3179" t="s">
        <v>3039</v>
      </c>
      <c r="D26" s="3179">
        <v>27826</v>
      </c>
      <c r="E26" s="3179">
        <v>80695.399999999994</v>
      </c>
      <c r="F26" s="3179" t="s">
        <v>3114</v>
      </c>
      <c r="G26" s="3179" t="s">
        <v>3009</v>
      </c>
      <c r="H26" s="3179" t="s">
        <v>3111</v>
      </c>
      <c r="I26" s="3179">
        <v>24500</v>
      </c>
      <c r="J26" s="3179">
        <v>24500</v>
      </c>
      <c r="K26" s="3179">
        <v>3036.11</v>
      </c>
      <c r="L26" s="3179">
        <f t="shared" si="0"/>
        <v>8805</v>
      </c>
      <c r="M26" s="3179">
        <v>0</v>
      </c>
      <c r="N26" s="3179" t="s">
        <v>3112</v>
      </c>
      <c r="O26" s="3179" t="s">
        <v>3048</v>
      </c>
    </row>
    <row r="27" spans="1:15">
      <c r="A27" s="3179" t="s">
        <v>3115</v>
      </c>
      <c r="B27" s="3179" t="s">
        <v>3037</v>
      </c>
      <c r="C27" s="3179" t="s">
        <v>3039</v>
      </c>
      <c r="D27" s="3179">
        <v>41747</v>
      </c>
      <c r="E27" s="3179">
        <v>96018.1</v>
      </c>
      <c r="F27" s="3179" t="s">
        <v>3116</v>
      </c>
      <c r="G27" s="3179" t="s">
        <v>3009</v>
      </c>
      <c r="H27" s="3179" t="s">
        <v>3111</v>
      </c>
      <c r="I27" s="3179">
        <v>18000</v>
      </c>
      <c r="J27" s="3179">
        <v>18000</v>
      </c>
      <c r="K27" s="3179">
        <v>1874.65</v>
      </c>
      <c r="L27" s="3179">
        <f t="shared" si="0"/>
        <v>4312</v>
      </c>
      <c r="M27" s="3179">
        <v>0</v>
      </c>
      <c r="N27" s="3179" t="s">
        <v>3117</v>
      </c>
      <c r="O27" s="3179" t="s">
        <v>3060</v>
      </c>
    </row>
    <row r="28" spans="1:15">
      <c r="A28" s="3179" t="s">
        <v>3118</v>
      </c>
      <c r="B28" s="3179" t="s">
        <v>3037</v>
      </c>
      <c r="C28" s="3179" t="s">
        <v>3044</v>
      </c>
      <c r="D28" s="3179">
        <v>50643</v>
      </c>
      <c r="E28" s="3179">
        <v>177250.5</v>
      </c>
      <c r="F28" s="3179" t="s">
        <v>3011</v>
      </c>
      <c r="G28" s="3179" t="s">
        <v>3009</v>
      </c>
      <c r="H28" s="3179" t="s">
        <v>3119</v>
      </c>
      <c r="I28" s="3179">
        <v>15600</v>
      </c>
      <c r="J28" s="3179">
        <v>15600</v>
      </c>
      <c r="K28" s="3179">
        <v>880.11</v>
      </c>
      <c r="L28" s="3179">
        <f t="shared" si="0"/>
        <v>3080</v>
      </c>
      <c r="M28" s="3179">
        <v>0</v>
      </c>
      <c r="N28" s="3179" t="s">
        <v>3100</v>
      </c>
      <c r="O28" s="3179" t="s">
        <v>3048</v>
      </c>
    </row>
    <row r="29" spans="1:15">
      <c r="A29" s="3179" t="s">
        <v>3120</v>
      </c>
      <c r="B29" s="3179" t="s">
        <v>3037</v>
      </c>
      <c r="C29" s="3179" t="s">
        <v>3039</v>
      </c>
      <c r="D29" s="3179">
        <v>30495</v>
      </c>
      <c r="E29" s="3179">
        <v>43607.85</v>
      </c>
      <c r="F29" s="3179" t="s">
        <v>3121</v>
      </c>
      <c r="G29" s="3179" t="s">
        <v>3009</v>
      </c>
      <c r="H29" s="3179" t="s">
        <v>3122</v>
      </c>
      <c r="I29" s="3179">
        <v>2400</v>
      </c>
      <c r="J29" s="3179">
        <v>2400</v>
      </c>
      <c r="K29" s="3179">
        <v>550.36</v>
      </c>
      <c r="L29" s="3179">
        <f t="shared" si="0"/>
        <v>787</v>
      </c>
      <c r="M29" s="3179">
        <v>0</v>
      </c>
      <c r="N29" s="3179" t="s">
        <v>3100</v>
      </c>
      <c r="O29" s="3179" t="s">
        <v>3060</v>
      </c>
    </row>
    <row r="30" spans="1:15">
      <c r="A30" s="3179" t="s">
        <v>3123</v>
      </c>
      <c r="B30" s="3179" t="s">
        <v>3037</v>
      </c>
      <c r="C30" s="3179" t="s">
        <v>3044</v>
      </c>
      <c r="D30" s="3179">
        <v>35756</v>
      </c>
      <c r="E30" s="3179">
        <v>114419.2</v>
      </c>
      <c r="F30" s="3179">
        <v>3.2</v>
      </c>
      <c r="G30" s="3179" t="s">
        <v>3009</v>
      </c>
      <c r="H30" s="3179" t="s">
        <v>3124</v>
      </c>
      <c r="I30" s="3179">
        <v>33000</v>
      </c>
      <c r="J30" s="3179">
        <v>33000</v>
      </c>
      <c r="K30" s="3179">
        <v>2884.13</v>
      </c>
      <c r="L30" s="3179">
        <f t="shared" si="0"/>
        <v>9229</v>
      </c>
      <c r="M30" s="3179">
        <v>0</v>
      </c>
      <c r="N30" s="3179" t="s">
        <v>3074</v>
      </c>
      <c r="O30" s="3179" t="s">
        <v>3048</v>
      </c>
    </row>
    <row r="31" spans="1:15">
      <c r="A31" s="3179" t="s">
        <v>3125</v>
      </c>
      <c r="B31" s="3179" t="s">
        <v>3037</v>
      </c>
      <c r="C31" s="3179" t="s">
        <v>3044</v>
      </c>
      <c r="D31" s="3179">
        <v>102260</v>
      </c>
      <c r="E31" s="3179">
        <v>286328</v>
      </c>
      <c r="F31" s="3179">
        <v>2.8</v>
      </c>
      <c r="G31" s="3179" t="s">
        <v>3009</v>
      </c>
      <c r="H31" s="3179" t="s">
        <v>3124</v>
      </c>
      <c r="I31" s="3179">
        <v>58300</v>
      </c>
      <c r="J31" s="3179">
        <v>58300</v>
      </c>
      <c r="K31" s="3179">
        <v>2036.13</v>
      </c>
      <c r="L31" s="3179">
        <f t="shared" si="0"/>
        <v>5701</v>
      </c>
      <c r="M31" s="3179">
        <v>0</v>
      </c>
      <c r="N31" s="3179" t="s">
        <v>3096</v>
      </c>
      <c r="O31" s="3179" t="s">
        <v>3013</v>
      </c>
    </row>
    <row r="32" spans="1:15">
      <c r="A32" s="3179" t="s">
        <v>3126</v>
      </c>
      <c r="B32" s="3179" t="s">
        <v>3037</v>
      </c>
      <c r="C32" s="3179" t="s">
        <v>3044</v>
      </c>
      <c r="D32" s="3179">
        <v>9539</v>
      </c>
      <c r="E32" s="3179">
        <v>33386.5</v>
      </c>
      <c r="F32" s="3179">
        <v>3.5</v>
      </c>
      <c r="G32" s="3179" t="s">
        <v>3009</v>
      </c>
      <c r="H32" s="3179" t="s">
        <v>3124</v>
      </c>
      <c r="I32" s="3179">
        <v>6866</v>
      </c>
      <c r="J32" s="3179">
        <v>6866</v>
      </c>
      <c r="K32" s="3179">
        <v>2056.5100000000002</v>
      </c>
      <c r="L32" s="3179">
        <f t="shared" si="0"/>
        <v>7198</v>
      </c>
      <c r="M32" s="3179">
        <v>0</v>
      </c>
      <c r="N32" s="3179" t="s">
        <v>3127</v>
      </c>
      <c r="O32" s="3179" t="s">
        <v>3048</v>
      </c>
    </row>
    <row r="33" spans="1:15">
      <c r="A33" s="3179" t="s">
        <v>3128</v>
      </c>
      <c r="B33" s="3179" t="s">
        <v>3037</v>
      </c>
      <c r="C33" s="3179" t="s">
        <v>3044</v>
      </c>
      <c r="D33" s="3179">
        <v>61924</v>
      </c>
      <c r="E33" s="3179">
        <v>123848</v>
      </c>
      <c r="F33" s="3179">
        <v>2</v>
      </c>
      <c r="G33" s="3179" t="s">
        <v>3009</v>
      </c>
      <c r="H33" s="3179" t="s">
        <v>3124</v>
      </c>
      <c r="I33" s="3179">
        <v>21300</v>
      </c>
      <c r="J33" s="3179">
        <v>21300</v>
      </c>
      <c r="K33" s="3179">
        <v>1719.84</v>
      </c>
      <c r="L33" s="3179">
        <f t="shared" si="0"/>
        <v>3440</v>
      </c>
      <c r="M33" s="3179">
        <v>0</v>
      </c>
      <c r="N33" s="3179" t="s">
        <v>3129</v>
      </c>
      <c r="O33" s="3179" t="s">
        <v>3060</v>
      </c>
    </row>
    <row r="34" spans="1:15">
      <c r="A34" s="3179" t="s">
        <v>3130</v>
      </c>
      <c r="B34" s="3179" t="s">
        <v>3037</v>
      </c>
      <c r="C34" s="3179" t="s">
        <v>3044</v>
      </c>
      <c r="D34" s="3179">
        <v>40939</v>
      </c>
      <c r="E34" s="3179">
        <v>110535.3</v>
      </c>
      <c r="F34" s="3179">
        <v>2.7</v>
      </c>
      <c r="G34" s="3179" t="s">
        <v>3009</v>
      </c>
      <c r="H34" s="3179" t="s">
        <v>3124</v>
      </c>
      <c r="I34" s="3179">
        <v>15500</v>
      </c>
      <c r="J34" s="3179">
        <v>15500</v>
      </c>
      <c r="K34" s="3179">
        <v>1402.26</v>
      </c>
      <c r="L34" s="3179">
        <f t="shared" si="0"/>
        <v>3786</v>
      </c>
      <c r="M34" s="3179">
        <v>0</v>
      </c>
      <c r="N34" s="3179" t="s">
        <v>3129</v>
      </c>
      <c r="O34" s="3179" t="s">
        <v>3060</v>
      </c>
    </row>
    <row r="35" spans="1:15">
      <c r="A35" s="3179" t="s">
        <v>3131</v>
      </c>
      <c r="B35" s="3179" t="s">
        <v>3037</v>
      </c>
      <c r="C35" s="3179" t="s">
        <v>3044</v>
      </c>
      <c r="D35" s="3179">
        <v>36639</v>
      </c>
      <c r="E35" s="3179">
        <v>109917</v>
      </c>
      <c r="F35" s="3179" t="s">
        <v>3132</v>
      </c>
      <c r="G35" s="3179" t="s">
        <v>3009</v>
      </c>
      <c r="H35" s="3179" t="s">
        <v>3133</v>
      </c>
      <c r="I35" s="3179">
        <v>36000</v>
      </c>
      <c r="J35" s="3179">
        <v>36000</v>
      </c>
      <c r="K35" s="3179">
        <v>3275.19</v>
      </c>
      <c r="L35" s="3179">
        <f t="shared" si="0"/>
        <v>9826</v>
      </c>
      <c r="M35" s="3179">
        <v>0</v>
      </c>
      <c r="N35" s="3179" t="s">
        <v>3093</v>
      </c>
      <c r="O35" s="3179" t="s">
        <v>3048</v>
      </c>
    </row>
    <row r="36" spans="1:15">
      <c r="A36" s="3179" t="s">
        <v>3134</v>
      </c>
      <c r="B36" s="3179" t="s">
        <v>3037</v>
      </c>
      <c r="C36" s="3179" t="s">
        <v>3044</v>
      </c>
      <c r="D36" s="3179">
        <v>70741</v>
      </c>
      <c r="E36" s="3179">
        <v>219297.1</v>
      </c>
      <c r="F36" s="3179">
        <v>3.1</v>
      </c>
      <c r="G36" s="3179" t="s">
        <v>3009</v>
      </c>
      <c r="H36" s="3179" t="s">
        <v>3135</v>
      </c>
      <c r="I36" s="3179">
        <v>38000</v>
      </c>
      <c r="J36" s="3179">
        <v>38000</v>
      </c>
      <c r="K36" s="3179">
        <v>1732.8</v>
      </c>
      <c r="L36" s="3179">
        <f t="shared" si="0"/>
        <v>5372</v>
      </c>
      <c r="M36" s="3179">
        <v>0</v>
      </c>
      <c r="N36" s="3179" t="s">
        <v>3096</v>
      </c>
      <c r="O36" s="3179" t="s">
        <v>3048</v>
      </c>
    </row>
    <row r="37" spans="1:15">
      <c r="A37" s="3179" t="s">
        <v>3136</v>
      </c>
      <c r="B37" s="3179" t="s">
        <v>3037</v>
      </c>
      <c r="C37" s="3179" t="s">
        <v>3044</v>
      </c>
      <c r="D37" s="3179">
        <v>40051</v>
      </c>
      <c r="E37" s="3179">
        <v>76096.899999999994</v>
      </c>
      <c r="F37" s="3179" t="s">
        <v>3137</v>
      </c>
      <c r="G37" s="3179" t="s">
        <v>3009</v>
      </c>
      <c r="H37" s="3179" t="s">
        <v>3138</v>
      </c>
      <c r="I37" s="3179">
        <v>7500</v>
      </c>
      <c r="J37" s="3179">
        <v>7500</v>
      </c>
      <c r="K37" s="3179">
        <v>985.59</v>
      </c>
      <c r="L37" s="3179">
        <f t="shared" si="0"/>
        <v>1873</v>
      </c>
      <c r="M37" s="3179">
        <v>0</v>
      </c>
      <c r="N37" s="3179" t="s">
        <v>3139</v>
      </c>
      <c r="O37" s="3179" t="s">
        <v>3048</v>
      </c>
    </row>
    <row r="38" spans="1:15">
      <c r="A38" s="3179" t="s">
        <v>3140</v>
      </c>
      <c r="B38" s="3179" t="s">
        <v>3037</v>
      </c>
      <c r="C38" s="3179" t="s">
        <v>3044</v>
      </c>
      <c r="D38" s="3179">
        <v>39350</v>
      </c>
      <c r="E38" s="3179">
        <v>94833.5</v>
      </c>
      <c r="F38" s="3179" t="s">
        <v>3141</v>
      </c>
      <c r="G38" s="3179" t="s">
        <v>3009</v>
      </c>
      <c r="H38" s="3179" t="s">
        <v>3138</v>
      </c>
      <c r="I38" s="3179">
        <v>21000</v>
      </c>
      <c r="J38" s="3179">
        <v>21000</v>
      </c>
      <c r="K38" s="3179">
        <v>2214.4</v>
      </c>
      <c r="L38" s="3179">
        <f t="shared" si="0"/>
        <v>5337</v>
      </c>
      <c r="M38" s="3179">
        <v>0</v>
      </c>
      <c r="N38" s="3179" t="s">
        <v>3142</v>
      </c>
      <c r="O38" s="3179" t="s">
        <v>3013</v>
      </c>
    </row>
    <row r="39" spans="1:15">
      <c r="A39" s="3179" t="s">
        <v>3143</v>
      </c>
      <c r="B39" s="3179" t="s">
        <v>3037</v>
      </c>
      <c r="C39" s="3179" t="s">
        <v>3044</v>
      </c>
      <c r="D39" s="3179">
        <v>67581</v>
      </c>
      <c r="E39" s="3179">
        <v>108129.60000000001</v>
      </c>
      <c r="F39" s="3179" t="s">
        <v>3144</v>
      </c>
      <c r="G39" s="3179" t="s">
        <v>3009</v>
      </c>
      <c r="H39" s="3179" t="s">
        <v>3145</v>
      </c>
      <c r="I39" s="3179">
        <v>13300</v>
      </c>
      <c r="J39" s="3179">
        <v>13300</v>
      </c>
      <c r="K39" s="3179">
        <v>1230</v>
      </c>
      <c r="L39" s="3179">
        <f t="shared" si="0"/>
        <v>1968</v>
      </c>
      <c r="M39" s="3179">
        <v>0</v>
      </c>
      <c r="N39" s="3179" t="s">
        <v>3146</v>
      </c>
      <c r="O39" s="3179" t="s">
        <v>3048</v>
      </c>
    </row>
    <row r="40" spans="1:15">
      <c r="A40" s="3179" t="s">
        <v>3147</v>
      </c>
      <c r="B40" s="3179" t="s">
        <v>3037</v>
      </c>
      <c r="C40" s="3179" t="s">
        <v>3044</v>
      </c>
      <c r="D40" s="3179">
        <v>5292</v>
      </c>
      <c r="E40" s="3179">
        <v>35985.599999999999</v>
      </c>
      <c r="F40" s="3179">
        <v>6.8</v>
      </c>
      <c r="G40" s="3179" t="s">
        <v>3009</v>
      </c>
      <c r="H40" s="3179" t="s">
        <v>3148</v>
      </c>
      <c r="I40" s="3179">
        <v>2400</v>
      </c>
      <c r="J40" s="3179">
        <v>2400</v>
      </c>
      <c r="K40" s="3179">
        <v>666.92</v>
      </c>
      <c r="L40" s="3179">
        <f t="shared" si="0"/>
        <v>4535</v>
      </c>
      <c r="M40" s="3179">
        <v>0</v>
      </c>
      <c r="N40" s="3179" t="s">
        <v>3149</v>
      </c>
      <c r="O40" s="3179" t="s">
        <v>3013</v>
      </c>
    </row>
    <row r="41" spans="1:15">
      <c r="A41" s="3179" t="s">
        <v>3150</v>
      </c>
      <c r="B41" s="3179" t="s">
        <v>3037</v>
      </c>
      <c r="C41" s="3179" t="s">
        <v>3044</v>
      </c>
      <c r="D41" s="3179">
        <v>12826</v>
      </c>
      <c r="E41" s="3179">
        <v>25010.7</v>
      </c>
      <c r="F41" s="3179">
        <v>1.95</v>
      </c>
      <c r="G41" s="3179" t="s">
        <v>3009</v>
      </c>
      <c r="H41" s="3179" t="s">
        <v>3151</v>
      </c>
      <c r="I41" s="3179">
        <v>2800</v>
      </c>
      <c r="J41" s="3179">
        <v>2800</v>
      </c>
      <c r="K41" s="3179">
        <v>1119.51</v>
      </c>
      <c r="L41" s="3179">
        <f t="shared" si="0"/>
        <v>2183</v>
      </c>
      <c r="M41" s="3179">
        <v>0</v>
      </c>
      <c r="N41" s="3179" t="s">
        <v>3139</v>
      </c>
      <c r="O41" s="3179" t="s">
        <v>3013</v>
      </c>
    </row>
    <row r="42" spans="1:15">
      <c r="A42" s="3179" t="s">
        <v>3152</v>
      </c>
      <c r="B42" s="3179" t="s">
        <v>3037</v>
      </c>
      <c r="C42" s="3179" t="s">
        <v>3044</v>
      </c>
      <c r="D42" s="3179">
        <v>46804</v>
      </c>
      <c r="E42" s="3179">
        <v>117010</v>
      </c>
      <c r="F42" s="3179" t="s">
        <v>3010</v>
      </c>
      <c r="G42" s="3179" t="s">
        <v>3009</v>
      </c>
      <c r="H42" s="3179" t="s">
        <v>3153</v>
      </c>
      <c r="I42" s="3179">
        <v>15100</v>
      </c>
      <c r="J42" s="3179">
        <v>15100</v>
      </c>
      <c r="K42" s="3179">
        <v>1290.49</v>
      </c>
      <c r="L42" s="3179">
        <f t="shared" si="0"/>
        <v>3226</v>
      </c>
      <c r="M42" s="3179">
        <v>0</v>
      </c>
      <c r="N42" s="3179" t="s">
        <v>3154</v>
      </c>
      <c r="O42" s="3179" t="s">
        <v>3060</v>
      </c>
    </row>
    <row r="43" spans="1:15">
      <c r="A43" s="3179" t="s">
        <v>3155</v>
      </c>
      <c r="B43" s="3179" t="s">
        <v>3037</v>
      </c>
      <c r="C43" s="3179" t="s">
        <v>3044</v>
      </c>
      <c r="D43" s="3179">
        <v>83538</v>
      </c>
      <c r="E43" s="3179">
        <v>115282.4</v>
      </c>
      <c r="F43" s="3179" t="s">
        <v>3156</v>
      </c>
      <c r="G43" s="3179" t="s">
        <v>3009</v>
      </c>
      <c r="H43" s="3179" t="s">
        <v>3153</v>
      </c>
      <c r="I43" s="3179">
        <v>34700</v>
      </c>
      <c r="J43" s="3179">
        <v>34700</v>
      </c>
      <c r="K43" s="3179">
        <v>3010</v>
      </c>
      <c r="L43" s="3179">
        <f t="shared" si="0"/>
        <v>4154</v>
      </c>
      <c r="M43" s="3179">
        <v>0</v>
      </c>
      <c r="N43" s="3179" t="s">
        <v>3157</v>
      </c>
      <c r="O43" s="3179" t="s">
        <v>3048</v>
      </c>
    </row>
    <row r="44" spans="1:15">
      <c r="A44" s="3179" t="s">
        <v>3158</v>
      </c>
      <c r="B44" s="3179" t="s">
        <v>3037</v>
      </c>
      <c r="C44" s="3179" t="s">
        <v>3044</v>
      </c>
      <c r="D44" s="3179">
        <v>104693</v>
      </c>
      <c r="E44" s="3179">
        <v>106786.9</v>
      </c>
      <c r="F44" s="3179" t="s">
        <v>3159</v>
      </c>
      <c r="G44" s="3179" t="s">
        <v>3009</v>
      </c>
      <c r="H44" s="3179" t="s">
        <v>3153</v>
      </c>
      <c r="I44" s="3179">
        <v>45300</v>
      </c>
      <c r="J44" s="3179">
        <v>45300</v>
      </c>
      <c r="K44" s="3179">
        <v>4242.09</v>
      </c>
      <c r="L44" s="3179">
        <f t="shared" si="0"/>
        <v>4327</v>
      </c>
      <c r="M44" s="3179">
        <v>0</v>
      </c>
      <c r="N44" s="3179" t="s">
        <v>3160</v>
      </c>
      <c r="O44" s="3179" t="s">
        <v>3060</v>
      </c>
    </row>
    <row r="45" spans="1:15">
      <c r="A45" s="3179" t="s">
        <v>3161</v>
      </c>
      <c r="B45" s="3179" t="s">
        <v>3037</v>
      </c>
      <c r="C45" s="3179" t="s">
        <v>3044</v>
      </c>
      <c r="D45" s="3179">
        <v>36016</v>
      </c>
      <c r="E45" s="3179">
        <v>234104</v>
      </c>
      <c r="F45" s="3179" t="s">
        <v>3162</v>
      </c>
      <c r="G45" s="3179" t="s">
        <v>3009</v>
      </c>
      <c r="H45" s="3179" t="s">
        <v>3163</v>
      </c>
      <c r="I45" s="3179">
        <v>55000</v>
      </c>
      <c r="J45" s="3179">
        <v>55000</v>
      </c>
      <c r="K45" s="3179">
        <v>2349.38</v>
      </c>
      <c r="L45" s="3179">
        <f t="shared" si="0"/>
        <v>15271</v>
      </c>
      <c r="M45" s="3179">
        <v>0</v>
      </c>
      <c r="N45" s="3179" t="s">
        <v>3164</v>
      </c>
      <c r="O45" s="3179" t="s">
        <v>3048</v>
      </c>
    </row>
    <row r="46" spans="1:15">
      <c r="A46" s="3179" t="s">
        <v>3165</v>
      </c>
      <c r="B46" s="3179" t="s">
        <v>3037</v>
      </c>
      <c r="C46" s="3179" t="s">
        <v>3044</v>
      </c>
      <c r="D46" s="3179">
        <v>77855</v>
      </c>
      <c r="E46" s="3179">
        <v>175173.8</v>
      </c>
      <c r="F46" s="3179" t="s">
        <v>3166</v>
      </c>
      <c r="G46" s="3179" t="s">
        <v>3009</v>
      </c>
      <c r="H46" s="3179" t="s">
        <v>3163</v>
      </c>
      <c r="I46" s="3179">
        <v>16200</v>
      </c>
      <c r="J46" s="3179">
        <v>16200</v>
      </c>
      <c r="K46" s="3179">
        <v>924.79</v>
      </c>
      <c r="L46" s="3179">
        <f t="shared" si="0"/>
        <v>2081</v>
      </c>
      <c r="M46" s="3179">
        <v>0</v>
      </c>
      <c r="N46" s="3179" t="s">
        <v>3106</v>
      </c>
      <c r="O46" s="3179" t="s">
        <v>3060</v>
      </c>
    </row>
    <row r="47" spans="1:15">
      <c r="A47" s="3179" t="s">
        <v>3167</v>
      </c>
      <c r="B47" s="3179" t="s">
        <v>3037</v>
      </c>
      <c r="C47" s="3179" t="s">
        <v>3044</v>
      </c>
      <c r="D47" s="3179">
        <v>31292</v>
      </c>
      <c r="E47" s="3179">
        <v>78230</v>
      </c>
      <c r="F47" s="3179" t="s">
        <v>3010</v>
      </c>
      <c r="G47" s="3179" t="s">
        <v>3009</v>
      </c>
      <c r="H47" s="3179" t="s">
        <v>3168</v>
      </c>
      <c r="I47" s="3179">
        <v>6900</v>
      </c>
      <c r="J47" s="3179">
        <v>6900</v>
      </c>
      <c r="K47" s="3179">
        <v>882</v>
      </c>
      <c r="L47" s="3179">
        <f t="shared" si="0"/>
        <v>2205</v>
      </c>
      <c r="M47" s="3179">
        <v>0</v>
      </c>
      <c r="N47" s="3179" t="s">
        <v>3169</v>
      </c>
      <c r="O47" s="3179" t="s">
        <v>3048</v>
      </c>
    </row>
    <row r="48" spans="1:15">
      <c r="A48" s="3179" t="s">
        <v>3170</v>
      </c>
      <c r="B48" s="3179" t="s">
        <v>3037</v>
      </c>
      <c r="C48" s="3179" t="s">
        <v>3039</v>
      </c>
      <c r="D48" s="3179">
        <v>4543</v>
      </c>
      <c r="E48" s="3179">
        <v>30892.400000000001</v>
      </c>
      <c r="F48" s="3179" t="s">
        <v>3171</v>
      </c>
      <c r="G48" s="3179" t="s">
        <v>3009</v>
      </c>
      <c r="H48" s="3179" t="s">
        <v>3172</v>
      </c>
      <c r="I48" s="3179">
        <v>368</v>
      </c>
      <c r="J48" s="3179">
        <v>368</v>
      </c>
      <c r="K48" s="3179">
        <v>119.12</v>
      </c>
      <c r="L48" s="3179">
        <f t="shared" si="0"/>
        <v>810</v>
      </c>
      <c r="M48" s="3179">
        <v>0</v>
      </c>
      <c r="N48" s="3179" t="s">
        <v>3173</v>
      </c>
      <c r="O48" s="3179" t="s">
        <v>3048</v>
      </c>
    </row>
    <row r="49" spans="1:15">
      <c r="A49" s="3179" t="s">
        <v>3174</v>
      </c>
      <c r="B49" s="3179" t="s">
        <v>3037</v>
      </c>
      <c r="C49" s="3179" t="s">
        <v>3044</v>
      </c>
      <c r="D49" s="3179">
        <v>81491</v>
      </c>
      <c r="E49" s="3179">
        <v>101863.8</v>
      </c>
      <c r="F49" s="3179" t="s">
        <v>3175</v>
      </c>
      <c r="G49" s="3179" t="s">
        <v>3009</v>
      </c>
      <c r="H49" s="3179" t="s">
        <v>3176</v>
      </c>
      <c r="I49" s="3179">
        <v>20500</v>
      </c>
      <c r="J49" s="3179">
        <v>20800</v>
      </c>
      <c r="K49" s="3179">
        <v>2041.94</v>
      </c>
      <c r="L49" s="3179">
        <f t="shared" si="0"/>
        <v>2552</v>
      </c>
      <c r="M49" s="3179">
        <v>1.46</v>
      </c>
      <c r="N49" s="3179" t="s">
        <v>3177</v>
      </c>
      <c r="O49" s="3179" t="s">
        <v>3060</v>
      </c>
    </row>
    <row r="50" spans="1:15">
      <c r="A50" s="3179" t="s">
        <v>3178</v>
      </c>
      <c r="B50" s="3179" t="s">
        <v>3037</v>
      </c>
      <c r="C50" s="3179" t="s">
        <v>3044</v>
      </c>
      <c r="D50" s="3179">
        <v>44714</v>
      </c>
      <c r="E50" s="3179">
        <v>125199.2</v>
      </c>
      <c r="F50" s="3179" t="s">
        <v>3179</v>
      </c>
      <c r="G50" s="3179" t="s">
        <v>3009</v>
      </c>
      <c r="H50" s="3179" t="s">
        <v>3180</v>
      </c>
      <c r="I50" s="3179">
        <v>32040</v>
      </c>
      <c r="J50" s="3179">
        <v>32540</v>
      </c>
      <c r="K50" s="3179">
        <v>2599.0500000000002</v>
      </c>
      <c r="L50" s="3179">
        <f t="shared" si="0"/>
        <v>7277</v>
      </c>
      <c r="M50" s="3179">
        <v>1.56</v>
      </c>
      <c r="N50" s="3179" t="s">
        <v>3181</v>
      </c>
      <c r="O50" s="3179" t="s">
        <v>3013</v>
      </c>
    </row>
    <row r="51" spans="1:15">
      <c r="A51" s="3179" t="s">
        <v>3182</v>
      </c>
      <c r="B51" s="3179" t="s">
        <v>3037</v>
      </c>
      <c r="C51" s="3179" t="s">
        <v>3044</v>
      </c>
      <c r="D51" s="3179">
        <v>18068</v>
      </c>
      <c r="E51" s="3179">
        <v>45170</v>
      </c>
      <c r="F51" s="3179" t="s">
        <v>3010</v>
      </c>
      <c r="G51" s="3179" t="s">
        <v>3009</v>
      </c>
      <c r="H51" s="3179" t="s">
        <v>3180</v>
      </c>
      <c r="I51" s="3179">
        <v>9700</v>
      </c>
      <c r="J51" s="3179">
        <v>10000</v>
      </c>
      <c r="K51" s="3179">
        <v>2213.86</v>
      </c>
      <c r="L51" s="3179">
        <f t="shared" si="0"/>
        <v>5535</v>
      </c>
      <c r="M51" s="3179">
        <v>3.09</v>
      </c>
      <c r="N51" s="3179" t="s">
        <v>3181</v>
      </c>
      <c r="O51" s="3179" t="s">
        <v>3013</v>
      </c>
    </row>
  </sheetData>
  <phoneticPr fontId="228"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8" t="s">
        <v>2472</v>
      </c>
      <c r="B1" s="3459"/>
      <c r="C1" s="3460"/>
      <c r="D1" s="3461">
        <f>SUM(I10,I15,I20,I21,I23)</f>
        <v>0</v>
      </c>
      <c r="E1" s="3461"/>
      <c r="F1" s="3461"/>
      <c r="G1" s="3461"/>
      <c r="H1" s="3461"/>
      <c r="I1" s="3462"/>
    </row>
    <row r="2" spans="1:9">
      <c r="A2" s="3448" t="s">
        <v>2473</v>
      </c>
      <c r="B2" s="3449" t="s">
        <v>2474</v>
      </c>
      <c r="C2" s="3449"/>
      <c r="D2" s="2487" t="s">
        <v>2475</v>
      </c>
      <c r="E2" s="2487" t="s">
        <v>2476</v>
      </c>
      <c r="F2" s="2487" t="s">
        <v>2477</v>
      </c>
      <c r="G2" s="2487" t="s">
        <v>2478</v>
      </c>
      <c r="H2" s="2487" t="s">
        <v>2479</v>
      </c>
      <c r="I2" s="2488" t="s">
        <v>2480</v>
      </c>
    </row>
    <row r="3" spans="1:9">
      <c r="A3" s="3448"/>
      <c r="B3" s="3449" t="s">
        <v>2481</v>
      </c>
      <c r="C3" s="3449"/>
      <c r="D3" s="2489"/>
      <c r="E3" s="2487"/>
      <c r="F3" s="2490"/>
      <c r="G3" s="2490"/>
      <c r="H3" s="2491"/>
      <c r="I3" s="2492">
        <f>ROUND(D3*E3*F3*G3*H3/10000,0)</f>
        <v>0</v>
      </c>
    </row>
    <row r="4" spans="1:9">
      <c r="A4" s="3448"/>
      <c r="B4" s="3449" t="s">
        <v>2482</v>
      </c>
      <c r="C4" s="3449"/>
      <c r="D4" s="2489"/>
      <c r="E4" s="2487"/>
      <c r="F4" s="2490"/>
      <c r="G4" s="2490"/>
      <c r="H4" s="2491"/>
      <c r="I4" s="2492">
        <f t="shared" ref="I4:I9" si="0">ROUND(D4*E4*F4*G4*H4/10000,0)</f>
        <v>0</v>
      </c>
    </row>
    <row r="5" spans="1:9">
      <c r="A5" s="3448"/>
      <c r="B5" s="3449" t="s">
        <v>2483</v>
      </c>
      <c r="C5" s="3449"/>
      <c r="D5" s="2489"/>
      <c r="E5" s="2487"/>
      <c r="F5" s="2490"/>
      <c r="G5" s="2490"/>
      <c r="H5" s="2491"/>
      <c r="I5" s="2492">
        <f t="shared" si="0"/>
        <v>0</v>
      </c>
    </row>
    <row r="6" spans="1:9">
      <c r="A6" s="3448"/>
      <c r="B6" s="3449" t="s">
        <v>2484</v>
      </c>
      <c r="C6" s="3449"/>
      <c r="D6" s="2489"/>
      <c r="E6" s="2487"/>
      <c r="F6" s="2490"/>
      <c r="G6" s="2490"/>
      <c r="H6" s="2491"/>
      <c r="I6" s="2492">
        <f t="shared" si="0"/>
        <v>0</v>
      </c>
    </row>
    <row r="7" spans="1:9">
      <c r="A7" s="3448"/>
      <c r="B7" s="3449" t="s">
        <v>2485</v>
      </c>
      <c r="C7" s="3449"/>
      <c r="D7" s="2489"/>
      <c r="E7" s="2487"/>
      <c r="F7" s="2490"/>
      <c r="G7" s="2490"/>
      <c r="H7" s="2491"/>
      <c r="I7" s="2492">
        <f t="shared" si="0"/>
        <v>0</v>
      </c>
    </row>
    <row r="8" spans="1:9">
      <c r="A8" s="3448"/>
      <c r="B8" s="3449" t="s">
        <v>2486</v>
      </c>
      <c r="C8" s="3449"/>
      <c r="D8" s="2489"/>
      <c r="E8" s="2487"/>
      <c r="F8" s="2490"/>
      <c r="G8" s="2490"/>
      <c r="H8" s="2491"/>
      <c r="I8" s="2492">
        <f t="shared" si="0"/>
        <v>0</v>
      </c>
    </row>
    <row r="9" spans="1:9">
      <c r="A9" s="3448"/>
      <c r="B9" s="3449" t="s">
        <v>2487</v>
      </c>
      <c r="C9" s="3449"/>
      <c r="D9" s="2489"/>
      <c r="E9" s="2487"/>
      <c r="F9" s="2490"/>
      <c r="G9" s="2490"/>
      <c r="H9" s="2491"/>
      <c r="I9" s="2492">
        <f t="shared" si="0"/>
        <v>0</v>
      </c>
    </row>
    <row r="10" spans="1:9">
      <c r="A10" s="3448"/>
      <c r="B10" s="3450" t="s">
        <v>2488</v>
      </c>
      <c r="C10" s="3450"/>
      <c r="D10" s="2493">
        <v>527</v>
      </c>
      <c r="E10" s="2493" t="e">
        <f>ROUND(D1*10000/D10/H9,0)</f>
        <v>#DIV/0!</v>
      </c>
      <c r="F10" s="2494"/>
      <c r="G10" s="2494"/>
      <c r="H10" s="2495"/>
      <c r="I10" s="2496">
        <f>SUM(I3:I9)</f>
        <v>0</v>
      </c>
    </row>
    <row r="11" spans="1:9" ht="14.25">
      <c r="A11" s="3448" t="s">
        <v>2489</v>
      </c>
      <c r="B11" s="3449" t="s">
        <v>2490</v>
      </c>
      <c r="C11" s="3449"/>
      <c r="D11" s="2489" t="s">
        <v>2491</v>
      </c>
      <c r="E11" s="2489" t="s">
        <v>2492</v>
      </c>
      <c r="F11" s="2490" t="s">
        <v>2493</v>
      </c>
      <c r="G11" s="2490" t="s">
        <v>2494</v>
      </c>
      <c r="H11" s="2497" t="s">
        <v>2495</v>
      </c>
      <c r="I11" s="2488" t="s">
        <v>2496</v>
      </c>
    </row>
    <row r="12" spans="1:9">
      <c r="A12" s="3448"/>
      <c r="B12" s="3449" t="s">
        <v>2497</v>
      </c>
      <c r="C12" s="3449"/>
      <c r="D12" s="2489"/>
      <c r="E12" s="2489"/>
      <c r="F12" s="2490"/>
      <c r="G12" s="2491"/>
      <c r="H12" s="2498"/>
      <c r="I12" s="2488">
        <f>ROUND(D12*E12*F12*G12/10000,0)</f>
        <v>0</v>
      </c>
    </row>
    <row r="13" spans="1:9">
      <c r="A13" s="3448"/>
      <c r="B13" s="3449" t="s">
        <v>2498</v>
      </c>
      <c r="C13" s="3449"/>
      <c r="D13" s="2489"/>
      <c r="E13" s="2489"/>
      <c r="F13" s="2490"/>
      <c r="G13" s="2491"/>
      <c r="H13" s="2498"/>
      <c r="I13" s="2488">
        <f>ROUND(D13*E13*F13*G13/10000,0)</f>
        <v>0</v>
      </c>
    </row>
    <row r="14" spans="1:9">
      <c r="A14" s="3448"/>
      <c r="B14" s="3449" t="s">
        <v>2499</v>
      </c>
      <c r="C14" s="3449"/>
      <c r="D14" s="2489"/>
      <c r="E14" s="2489"/>
      <c r="F14" s="2490"/>
      <c r="G14" s="2491"/>
      <c r="H14" s="2498"/>
      <c r="I14" s="2488">
        <f>ROUND(D14*E14*F14*G14/10000,0)</f>
        <v>0</v>
      </c>
    </row>
    <row r="15" spans="1:9">
      <c r="A15" s="3448"/>
      <c r="B15" s="3450" t="s">
        <v>2488</v>
      </c>
      <c r="C15" s="3450"/>
      <c r="D15" s="2493"/>
      <c r="E15" s="2493">
        <f>SUM(E12:E14)</f>
        <v>0</v>
      </c>
      <c r="F15" s="2494"/>
      <c r="G15" s="2491"/>
      <c r="H15" s="2498"/>
      <c r="I15" s="2499">
        <f>SUM(I12:I14)</f>
        <v>0</v>
      </c>
    </row>
    <row r="16" spans="1:9" ht="24">
      <c r="A16" s="3448" t="s">
        <v>2500</v>
      </c>
      <c r="B16" s="3449" t="s">
        <v>2501</v>
      </c>
      <c r="C16" s="3449"/>
      <c r="D16" s="2489" t="s">
        <v>2502</v>
      </c>
      <c r="E16" s="2500" t="s">
        <v>2503</v>
      </c>
      <c r="F16" s="2490" t="s">
        <v>2504</v>
      </c>
      <c r="G16" s="2491" t="s">
        <v>2494</v>
      </c>
      <c r="H16" s="2497" t="s">
        <v>2495</v>
      </c>
      <c r="I16" s="2488" t="s">
        <v>2496</v>
      </c>
    </row>
    <row r="17" spans="1:9" ht="14.25">
      <c r="A17" s="3448"/>
      <c r="B17" s="3449" t="s">
        <v>2505</v>
      </c>
      <c r="C17" s="3449"/>
      <c r="D17" s="2489"/>
      <c r="E17" s="2489"/>
      <c r="F17" s="2490"/>
      <c r="G17" s="2491"/>
      <c r="H17" s="2501"/>
      <c r="I17" s="2502">
        <f>ROUND(D17*E17*F17*G17/10000,0)</f>
        <v>0</v>
      </c>
    </row>
    <row r="18" spans="1:9" ht="14.25">
      <c r="A18" s="3448"/>
      <c r="B18" s="3449" t="s">
        <v>2506</v>
      </c>
      <c r="C18" s="3449"/>
      <c r="D18" s="2489"/>
      <c r="E18" s="2489"/>
      <c r="F18" s="2490"/>
      <c r="G18" s="2491"/>
      <c r="H18" s="2501"/>
      <c r="I18" s="2502">
        <f>ROUND(D18*E18*F18*G18/10000,0)</f>
        <v>0</v>
      </c>
    </row>
    <row r="19" spans="1:9" ht="14.25">
      <c r="A19" s="3448"/>
      <c r="B19" s="3449" t="s">
        <v>2507</v>
      </c>
      <c r="C19" s="3449"/>
      <c r="D19" s="2489"/>
      <c r="E19" s="2489"/>
      <c r="F19" s="2490"/>
      <c r="G19" s="2491"/>
      <c r="H19" s="2501"/>
      <c r="I19" s="2502">
        <f>ROUND(D19*E19*F19*G19/10000,0)</f>
        <v>0</v>
      </c>
    </row>
    <row r="20" spans="1:9">
      <c r="A20" s="3448"/>
      <c r="B20" s="3450" t="s">
        <v>2488</v>
      </c>
      <c r="C20" s="3450"/>
      <c r="D20" s="2493">
        <f>SUM(D17:D19)</f>
        <v>0</v>
      </c>
      <c r="E20" s="2493"/>
      <c r="F20" s="2494"/>
      <c r="G20" s="2491"/>
      <c r="H20" s="2498"/>
      <c r="I20" s="2499">
        <f>SUM(I17:I19)</f>
        <v>0</v>
      </c>
    </row>
    <row r="21" spans="1:9">
      <c r="A21" s="3448"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45">
        <f>C27-C30-C31-C32</f>
        <v>0</v>
      </c>
      <c r="F26" s="3445"/>
      <c r="G26" s="3445"/>
      <c r="H26" s="3020" t="s">
        <v>2844</v>
      </c>
    </row>
    <row r="27" spans="1:9">
      <c r="A27" s="2511">
        <v>1</v>
      </c>
      <c r="B27" s="2512" t="s">
        <v>2517</v>
      </c>
      <c r="C27" s="2512"/>
      <c r="D27" s="2512"/>
      <c r="E27" s="3446"/>
      <c r="F27" s="3446"/>
      <c r="G27" s="3446"/>
    </row>
    <row r="28" spans="1:9">
      <c r="A28" s="2513" t="s">
        <v>2518</v>
      </c>
      <c r="B28" s="2512" t="s">
        <v>2519</v>
      </c>
      <c r="C28" s="2512"/>
      <c r="D28" s="2512"/>
      <c r="E28" s="3446"/>
      <c r="F28" s="3446"/>
      <c r="G28" s="3446"/>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7"/>
      <c r="F32" s="3447"/>
      <c r="G32" s="3447"/>
    </row>
    <row r="33" spans="1:7" hidden="1">
      <c r="A33" s="3442" t="s">
        <v>2527</v>
      </c>
      <c r="B33" s="3443"/>
      <c r="C33" s="3443"/>
      <c r="D33" s="3444"/>
      <c r="E33" s="3445"/>
      <c r="F33" s="3445"/>
      <c r="G33" s="3445"/>
    </row>
    <row r="34" spans="1:7" hidden="1">
      <c r="A34" s="2515">
        <v>1</v>
      </c>
      <c r="B34" s="2512" t="s">
        <v>2528</v>
      </c>
      <c r="C34" s="2512"/>
      <c r="D34" s="2512"/>
      <c r="E34" s="3446"/>
      <c r="F34" s="3446"/>
      <c r="G34" s="3446"/>
    </row>
    <row r="35" spans="1:7" hidden="1">
      <c r="A35" s="2515">
        <v>2</v>
      </c>
      <c r="B35" s="2512" t="s">
        <v>2529</v>
      </c>
      <c r="C35" s="2512"/>
      <c r="D35" s="2512"/>
      <c r="E35" s="3446"/>
      <c r="F35" s="3446"/>
      <c r="G35" s="3446"/>
    </row>
    <row r="36" spans="1:7" hidden="1">
      <c r="A36" s="2515">
        <v>3</v>
      </c>
      <c r="B36" s="2512" t="s">
        <v>2530</v>
      </c>
      <c r="C36" s="2512"/>
      <c r="D36" s="2512"/>
      <c r="E36" s="3446"/>
      <c r="F36" s="3446"/>
      <c r="G36" s="3446"/>
    </row>
    <row r="37" spans="1:7" hidden="1">
      <c r="A37" s="2515">
        <v>4</v>
      </c>
      <c r="B37" s="2512" t="s">
        <v>2531</v>
      </c>
      <c r="C37" s="2512"/>
      <c r="D37" s="2512"/>
      <c r="E37" s="3446"/>
      <c r="F37" s="3446"/>
      <c r="G37" s="3446"/>
    </row>
    <row r="38" spans="1:7" hidden="1">
      <c r="A38" s="3442" t="s">
        <v>2532</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138732.5</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2289</v>
      </c>
      <c r="D12" s="758">
        <f>'数据-汇总表'!E5</f>
        <v>138732.5</v>
      </c>
      <c r="E12" s="757">
        <f>'数据-取费表'!B27</f>
        <v>165</v>
      </c>
      <c r="F12" s="755"/>
      <c r="G12" s="759"/>
    </row>
    <row r="13" spans="1:25" s="2184" customFormat="1" ht="13.5" customHeight="1">
      <c r="A13" s="2456" t="s">
        <v>2448</v>
      </c>
      <c r="B13" s="756" t="s">
        <v>612</v>
      </c>
      <c r="C13" s="757">
        <f>ROUND(D13*E13/10000,0)</f>
        <v>0</v>
      </c>
      <c r="D13" s="758">
        <f>'数据-汇总表'!E6</f>
        <v>0</v>
      </c>
      <c r="E13" s="757">
        <f>'数据-取费表'!B28</f>
        <v>215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0.80200000000000005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9" t="s">
        <v>522</v>
      </c>
      <c r="D4" s="3370"/>
      <c r="E4" s="3393" t="s">
        <v>523</v>
      </c>
      <c r="F4" s="3394"/>
      <c r="G4" s="3369" t="s">
        <v>524</v>
      </c>
      <c r="H4" s="3370"/>
      <c r="I4" s="3369" t="s">
        <v>525</v>
      </c>
      <c r="J4" s="3370"/>
      <c r="K4" s="853" t="s">
        <v>526</v>
      </c>
      <c r="L4" s="2134"/>
      <c r="M4" s="2135"/>
      <c r="N4" s="2135"/>
      <c r="O4" s="2135"/>
      <c r="P4" s="3371" t="s">
        <v>527</v>
      </c>
      <c r="Q4" s="3372"/>
      <c r="R4" s="3357" t="s">
        <v>523</v>
      </c>
      <c r="S4" s="3358"/>
      <c r="T4" s="3357" t="s">
        <v>524</v>
      </c>
      <c r="U4" s="3358"/>
      <c r="V4" s="3377" t="s">
        <v>525</v>
      </c>
      <c r="W4" s="3377"/>
      <c r="X4" s="1568"/>
      <c r="Y4" s="3357" t="s">
        <v>527</v>
      </c>
      <c r="Z4" s="3358"/>
      <c r="AA4" s="3352" t="s">
        <v>523</v>
      </c>
      <c r="AB4" s="3352" t="s">
        <v>524</v>
      </c>
      <c r="AC4" s="3352" t="s">
        <v>525</v>
      </c>
    </row>
    <row r="5" spans="1:29" ht="15">
      <c r="A5" s="515"/>
      <c r="B5" s="516"/>
      <c r="C5" s="3380" t="s">
        <v>2932</v>
      </c>
      <c r="D5" s="3381"/>
      <c r="E5" s="3395" t="s">
        <v>2933</v>
      </c>
      <c r="F5" s="3396"/>
      <c r="G5" s="3380" t="s">
        <v>2934</v>
      </c>
      <c r="H5" s="3381"/>
      <c r="I5" s="3380" t="s">
        <v>2935</v>
      </c>
      <c r="J5" s="3381"/>
      <c r="K5" s="854"/>
      <c r="L5" s="2134"/>
      <c r="M5" s="2135"/>
      <c r="N5" s="2135"/>
      <c r="O5" s="2135"/>
      <c r="P5" s="3373"/>
      <c r="Q5" s="3374"/>
      <c r="R5" s="3359"/>
      <c r="S5" s="3360"/>
      <c r="T5" s="3359"/>
      <c r="U5" s="3360"/>
      <c r="V5" s="3377"/>
      <c r="W5" s="3377"/>
      <c r="X5" s="1568"/>
      <c r="Y5" s="3359"/>
      <c r="Z5" s="3360"/>
      <c r="AA5" s="3353"/>
      <c r="AB5" s="3353"/>
      <c r="AC5" s="3353"/>
    </row>
    <row r="6" spans="1:29" ht="15.75" thickBot="1">
      <c r="A6" s="517"/>
      <c r="B6" s="518"/>
      <c r="C6" s="3378" t="s">
        <v>2936</v>
      </c>
      <c r="D6" s="3379"/>
      <c r="E6" s="3397" t="s">
        <v>2936</v>
      </c>
      <c r="F6" s="3398"/>
      <c r="G6" s="3378" t="s">
        <v>2936</v>
      </c>
      <c r="H6" s="3379"/>
      <c r="I6" s="3378" t="s">
        <v>2936</v>
      </c>
      <c r="J6" s="3379"/>
      <c r="K6" s="854" t="s">
        <v>528</v>
      </c>
      <c r="L6" s="2134"/>
      <c r="M6" s="2135"/>
      <c r="N6" s="2135"/>
      <c r="O6" s="2135"/>
      <c r="P6" s="3375"/>
      <c r="Q6" s="3376"/>
      <c r="R6" s="3359"/>
      <c r="S6" s="3360"/>
      <c r="T6" s="3361"/>
      <c r="U6" s="3362"/>
      <c r="V6" s="3377"/>
      <c r="W6" s="3377"/>
      <c r="X6" s="1568"/>
      <c r="Y6" s="3361"/>
      <c r="Z6" s="3362"/>
      <c r="AA6" s="3354"/>
      <c r="AB6" s="3354"/>
      <c r="AC6" s="3354"/>
    </row>
    <row r="7" spans="1:29" s="1220" customFormat="1" ht="15.75" thickBot="1">
      <c r="A7" s="2891"/>
      <c r="B7" s="2898" t="s">
        <v>529</v>
      </c>
      <c r="C7" s="519">
        <f>'数据-取费表'!B2</f>
        <v>43528</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5" t="s">
        <v>530</v>
      </c>
      <c r="Q7" s="3364"/>
      <c r="R7" s="1569" t="s">
        <v>13</v>
      </c>
      <c r="S7" s="1570">
        <f t="shared" ref="S7:S15" si="0">F7</f>
        <v>0</v>
      </c>
      <c r="T7" s="1569" t="s">
        <v>13</v>
      </c>
      <c r="U7" s="1570">
        <f t="shared" ref="U7:U15" si="1">H7</f>
        <v>0</v>
      </c>
      <c r="V7" s="1569" t="s">
        <v>13</v>
      </c>
      <c r="W7" s="1570">
        <f t="shared" ref="W7:W15" si="2">J7</f>
        <v>0</v>
      </c>
      <c r="X7" s="1571"/>
      <c r="Y7" s="3355" t="s">
        <v>530</v>
      </c>
      <c r="Z7" s="3356"/>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5" t="s">
        <v>533</v>
      </c>
      <c r="Q8" s="3356"/>
      <c r="R8" s="1569" t="s">
        <v>13</v>
      </c>
      <c r="S8" s="1570">
        <f t="shared" si="0"/>
        <v>0</v>
      </c>
      <c r="T8" s="1569" t="s">
        <v>13</v>
      </c>
      <c r="U8" s="1570">
        <f t="shared" si="1"/>
        <v>0</v>
      </c>
      <c r="V8" s="1569" t="s">
        <v>13</v>
      </c>
      <c r="W8" s="1570">
        <f t="shared" si="2"/>
        <v>0</v>
      </c>
      <c r="X8" s="1571"/>
      <c r="Y8" s="3355" t="s">
        <v>533</v>
      </c>
      <c r="Z8" s="3356"/>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3"/>
      <c r="Q11" s="1151" t="str">
        <f t="shared" si="6"/>
        <v>容积率</v>
      </c>
      <c r="R11" s="1569" t="s">
        <v>11</v>
      </c>
      <c r="S11" s="1570" t="e">
        <f t="shared" si="0"/>
        <v>#N/A</v>
      </c>
      <c r="T11" s="1569" t="s">
        <v>11</v>
      </c>
      <c r="U11" s="1570" t="e">
        <f t="shared" si="1"/>
        <v>#N/A</v>
      </c>
      <c r="V11" s="1569" t="s">
        <v>11</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3"/>
      <c r="Q12" s="1151">
        <f t="shared" si="6"/>
        <v>111</v>
      </c>
      <c r="R12" s="1569" t="s">
        <v>11</v>
      </c>
      <c r="S12" s="1570">
        <f t="shared" si="0"/>
        <v>100</v>
      </c>
      <c r="T12" s="1569" t="s">
        <v>11</v>
      </c>
      <c r="U12" s="1570">
        <f t="shared" si="1"/>
        <v>100</v>
      </c>
      <c r="V12" s="1569" t="s">
        <v>11</v>
      </c>
      <c r="W12" s="1570">
        <f t="shared" si="2"/>
        <v>100</v>
      </c>
      <c r="X12" s="1571"/>
      <c r="Y12" s="3320"/>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3"/>
      <c r="Q13" s="1151">
        <f t="shared" si="6"/>
        <v>111</v>
      </c>
      <c r="R13" s="1569" t="s">
        <v>11</v>
      </c>
      <c r="S13" s="1570">
        <f t="shared" si="0"/>
        <v>100</v>
      </c>
      <c r="T13" s="1569" t="s">
        <v>11</v>
      </c>
      <c r="U13" s="1570">
        <f t="shared" si="1"/>
        <v>100</v>
      </c>
      <c r="V13" s="1569" t="s">
        <v>11</v>
      </c>
      <c r="W13" s="1570">
        <f t="shared" si="2"/>
        <v>100</v>
      </c>
      <c r="X13" s="1571"/>
      <c r="Y13" s="3320"/>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3"/>
      <c r="Q14" s="1151">
        <f t="shared" si="6"/>
        <v>111</v>
      </c>
      <c r="R14" s="1569" t="s">
        <v>11</v>
      </c>
      <c r="S14" s="1570">
        <f t="shared" si="0"/>
        <v>100</v>
      </c>
      <c r="T14" s="1569" t="s">
        <v>11</v>
      </c>
      <c r="U14" s="1570">
        <f t="shared" si="1"/>
        <v>100</v>
      </c>
      <c r="V14" s="1569" t="s">
        <v>11</v>
      </c>
      <c r="W14" s="1570">
        <f t="shared" si="2"/>
        <v>100</v>
      </c>
      <c r="X14" s="1571"/>
      <c r="Y14" s="3320"/>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5" t="s">
        <v>540</v>
      </c>
      <c r="Q15" s="1573" t="str">
        <f t="shared" si="6"/>
        <v>居住社区成熟度</v>
      </c>
      <c r="R15" s="1574" t="s">
        <v>11</v>
      </c>
      <c r="S15" s="1575">
        <f t="shared" si="0"/>
        <v>100</v>
      </c>
      <c r="T15" s="1574" t="s">
        <v>11</v>
      </c>
      <c r="U15" s="1575">
        <f t="shared" si="1"/>
        <v>100</v>
      </c>
      <c r="V15" s="1574" t="s">
        <v>11</v>
      </c>
      <c r="W15" s="1575">
        <f t="shared" si="2"/>
        <v>100</v>
      </c>
      <c r="X15" s="1568"/>
      <c r="Y15" s="336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6"/>
      <c r="Q17" s="1573" t="str">
        <f>B17</f>
        <v>交通便捷度</v>
      </c>
      <c r="R17" s="1574" t="s">
        <v>11</v>
      </c>
      <c r="S17" s="1575">
        <f>F17</f>
        <v>100</v>
      </c>
      <c r="T17" s="1574" t="s">
        <v>11</v>
      </c>
      <c r="U17" s="1575">
        <f>H17</f>
        <v>100</v>
      </c>
      <c r="V17" s="1574" t="s">
        <v>11</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6"/>
      <c r="Q18" s="1573"/>
      <c r="R18" s="1574"/>
      <c r="S18" s="1575"/>
      <c r="T18" s="1574"/>
      <c r="U18" s="1575"/>
      <c r="V18" s="1574"/>
      <c r="W18" s="1575"/>
      <c r="X18" s="1568"/>
      <c r="Y18" s="336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6"/>
      <c r="Q19" s="1573" t="str">
        <f>B19</f>
        <v>公共配套设施</v>
      </c>
      <c r="R19" s="1574" t="s">
        <v>11</v>
      </c>
      <c r="S19" s="1575">
        <f>F19</f>
        <v>100</v>
      </c>
      <c r="T19" s="1574" t="s">
        <v>11</v>
      </c>
      <c r="U19" s="1575">
        <f>H19</f>
        <v>100</v>
      </c>
      <c r="V19" s="1574" t="s">
        <v>11</v>
      </c>
      <c r="W19" s="1575">
        <f>J19</f>
        <v>100</v>
      </c>
      <c r="X19" s="1568"/>
      <c r="Y19" s="336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6"/>
      <c r="Q20" s="1573"/>
      <c r="R20" s="1574"/>
      <c r="S20" s="1575"/>
      <c r="T20" s="1574"/>
      <c r="U20" s="1575"/>
      <c r="V20" s="1574"/>
      <c r="W20" s="1575"/>
      <c r="X20" s="1568"/>
      <c r="Y20" s="336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6"/>
      <c r="Q21" s="2559" t="str">
        <f>B21</f>
        <v>基础设施水平</v>
      </c>
      <c r="R21" s="1574" t="s">
        <v>11</v>
      </c>
      <c r="S21" s="1575">
        <f>F21</f>
        <v>100</v>
      </c>
      <c r="T21" s="1574" t="s">
        <v>11</v>
      </c>
      <c r="U21" s="1575">
        <f>H21</f>
        <v>100</v>
      </c>
      <c r="V21" s="1574" t="s">
        <v>11</v>
      </c>
      <c r="W21" s="1575">
        <f>J21</f>
        <v>100</v>
      </c>
      <c r="X21" s="2561"/>
      <c r="Y21" s="336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6"/>
      <c r="Q22" s="2559"/>
      <c r="R22" s="1574"/>
      <c r="S22" s="1575"/>
      <c r="T22" s="1574"/>
      <c r="U22" s="1575"/>
      <c r="V22" s="1574"/>
      <c r="W22" s="1575"/>
      <c r="X22" s="2561"/>
      <c r="Y22" s="3366"/>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6"/>
      <c r="Q23" s="1573" t="str">
        <f>B23</f>
        <v>自然及人文环境</v>
      </c>
      <c r="R23" s="1574" t="s">
        <v>11</v>
      </c>
      <c r="S23" s="1575">
        <f>F23</f>
        <v>100</v>
      </c>
      <c r="T23" s="1574" t="s">
        <v>11</v>
      </c>
      <c r="U23" s="1575">
        <f>H23</f>
        <v>100</v>
      </c>
      <c r="V23" s="1574" t="s">
        <v>11</v>
      </c>
      <c r="W23" s="1575">
        <f>J23</f>
        <v>100</v>
      </c>
      <c r="X23" s="1568"/>
      <c r="Y23" s="336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6"/>
      <c r="Q24" s="1573"/>
      <c r="R24" s="1574"/>
      <c r="S24" s="1575"/>
      <c r="T24" s="1574"/>
      <c r="U24" s="1575"/>
      <c r="V24" s="1574"/>
      <c r="W24" s="1575"/>
      <c r="X24" s="1568"/>
      <c r="Y24" s="3366"/>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6"/>
      <c r="Q25" s="1573" t="str">
        <f t="shared" ref="Q25:Q46" si="11">B25</f>
        <v>楼层-1</v>
      </c>
      <c r="R25" s="1574" t="s">
        <v>11</v>
      </c>
      <c r="S25" s="1575">
        <f>F25</f>
        <v>100</v>
      </c>
      <c r="T25" s="1574" t="s">
        <v>11</v>
      </c>
      <c r="U25" s="1575">
        <f>H25</f>
        <v>100</v>
      </c>
      <c r="V25" s="1574" t="s">
        <v>11</v>
      </c>
      <c r="W25" s="1575">
        <f>J25</f>
        <v>100</v>
      </c>
      <c r="X25" s="1568"/>
      <c r="Y25" s="336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6"/>
      <c r="Q26" s="1573" t="str">
        <f t="shared" si="11"/>
        <v>朝向</v>
      </c>
      <c r="R26" s="1574" t="s">
        <v>11</v>
      </c>
      <c r="S26" s="1575">
        <f>F26</f>
        <v>100</v>
      </c>
      <c r="T26" s="1574" t="s">
        <v>11</v>
      </c>
      <c r="U26" s="1575">
        <f>H26</f>
        <v>100</v>
      </c>
      <c r="V26" s="1574" t="s">
        <v>11</v>
      </c>
      <c r="W26" s="1575">
        <f>J26</f>
        <v>100</v>
      </c>
      <c r="X26" s="1568"/>
      <c r="Y26" s="336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6"/>
      <c r="Q27" s="1151" t="str">
        <f t="shared" si="11"/>
        <v>道路级别</v>
      </c>
      <c r="R27" s="1569" t="s">
        <v>11</v>
      </c>
      <c r="S27" s="1570">
        <f>F27</f>
        <v>100</v>
      </c>
      <c r="T27" s="1569" t="s">
        <v>11</v>
      </c>
      <c r="U27" s="1570">
        <f>H27</f>
        <v>100</v>
      </c>
      <c r="V27" s="1569" t="s">
        <v>11</v>
      </c>
      <c r="W27" s="1570">
        <f>J27</f>
        <v>100</v>
      </c>
      <c r="X27" s="1571"/>
      <c r="Y27" s="336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6"/>
      <c r="Q29" s="1573">
        <f t="shared" si="11"/>
        <v>111</v>
      </c>
      <c r="R29" s="1574" t="s">
        <v>11</v>
      </c>
      <c r="S29" s="1575">
        <f t="shared" si="12"/>
        <v>100</v>
      </c>
      <c r="T29" s="1574" t="s">
        <v>11</v>
      </c>
      <c r="U29" s="1575">
        <f t="shared" si="13"/>
        <v>100</v>
      </c>
      <c r="V29" s="1574" t="s">
        <v>11</v>
      </c>
      <c r="W29" s="1575">
        <f t="shared" si="14"/>
        <v>100</v>
      </c>
      <c r="X29" s="1568"/>
      <c r="Y29" s="33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6"/>
      <c r="Q30" s="1573">
        <f t="shared" si="11"/>
        <v>111</v>
      </c>
      <c r="R30" s="1574" t="s">
        <v>11</v>
      </c>
      <c r="S30" s="1575">
        <f t="shared" si="12"/>
        <v>100</v>
      </c>
      <c r="T30" s="1574" t="s">
        <v>11</v>
      </c>
      <c r="U30" s="1575">
        <f t="shared" si="13"/>
        <v>100</v>
      </c>
      <c r="V30" s="1574" t="s">
        <v>11</v>
      </c>
      <c r="W30" s="1575">
        <f t="shared" si="14"/>
        <v>100</v>
      </c>
      <c r="X30" s="1568"/>
      <c r="Y30" s="336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6"/>
      <c r="Q31" s="1573">
        <f t="shared" si="11"/>
        <v>111</v>
      </c>
      <c r="R31" s="1574" t="s">
        <v>11</v>
      </c>
      <c r="S31" s="1575">
        <f t="shared" si="12"/>
        <v>100</v>
      </c>
      <c r="T31" s="1574" t="s">
        <v>11</v>
      </c>
      <c r="U31" s="1575">
        <f t="shared" si="13"/>
        <v>100</v>
      </c>
      <c r="V31" s="1574" t="s">
        <v>11</v>
      </c>
      <c r="W31" s="1575">
        <f t="shared" si="14"/>
        <v>100</v>
      </c>
      <c r="X31" s="1568"/>
      <c r="Y31" s="3366"/>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7" t="s">
        <v>550</v>
      </c>
      <c r="Q32" s="1573" t="str">
        <f t="shared" si="11"/>
        <v>建筑类型</v>
      </c>
      <c r="R32" s="1574" t="s">
        <v>11</v>
      </c>
      <c r="S32" s="1575">
        <f t="shared" si="12"/>
        <v>100</v>
      </c>
      <c r="T32" s="1574" t="s">
        <v>11</v>
      </c>
      <c r="U32" s="1575">
        <f t="shared" si="13"/>
        <v>100</v>
      </c>
      <c r="V32" s="1574" t="s">
        <v>11</v>
      </c>
      <c r="W32" s="1575">
        <f t="shared" si="14"/>
        <v>100</v>
      </c>
      <c r="X32" s="1568"/>
      <c r="Y32" s="336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8"/>
      <c r="Q33" s="1606" t="str">
        <f t="shared" si="11"/>
        <v>项目建筑规模</v>
      </c>
      <c r="R33" s="1578" t="s">
        <v>11</v>
      </c>
      <c r="S33" s="1579" t="e">
        <f t="shared" si="12"/>
        <v>#N/A</v>
      </c>
      <c r="T33" s="1578" t="s">
        <v>11</v>
      </c>
      <c r="U33" s="1579" t="e">
        <f t="shared" si="13"/>
        <v>#N/A</v>
      </c>
      <c r="V33" s="1578" t="s">
        <v>11</v>
      </c>
      <c r="W33" s="1579" t="e">
        <f t="shared" si="14"/>
        <v>#N/A</v>
      </c>
      <c r="X33" s="1580"/>
      <c r="Y33" s="336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8"/>
      <c r="Q34" s="1573" t="str">
        <f t="shared" si="11"/>
        <v>建筑结构</v>
      </c>
      <c r="R34" s="1574" t="s">
        <v>11</v>
      </c>
      <c r="S34" s="1575">
        <f t="shared" si="12"/>
        <v>100</v>
      </c>
      <c r="T34" s="1574" t="s">
        <v>11</v>
      </c>
      <c r="U34" s="1575">
        <f t="shared" si="13"/>
        <v>100</v>
      </c>
      <c r="V34" s="1574" t="s">
        <v>11</v>
      </c>
      <c r="W34" s="1575">
        <f t="shared" si="14"/>
        <v>100</v>
      </c>
      <c r="X34" s="1568"/>
      <c r="Y34" s="336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8"/>
      <c r="Q35" s="1573" t="str">
        <f t="shared" si="11"/>
        <v>建筑品质</v>
      </c>
      <c r="R35" s="1574" t="s">
        <v>11</v>
      </c>
      <c r="S35" s="1575">
        <f t="shared" si="12"/>
        <v>100</v>
      </c>
      <c r="T35" s="1574" t="s">
        <v>11</v>
      </c>
      <c r="U35" s="1575">
        <f t="shared" si="13"/>
        <v>100</v>
      </c>
      <c r="V35" s="1574" t="s">
        <v>11</v>
      </c>
      <c r="W35" s="1575">
        <f t="shared" si="14"/>
        <v>100</v>
      </c>
      <c r="X35" s="1568"/>
      <c r="Y35" s="336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8"/>
      <c r="Q36" s="1573" t="str">
        <f t="shared" si="11"/>
        <v>公共部分装修</v>
      </c>
      <c r="R36" s="1574" t="s">
        <v>11</v>
      </c>
      <c r="S36" s="1575">
        <f t="shared" si="12"/>
        <v>100</v>
      </c>
      <c r="T36" s="1574" t="s">
        <v>11</v>
      </c>
      <c r="U36" s="1575">
        <f t="shared" si="13"/>
        <v>100</v>
      </c>
      <c r="V36" s="1574" t="s">
        <v>11</v>
      </c>
      <c r="W36" s="1575">
        <f t="shared" si="14"/>
        <v>100</v>
      </c>
      <c r="X36" s="1568"/>
      <c r="Y36" s="336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8"/>
      <c r="Q37" s="1151" t="str">
        <f t="shared" si="11"/>
        <v>成新度</v>
      </c>
      <c r="R37" s="1569" t="s">
        <v>11</v>
      </c>
      <c r="S37" s="1570" t="e">
        <f t="shared" si="12"/>
        <v>#N/A</v>
      </c>
      <c r="T37" s="1569" t="s">
        <v>11</v>
      </c>
      <c r="U37" s="1570" t="e">
        <f t="shared" si="13"/>
        <v>#N/A</v>
      </c>
      <c r="V37" s="1569" t="s">
        <v>11</v>
      </c>
      <c r="W37" s="1570" t="e">
        <f t="shared" si="14"/>
        <v>#N/A</v>
      </c>
      <c r="X37" s="1571"/>
      <c r="Y37" s="336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8" t="s">
        <v>550</v>
      </c>
      <c r="Q38" s="1573" t="str">
        <f t="shared" si="11"/>
        <v>物业管理</v>
      </c>
      <c r="R38" s="1574" t="s">
        <v>11</v>
      </c>
      <c r="S38" s="1575">
        <f t="shared" si="12"/>
        <v>100</v>
      </c>
      <c r="T38" s="1574" t="s">
        <v>11</v>
      </c>
      <c r="U38" s="1575">
        <f t="shared" si="13"/>
        <v>100</v>
      </c>
      <c r="V38" s="1574" t="s">
        <v>11</v>
      </c>
      <c r="W38" s="1575">
        <f t="shared" si="14"/>
        <v>100</v>
      </c>
      <c r="X38" s="1568"/>
      <c r="Y38" s="3368"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8"/>
      <c r="Q39" s="1573" t="str">
        <f t="shared" si="11"/>
        <v>市政基础设施</v>
      </c>
      <c r="R39" s="1574" t="s">
        <v>11</v>
      </c>
      <c r="S39" s="1575">
        <f t="shared" si="12"/>
        <v>100</v>
      </c>
      <c r="T39" s="1574" t="s">
        <v>11</v>
      </c>
      <c r="U39" s="1575">
        <f t="shared" si="13"/>
        <v>100</v>
      </c>
      <c r="V39" s="1574" t="s">
        <v>11</v>
      </c>
      <c r="W39" s="1575">
        <f t="shared" si="14"/>
        <v>100</v>
      </c>
      <c r="X39" s="1568"/>
      <c r="Y39" s="336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8"/>
      <c r="Q40" s="1573" t="str">
        <f t="shared" si="11"/>
        <v>房型</v>
      </c>
      <c r="R40" s="1574" t="s">
        <v>11</v>
      </c>
      <c r="S40" s="1575">
        <f t="shared" si="12"/>
        <v>100</v>
      </c>
      <c r="T40" s="1574" t="s">
        <v>11</v>
      </c>
      <c r="U40" s="1575">
        <f t="shared" si="13"/>
        <v>100</v>
      </c>
      <c r="V40" s="1574" t="s">
        <v>11</v>
      </c>
      <c r="W40" s="1575">
        <f t="shared" si="14"/>
        <v>100</v>
      </c>
      <c r="X40" s="1568"/>
      <c r="Y40" s="336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8"/>
      <c r="Q41" s="1606" t="str">
        <f t="shared" si="11"/>
        <v>单套/主力户型建筑面积</v>
      </c>
      <c r="R41" s="1578" t="s">
        <v>11</v>
      </c>
      <c r="S41" s="1579">
        <f t="shared" si="12"/>
        <v>100</v>
      </c>
      <c r="T41" s="1578" t="s">
        <v>11</v>
      </c>
      <c r="U41" s="1579">
        <f t="shared" si="13"/>
        <v>100</v>
      </c>
      <c r="V41" s="1578" t="s">
        <v>11</v>
      </c>
      <c r="W41" s="1579">
        <f t="shared" si="14"/>
        <v>100</v>
      </c>
      <c r="X41" s="1580"/>
      <c r="Y41" s="336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8"/>
      <c r="Q42" s="1573" t="str">
        <f t="shared" si="11"/>
        <v>内部装修</v>
      </c>
      <c r="R42" s="1574" t="s">
        <v>11</v>
      </c>
      <c r="S42" s="1575">
        <f t="shared" si="12"/>
        <v>100</v>
      </c>
      <c r="T42" s="1574" t="s">
        <v>11</v>
      </c>
      <c r="U42" s="1575">
        <f t="shared" si="13"/>
        <v>100</v>
      </c>
      <c r="V42" s="1574" t="s">
        <v>11</v>
      </c>
      <c r="W42" s="1575">
        <f t="shared" si="14"/>
        <v>100</v>
      </c>
      <c r="X42" s="1568"/>
      <c r="Y42" s="336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8"/>
      <c r="Q43" s="1573" t="str">
        <f t="shared" si="11"/>
        <v>内部装修维护情况</v>
      </c>
      <c r="R43" s="1574" t="s">
        <v>11</v>
      </c>
      <c r="S43" s="1575">
        <f t="shared" si="12"/>
        <v>100</v>
      </c>
      <c r="T43" s="1574" t="s">
        <v>11</v>
      </c>
      <c r="U43" s="1575">
        <f t="shared" si="13"/>
        <v>100</v>
      </c>
      <c r="V43" s="1574" t="s">
        <v>11</v>
      </c>
      <c r="W43" s="1575">
        <f t="shared" si="14"/>
        <v>100</v>
      </c>
      <c r="X43" s="1568"/>
      <c r="Y43" s="33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8"/>
      <c r="Q44" s="1151">
        <f t="shared" si="11"/>
        <v>111</v>
      </c>
      <c r="R44" s="1569" t="s">
        <v>11</v>
      </c>
      <c r="S44" s="1570">
        <f t="shared" si="12"/>
        <v>100</v>
      </c>
      <c r="T44" s="1569" t="s">
        <v>11</v>
      </c>
      <c r="U44" s="1570">
        <f t="shared" si="13"/>
        <v>100</v>
      </c>
      <c r="V44" s="1569" t="s">
        <v>11</v>
      </c>
      <c r="W44" s="1570">
        <f t="shared" si="14"/>
        <v>100</v>
      </c>
      <c r="X44" s="1571"/>
      <c r="Y44" s="33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8"/>
      <c r="Q45" s="1573">
        <f t="shared" si="11"/>
        <v>111</v>
      </c>
      <c r="R45" s="1574" t="s">
        <v>11</v>
      </c>
      <c r="S45" s="1575">
        <f t="shared" si="12"/>
        <v>100</v>
      </c>
      <c r="T45" s="1574" t="s">
        <v>11</v>
      </c>
      <c r="U45" s="1575">
        <f t="shared" si="13"/>
        <v>100</v>
      </c>
      <c r="V45" s="1574" t="s">
        <v>11</v>
      </c>
      <c r="W45" s="1575">
        <f t="shared" si="14"/>
        <v>100</v>
      </c>
      <c r="X45" s="1568"/>
      <c r="Y45" s="336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11"/>
        <v>111</v>
      </c>
      <c r="R46" s="1574" t="s">
        <v>10</v>
      </c>
      <c r="S46" s="1575">
        <f t="shared" si="12"/>
        <v>100</v>
      </c>
      <c r="T46" s="1574" t="s">
        <v>10</v>
      </c>
      <c r="U46" s="1575">
        <f t="shared" si="13"/>
        <v>100</v>
      </c>
      <c r="V46" s="1574" t="s">
        <v>10</v>
      </c>
      <c r="W46" s="1575">
        <f t="shared" si="14"/>
        <v>100</v>
      </c>
      <c r="X46" s="1568"/>
      <c r="Y46" s="3465"/>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3" t="str">
        <f>A47</f>
        <v>成交单价（元/平方米）</v>
      </c>
      <c r="Q47" s="3363"/>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3" t="str">
        <f>A48</f>
        <v>比较价格（元/平方米）</v>
      </c>
      <c r="Q48" s="33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9" t="s">
        <v>522</v>
      </c>
      <c r="D4" s="3370"/>
      <c r="E4" s="3393" t="s">
        <v>523</v>
      </c>
      <c r="F4" s="3394"/>
      <c r="G4" s="3369" t="s">
        <v>524</v>
      </c>
      <c r="H4" s="3370"/>
      <c r="I4" s="3369" t="s">
        <v>525</v>
      </c>
      <c r="J4" s="3370"/>
      <c r="K4" s="514" t="s">
        <v>526</v>
      </c>
      <c r="L4" s="2134"/>
      <c r="M4" s="2135"/>
      <c r="N4" s="2135"/>
      <c r="O4" s="2135"/>
      <c r="P4" s="3371" t="s">
        <v>527</v>
      </c>
      <c r="Q4" s="3372"/>
      <c r="R4" s="3357" t="s">
        <v>523</v>
      </c>
      <c r="S4" s="3358"/>
      <c r="T4" s="3357" t="s">
        <v>524</v>
      </c>
      <c r="U4" s="3358"/>
      <c r="V4" s="3377" t="s">
        <v>525</v>
      </c>
      <c r="W4" s="3377"/>
      <c r="X4" s="1568"/>
      <c r="Y4" s="3357" t="s">
        <v>527</v>
      </c>
      <c r="Z4" s="3358"/>
      <c r="AA4" s="3352" t="s">
        <v>523</v>
      </c>
      <c r="AB4" s="3377" t="s">
        <v>524</v>
      </c>
      <c r="AC4" s="3352" t="s">
        <v>525</v>
      </c>
    </row>
    <row r="5" spans="1:29" ht="15">
      <c r="A5" s="515"/>
      <c r="B5" s="516"/>
      <c r="C5" s="3380" t="s">
        <v>2932</v>
      </c>
      <c r="D5" s="3381"/>
      <c r="E5" s="3395" t="s">
        <v>2933</v>
      </c>
      <c r="F5" s="3396"/>
      <c r="G5" s="3380" t="s">
        <v>2934</v>
      </c>
      <c r="H5" s="3381"/>
      <c r="I5" s="3380" t="s">
        <v>2935</v>
      </c>
      <c r="J5" s="3381"/>
      <c r="K5" s="514"/>
      <c r="L5" s="2134"/>
      <c r="M5" s="2135"/>
      <c r="N5" s="2135"/>
      <c r="O5" s="2135"/>
      <c r="P5" s="3373"/>
      <c r="Q5" s="3374"/>
      <c r="R5" s="3359"/>
      <c r="S5" s="3360"/>
      <c r="T5" s="3359"/>
      <c r="U5" s="3360"/>
      <c r="V5" s="3377"/>
      <c r="W5" s="3377"/>
      <c r="X5" s="1568"/>
      <c r="Y5" s="3359"/>
      <c r="Z5" s="3360"/>
      <c r="AA5" s="3353"/>
      <c r="AB5" s="3377"/>
      <c r="AC5" s="3353"/>
    </row>
    <row r="6" spans="1:29" ht="15.75" thickBot="1">
      <c r="A6" s="517"/>
      <c r="B6" s="518"/>
      <c r="C6" s="3378" t="s">
        <v>2936</v>
      </c>
      <c r="D6" s="3379"/>
      <c r="E6" s="3397" t="s">
        <v>2936</v>
      </c>
      <c r="F6" s="3398"/>
      <c r="G6" s="3378" t="s">
        <v>2936</v>
      </c>
      <c r="H6" s="3379"/>
      <c r="I6" s="3378" t="s">
        <v>2936</v>
      </c>
      <c r="J6" s="3379"/>
      <c r="K6" s="514" t="s">
        <v>528</v>
      </c>
      <c r="L6" s="2134"/>
      <c r="M6" s="2135"/>
      <c r="N6" s="2135"/>
      <c r="O6" s="2135"/>
      <c r="P6" s="3375"/>
      <c r="Q6" s="3376"/>
      <c r="R6" s="3359"/>
      <c r="S6" s="3360"/>
      <c r="T6" s="3361"/>
      <c r="U6" s="3362"/>
      <c r="V6" s="3377"/>
      <c r="W6" s="3377"/>
      <c r="X6" s="1568"/>
      <c r="Y6" s="3361"/>
      <c r="Z6" s="3362"/>
      <c r="AA6" s="3354"/>
      <c r="AB6" s="3377"/>
      <c r="AC6" s="3354"/>
    </row>
    <row r="7" spans="1:29" s="1220" customFormat="1" ht="15.75" thickBot="1">
      <c r="A7" s="2891"/>
      <c r="B7" s="2898" t="s">
        <v>529</v>
      </c>
      <c r="C7" s="519">
        <f>'数据-取费表'!B2</f>
        <v>43528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5" t="s">
        <v>530</v>
      </c>
      <c r="Q7" s="3364"/>
      <c r="R7" s="1569" t="s">
        <v>8</v>
      </c>
      <c r="S7" s="1570">
        <f t="shared" ref="S7:S15" si="0">F7</f>
        <v>0</v>
      </c>
      <c r="T7" s="1569" t="s">
        <v>8</v>
      </c>
      <c r="U7" s="1570">
        <f t="shared" ref="U7:U15" si="1">H7</f>
        <v>0</v>
      </c>
      <c r="V7" s="1569" t="s">
        <v>8</v>
      </c>
      <c r="W7" s="1570">
        <f t="shared" ref="W7:W15" si="2">J7</f>
        <v>0</v>
      </c>
      <c r="X7" s="1571"/>
      <c r="Y7" s="3355" t="s">
        <v>530</v>
      </c>
      <c r="Z7" s="3356"/>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5" t="s">
        <v>533</v>
      </c>
      <c r="Q8" s="3356"/>
      <c r="R8" s="1569" t="s">
        <v>8</v>
      </c>
      <c r="S8" s="1570">
        <f t="shared" si="0"/>
        <v>0</v>
      </c>
      <c r="T8" s="1569" t="s">
        <v>8</v>
      </c>
      <c r="U8" s="1570">
        <f t="shared" si="1"/>
        <v>0</v>
      </c>
      <c r="V8" s="1569" t="s">
        <v>8</v>
      </c>
      <c r="W8" s="1570">
        <f t="shared" si="2"/>
        <v>0</v>
      </c>
      <c r="X8" s="1571"/>
      <c r="Y8" s="3355" t="s">
        <v>533</v>
      </c>
      <c r="Z8" s="3356"/>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5" t="s">
        <v>540</v>
      </c>
      <c r="Q15" s="1573" t="str">
        <f t="shared" si="6"/>
        <v>商业繁华度</v>
      </c>
      <c r="R15" s="1574" t="s">
        <v>8</v>
      </c>
      <c r="S15" s="1575">
        <f t="shared" si="0"/>
        <v>100</v>
      </c>
      <c r="T15" s="1574" t="s">
        <v>8</v>
      </c>
      <c r="U15" s="1575">
        <f t="shared" si="1"/>
        <v>100</v>
      </c>
      <c r="V15" s="1574" t="s">
        <v>8</v>
      </c>
      <c r="W15" s="1575">
        <f t="shared" si="2"/>
        <v>100</v>
      </c>
      <c r="X15" s="1568"/>
      <c r="Y15" s="336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6"/>
      <c r="Q18" s="1573"/>
      <c r="R18" s="1574"/>
      <c r="S18" s="1575"/>
      <c r="T18" s="1574"/>
      <c r="U18" s="1575"/>
      <c r="V18" s="1574"/>
      <c r="W18" s="1575"/>
      <c r="X18" s="1568"/>
      <c r="Y18" s="336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6"/>
      <c r="Q20" s="1573"/>
      <c r="R20" s="1574"/>
      <c r="S20" s="1575"/>
      <c r="T20" s="1574"/>
      <c r="U20" s="1575"/>
      <c r="V20" s="1574"/>
      <c r="W20" s="1575"/>
      <c r="X20" s="1568"/>
      <c r="Y20" s="336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6"/>
      <c r="Q21" s="2559" t="str">
        <f>B21</f>
        <v>基础设施水平</v>
      </c>
      <c r="R21" s="1574" t="s">
        <v>8</v>
      </c>
      <c r="S21" s="1575">
        <f>F21</f>
        <v>100</v>
      </c>
      <c r="T21" s="1574" t="s">
        <v>8</v>
      </c>
      <c r="U21" s="1575">
        <f>H21</f>
        <v>100</v>
      </c>
      <c r="V21" s="1574" t="s">
        <v>8</v>
      </c>
      <c r="W21" s="1575">
        <f>J21</f>
        <v>100</v>
      </c>
      <c r="X21" s="2561"/>
      <c r="Y21" s="336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6"/>
      <c r="Q22" s="2559"/>
      <c r="R22" s="1574"/>
      <c r="S22" s="1575"/>
      <c r="T22" s="1574"/>
      <c r="U22" s="1575"/>
      <c r="V22" s="1574"/>
      <c r="W22" s="1575"/>
      <c r="X22" s="2561"/>
      <c r="Y22" s="3366"/>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6"/>
      <c r="Q23" s="1573" t="str">
        <f>B23</f>
        <v>自然及人文环境</v>
      </c>
      <c r="R23" s="1574" t="s">
        <v>8</v>
      </c>
      <c r="S23" s="1575">
        <f>F23</f>
        <v>100</v>
      </c>
      <c r="T23" s="1574" t="s">
        <v>8</v>
      </c>
      <c r="U23" s="1575">
        <f>H23</f>
        <v>100</v>
      </c>
      <c r="V23" s="1574" t="s">
        <v>8</v>
      </c>
      <c r="W23" s="1575">
        <f>J23</f>
        <v>100</v>
      </c>
      <c r="X23" s="1568"/>
      <c r="Y23" s="336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6"/>
      <c r="Q24" s="1573"/>
      <c r="R24" s="1574"/>
      <c r="S24" s="1575"/>
      <c r="T24" s="1574"/>
      <c r="U24" s="1575"/>
      <c r="V24" s="1574"/>
      <c r="W24" s="1575"/>
      <c r="X24" s="1568"/>
      <c r="Y24" s="336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6"/>
      <c r="Q25" s="1573" t="str">
        <f t="shared" ref="Q25:Q46" si="11">B25</f>
        <v>临街状况</v>
      </c>
      <c r="R25" s="1574" t="s">
        <v>8</v>
      </c>
      <c r="S25" s="1575">
        <f>F25</f>
        <v>100</v>
      </c>
      <c r="T25" s="1574" t="s">
        <v>8</v>
      </c>
      <c r="U25" s="1575">
        <f>H25</f>
        <v>100</v>
      </c>
      <c r="V25" s="1574" t="s">
        <v>8</v>
      </c>
      <c r="W25" s="1575">
        <f>J25</f>
        <v>100</v>
      </c>
      <c r="X25" s="1568"/>
      <c r="Y25" s="336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6"/>
      <c r="Q26" s="1573" t="str">
        <f t="shared" si="11"/>
        <v>平面位置/可视性</v>
      </c>
      <c r="R26" s="1574" t="s">
        <v>8</v>
      </c>
      <c r="S26" s="1575">
        <f>F26</f>
        <v>100</v>
      </c>
      <c r="T26" s="1574" t="s">
        <v>8</v>
      </c>
      <c r="U26" s="1575">
        <f>H26</f>
        <v>100</v>
      </c>
      <c r="V26" s="1574" t="s">
        <v>8</v>
      </c>
      <c r="W26" s="1575">
        <f>J26</f>
        <v>100</v>
      </c>
      <c r="X26" s="1568"/>
      <c r="Y26" s="336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6"/>
      <c r="Q27" s="1151" t="str">
        <f t="shared" si="11"/>
        <v>人流量</v>
      </c>
      <c r="R27" s="1569" t="s">
        <v>8</v>
      </c>
      <c r="S27" s="1570">
        <f>F27</f>
        <v>100</v>
      </c>
      <c r="T27" s="1569" t="s">
        <v>8</v>
      </c>
      <c r="U27" s="1570">
        <f>H27</f>
        <v>100</v>
      </c>
      <c r="V27" s="1569" t="s">
        <v>8</v>
      </c>
      <c r="W27" s="1570">
        <f>J27</f>
        <v>100</v>
      </c>
      <c r="X27" s="1571"/>
      <c r="Y27" s="336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6"/>
      <c r="Q29" s="1573">
        <f t="shared" si="11"/>
        <v>111</v>
      </c>
      <c r="R29" s="1574" t="s">
        <v>8</v>
      </c>
      <c r="S29" s="1575">
        <f t="shared" si="12"/>
        <v>100</v>
      </c>
      <c r="T29" s="1574" t="s">
        <v>8</v>
      </c>
      <c r="U29" s="1575">
        <f t="shared" si="13"/>
        <v>100</v>
      </c>
      <c r="V29" s="1574" t="s">
        <v>8</v>
      </c>
      <c r="W29" s="1575">
        <f t="shared" si="14"/>
        <v>100</v>
      </c>
      <c r="X29" s="1568"/>
      <c r="Y29" s="336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6"/>
      <c r="Q30" s="1573">
        <f t="shared" si="11"/>
        <v>111</v>
      </c>
      <c r="R30" s="1574" t="s">
        <v>8</v>
      </c>
      <c r="S30" s="1575">
        <f t="shared" si="12"/>
        <v>100</v>
      </c>
      <c r="T30" s="1574" t="s">
        <v>8</v>
      </c>
      <c r="U30" s="1575">
        <f t="shared" si="13"/>
        <v>100</v>
      </c>
      <c r="V30" s="1574" t="s">
        <v>8</v>
      </c>
      <c r="W30" s="1575">
        <f t="shared" si="14"/>
        <v>100</v>
      </c>
      <c r="X30" s="1568"/>
      <c r="Y30" s="336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6"/>
      <c r="Q31" s="1573">
        <f t="shared" si="11"/>
        <v>111</v>
      </c>
      <c r="R31" s="1574" t="s">
        <v>8</v>
      </c>
      <c r="S31" s="1575">
        <f t="shared" si="12"/>
        <v>100</v>
      </c>
      <c r="T31" s="1574" t="s">
        <v>8</v>
      </c>
      <c r="U31" s="1575">
        <f t="shared" si="13"/>
        <v>100</v>
      </c>
      <c r="V31" s="1574" t="s">
        <v>8</v>
      </c>
      <c r="W31" s="1575">
        <f t="shared" si="14"/>
        <v>100</v>
      </c>
      <c r="X31" s="1568"/>
      <c r="Y31" s="3366"/>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7" t="s">
        <v>550</v>
      </c>
      <c r="Q32" s="1573" t="str">
        <f t="shared" si="11"/>
        <v>商业类型</v>
      </c>
      <c r="R32" s="1574" t="s">
        <v>8</v>
      </c>
      <c r="S32" s="1575">
        <f t="shared" si="12"/>
        <v>100</v>
      </c>
      <c r="T32" s="1574" t="s">
        <v>8</v>
      </c>
      <c r="U32" s="1575">
        <f t="shared" si="13"/>
        <v>100</v>
      </c>
      <c r="V32" s="1574" t="s">
        <v>8</v>
      </c>
      <c r="W32" s="1575">
        <f t="shared" si="14"/>
        <v>100</v>
      </c>
      <c r="X32" s="1568"/>
      <c r="Y32" s="336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8"/>
      <c r="Q33" s="1606" t="str">
        <f t="shared" si="11"/>
        <v>项目建筑规模</v>
      </c>
      <c r="R33" s="1578" t="s">
        <v>8</v>
      </c>
      <c r="S33" s="1579" t="e">
        <f t="shared" si="12"/>
        <v>#N/A</v>
      </c>
      <c r="T33" s="1578" t="s">
        <v>8</v>
      </c>
      <c r="U33" s="1579" t="e">
        <f t="shared" si="13"/>
        <v>#N/A</v>
      </c>
      <c r="V33" s="1578" t="s">
        <v>8</v>
      </c>
      <c r="W33" s="1579" t="e">
        <f t="shared" si="14"/>
        <v>#N/A</v>
      </c>
      <c r="X33" s="1580"/>
      <c r="Y33" s="336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8"/>
      <c r="Q34" s="1573" t="str">
        <f t="shared" si="11"/>
        <v>建筑结构</v>
      </c>
      <c r="R34" s="1574" t="s">
        <v>8</v>
      </c>
      <c r="S34" s="1575">
        <f t="shared" si="12"/>
        <v>100</v>
      </c>
      <c r="T34" s="1574" t="s">
        <v>8</v>
      </c>
      <c r="U34" s="1575">
        <f t="shared" si="13"/>
        <v>100</v>
      </c>
      <c r="V34" s="1574" t="s">
        <v>8</v>
      </c>
      <c r="W34" s="1575">
        <f t="shared" si="14"/>
        <v>100</v>
      </c>
      <c r="X34" s="1568"/>
      <c r="Y34" s="336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8"/>
      <c r="Q35" s="1573" t="str">
        <f t="shared" si="11"/>
        <v>公共部分装修</v>
      </c>
      <c r="R35" s="1574" t="s">
        <v>8</v>
      </c>
      <c r="S35" s="1575">
        <f t="shared" si="12"/>
        <v>100</v>
      </c>
      <c r="T35" s="1574" t="s">
        <v>8</v>
      </c>
      <c r="U35" s="1575">
        <f t="shared" si="13"/>
        <v>100</v>
      </c>
      <c r="V35" s="1574" t="s">
        <v>8</v>
      </c>
      <c r="W35" s="1575">
        <f t="shared" si="14"/>
        <v>100</v>
      </c>
      <c r="X35" s="1568"/>
      <c r="Y35" s="336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8"/>
      <c r="Q36" s="1573" t="str">
        <f t="shared" si="11"/>
        <v>成新度</v>
      </c>
      <c r="R36" s="1574" t="s">
        <v>8</v>
      </c>
      <c r="S36" s="1575" t="e">
        <f t="shared" si="12"/>
        <v>#N/A</v>
      </c>
      <c r="T36" s="1574" t="s">
        <v>8</v>
      </c>
      <c r="U36" s="1575" t="e">
        <f t="shared" si="13"/>
        <v>#N/A</v>
      </c>
      <c r="V36" s="1574" t="s">
        <v>8</v>
      </c>
      <c r="W36" s="1575" t="e">
        <f t="shared" si="14"/>
        <v>#N/A</v>
      </c>
      <c r="X36" s="1568"/>
      <c r="Y36" s="3368"/>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8"/>
      <c r="Q37" s="1151" t="str">
        <f t="shared" si="11"/>
        <v>市政基础设施</v>
      </c>
      <c r="R37" s="1569" t="s">
        <v>8</v>
      </c>
      <c r="S37" s="1570">
        <f t="shared" si="12"/>
        <v>100</v>
      </c>
      <c r="T37" s="1569" t="s">
        <v>8</v>
      </c>
      <c r="U37" s="1570">
        <f t="shared" si="13"/>
        <v>100</v>
      </c>
      <c r="V37" s="1569" t="s">
        <v>8</v>
      </c>
      <c r="W37" s="1570">
        <f t="shared" si="14"/>
        <v>100</v>
      </c>
      <c r="X37" s="1571"/>
      <c r="Y37" s="336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8" t="s">
        <v>766</v>
      </c>
      <c r="Q38" s="1573" t="str">
        <f t="shared" si="11"/>
        <v>业态</v>
      </c>
      <c r="R38" s="1574" t="s">
        <v>8</v>
      </c>
      <c r="S38" s="1575">
        <f t="shared" si="12"/>
        <v>100</v>
      </c>
      <c r="T38" s="1574" t="s">
        <v>8</v>
      </c>
      <c r="U38" s="1575">
        <f t="shared" si="13"/>
        <v>100</v>
      </c>
      <c r="V38" s="1574" t="s">
        <v>8</v>
      </c>
      <c r="W38" s="1575">
        <f t="shared" si="14"/>
        <v>100</v>
      </c>
      <c r="X38" s="1568"/>
      <c r="Y38" s="336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8"/>
      <c r="Q39" s="1573" t="str">
        <f t="shared" si="11"/>
        <v>层高</v>
      </c>
      <c r="R39" s="1574" t="s">
        <v>8</v>
      </c>
      <c r="S39" s="1575">
        <f t="shared" si="12"/>
        <v>100</v>
      </c>
      <c r="T39" s="1574" t="s">
        <v>8</v>
      </c>
      <c r="U39" s="1575">
        <f t="shared" si="13"/>
        <v>100</v>
      </c>
      <c r="V39" s="1574" t="s">
        <v>8</v>
      </c>
      <c r="W39" s="1575">
        <f t="shared" si="14"/>
        <v>100</v>
      </c>
      <c r="X39" s="1568"/>
      <c r="Y39" s="336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8"/>
      <c r="Q40" s="1573" t="str">
        <f t="shared" si="11"/>
        <v>单套建筑面积</v>
      </c>
      <c r="R40" s="1574" t="s">
        <v>8</v>
      </c>
      <c r="S40" s="1575">
        <f t="shared" si="12"/>
        <v>100</v>
      </c>
      <c r="T40" s="1574" t="s">
        <v>8</v>
      </c>
      <c r="U40" s="1575">
        <f t="shared" si="13"/>
        <v>100</v>
      </c>
      <c r="V40" s="1574" t="s">
        <v>8</v>
      </c>
      <c r="W40" s="1575">
        <f t="shared" si="14"/>
        <v>100</v>
      </c>
      <c r="X40" s="1568"/>
      <c r="Y40" s="336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8"/>
      <c r="Q41" s="1606" t="str">
        <f t="shared" si="11"/>
        <v>进深比</v>
      </c>
      <c r="R41" s="1578" t="s">
        <v>8</v>
      </c>
      <c r="S41" s="1579">
        <f t="shared" si="12"/>
        <v>100</v>
      </c>
      <c r="T41" s="1578" t="s">
        <v>8</v>
      </c>
      <c r="U41" s="1579">
        <f t="shared" si="13"/>
        <v>100</v>
      </c>
      <c r="V41" s="1578" t="s">
        <v>8</v>
      </c>
      <c r="W41" s="1579">
        <f t="shared" si="14"/>
        <v>100</v>
      </c>
      <c r="X41" s="1580"/>
      <c r="Y41" s="336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8"/>
      <c r="Q42" s="1573" t="str">
        <f t="shared" si="11"/>
        <v>内部装修</v>
      </c>
      <c r="R42" s="1574" t="s">
        <v>8</v>
      </c>
      <c r="S42" s="1575">
        <f t="shared" si="12"/>
        <v>100</v>
      </c>
      <c r="T42" s="1574" t="s">
        <v>8</v>
      </c>
      <c r="U42" s="1575">
        <f t="shared" si="13"/>
        <v>100</v>
      </c>
      <c r="V42" s="1574" t="s">
        <v>8</v>
      </c>
      <c r="W42" s="1575">
        <f t="shared" si="14"/>
        <v>100</v>
      </c>
      <c r="X42" s="1568"/>
      <c r="Y42" s="336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8"/>
      <c r="Q43" s="1573" t="str">
        <f t="shared" si="11"/>
        <v>内部装修维护情况</v>
      </c>
      <c r="R43" s="1574" t="s">
        <v>8</v>
      </c>
      <c r="S43" s="1575">
        <f t="shared" si="12"/>
        <v>100</v>
      </c>
      <c r="T43" s="1574" t="s">
        <v>8</v>
      </c>
      <c r="U43" s="1575">
        <f t="shared" si="13"/>
        <v>100</v>
      </c>
      <c r="V43" s="1574" t="s">
        <v>8</v>
      </c>
      <c r="W43" s="1575">
        <f t="shared" si="14"/>
        <v>100</v>
      </c>
      <c r="X43" s="1568"/>
      <c r="Y43" s="336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8"/>
      <c r="Q44" s="1151">
        <f t="shared" si="11"/>
        <v>111</v>
      </c>
      <c r="R44" s="1569" t="s">
        <v>8</v>
      </c>
      <c r="S44" s="1570">
        <f t="shared" si="12"/>
        <v>100</v>
      </c>
      <c r="T44" s="1569" t="s">
        <v>8</v>
      </c>
      <c r="U44" s="1570">
        <f t="shared" si="13"/>
        <v>100</v>
      </c>
      <c r="V44" s="1569" t="s">
        <v>8</v>
      </c>
      <c r="W44" s="1570">
        <f t="shared" si="14"/>
        <v>100</v>
      </c>
      <c r="X44" s="1571"/>
      <c r="Y44" s="336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8"/>
      <c r="Q45" s="1573">
        <f t="shared" si="11"/>
        <v>111</v>
      </c>
      <c r="R45" s="1574" t="s">
        <v>8</v>
      </c>
      <c r="S45" s="1575">
        <f t="shared" si="12"/>
        <v>100</v>
      </c>
      <c r="T45" s="1574" t="s">
        <v>8</v>
      </c>
      <c r="U45" s="1575">
        <f t="shared" si="13"/>
        <v>100</v>
      </c>
      <c r="V45" s="1574" t="s">
        <v>8</v>
      </c>
      <c r="W45" s="1575">
        <f t="shared" si="14"/>
        <v>100</v>
      </c>
      <c r="X45" s="1568"/>
      <c r="Y45" s="336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11"/>
        <v>111</v>
      </c>
      <c r="R46" s="1574" t="s">
        <v>8</v>
      </c>
      <c r="S46" s="1575">
        <f t="shared" si="12"/>
        <v>100</v>
      </c>
      <c r="T46" s="1574" t="s">
        <v>8</v>
      </c>
      <c r="U46" s="1575">
        <f t="shared" si="13"/>
        <v>100</v>
      </c>
      <c r="V46" s="1574" t="s">
        <v>8</v>
      </c>
      <c r="W46" s="1575">
        <f t="shared" si="14"/>
        <v>100</v>
      </c>
      <c r="X46" s="1568"/>
      <c r="Y46" s="3465"/>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3" t="str">
        <f>A47</f>
        <v>成交单价（元/平方米）</v>
      </c>
      <c r="Q47" s="3363"/>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3" t="str">
        <f>A48</f>
        <v>比较价格（元/平方米）</v>
      </c>
      <c r="Q48" s="33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9" t="s">
        <v>522</v>
      </c>
      <c r="D4" s="3370"/>
      <c r="E4" s="3393" t="s">
        <v>523</v>
      </c>
      <c r="F4" s="3394"/>
      <c r="G4" s="3369" t="s">
        <v>524</v>
      </c>
      <c r="H4" s="3370"/>
      <c r="I4" s="3369" t="s">
        <v>525</v>
      </c>
      <c r="J4" s="3370"/>
      <c r="K4" s="514" t="s">
        <v>526</v>
      </c>
      <c r="L4" s="2134"/>
      <c r="M4" s="2135"/>
      <c r="N4" s="2135"/>
      <c r="O4" s="2135"/>
      <c r="P4" s="3466" t="s">
        <v>527</v>
      </c>
      <c r="Q4" s="3372"/>
      <c r="R4" s="3357" t="s">
        <v>523</v>
      </c>
      <c r="S4" s="3358"/>
      <c r="T4" s="3357" t="s">
        <v>524</v>
      </c>
      <c r="U4" s="3358"/>
      <c r="V4" s="3377" t="s">
        <v>525</v>
      </c>
      <c r="W4" s="3377"/>
      <c r="X4" s="1568"/>
      <c r="Y4" s="3357" t="s">
        <v>527</v>
      </c>
      <c r="Z4" s="3358"/>
      <c r="AA4" s="3352" t="s">
        <v>523</v>
      </c>
      <c r="AB4" s="3352" t="s">
        <v>524</v>
      </c>
      <c r="AC4" s="3352" t="s">
        <v>525</v>
      </c>
    </row>
    <row r="5" spans="1:29" ht="15">
      <c r="A5" s="515"/>
      <c r="B5" s="516"/>
      <c r="C5" s="3380" t="s">
        <v>2932</v>
      </c>
      <c r="D5" s="3381"/>
      <c r="E5" s="3395" t="s">
        <v>2933</v>
      </c>
      <c r="F5" s="3396"/>
      <c r="G5" s="3380" t="s">
        <v>2934</v>
      </c>
      <c r="H5" s="3381"/>
      <c r="I5" s="3380" t="s">
        <v>2935</v>
      </c>
      <c r="J5" s="3381"/>
      <c r="K5" s="514"/>
      <c r="L5" s="2134"/>
      <c r="M5" s="2135"/>
      <c r="N5" s="2135"/>
      <c r="O5" s="2135"/>
      <c r="P5" s="3467"/>
      <c r="Q5" s="3374"/>
      <c r="R5" s="3359"/>
      <c r="S5" s="3360"/>
      <c r="T5" s="3359"/>
      <c r="U5" s="3360"/>
      <c r="V5" s="3377"/>
      <c r="W5" s="3377"/>
      <c r="X5" s="1568"/>
      <c r="Y5" s="3359"/>
      <c r="Z5" s="3360"/>
      <c r="AA5" s="3353"/>
      <c r="AB5" s="3353"/>
      <c r="AC5" s="3353"/>
    </row>
    <row r="6" spans="1:29" ht="15.75" thickBot="1">
      <c r="A6" s="517"/>
      <c r="B6" s="518"/>
      <c r="C6" s="3378" t="s">
        <v>2936</v>
      </c>
      <c r="D6" s="3379"/>
      <c r="E6" s="3397" t="s">
        <v>2936</v>
      </c>
      <c r="F6" s="3398"/>
      <c r="G6" s="3378" t="s">
        <v>2936</v>
      </c>
      <c r="H6" s="3379"/>
      <c r="I6" s="3378" t="s">
        <v>2936</v>
      </c>
      <c r="J6" s="3379"/>
      <c r="K6" s="514" t="s">
        <v>528</v>
      </c>
      <c r="L6" s="2134"/>
      <c r="M6" s="2135"/>
      <c r="N6" s="2135"/>
      <c r="O6" s="2135"/>
      <c r="P6" s="3468"/>
      <c r="Q6" s="3376"/>
      <c r="R6" s="3359"/>
      <c r="S6" s="3360"/>
      <c r="T6" s="3361"/>
      <c r="U6" s="3362"/>
      <c r="V6" s="3377"/>
      <c r="W6" s="3377"/>
      <c r="X6" s="1568"/>
      <c r="Y6" s="3361"/>
      <c r="Z6" s="3362"/>
      <c r="AA6" s="3354"/>
      <c r="AB6" s="3354"/>
      <c r="AC6" s="3354"/>
    </row>
    <row r="7" spans="1:29" s="1220" customFormat="1" ht="15.75" thickBot="1">
      <c r="A7" s="2891"/>
      <c r="B7" s="2898" t="s">
        <v>529</v>
      </c>
      <c r="C7" s="519">
        <f>'数据-取费表'!B2</f>
        <v>43528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4" t="s">
        <v>530</v>
      </c>
      <c r="Q7" s="3364"/>
      <c r="R7" s="1569" t="s">
        <v>8</v>
      </c>
      <c r="S7" s="1570">
        <f t="shared" ref="S7:S15" si="0">F7</f>
        <v>0</v>
      </c>
      <c r="T7" s="1569" t="s">
        <v>8</v>
      </c>
      <c r="U7" s="1570">
        <f t="shared" ref="U7:U15" si="1">H7</f>
        <v>0</v>
      </c>
      <c r="V7" s="1569" t="s">
        <v>8</v>
      </c>
      <c r="W7" s="1570">
        <f t="shared" ref="W7:W15" si="2">J7</f>
        <v>0</v>
      </c>
      <c r="X7" s="1571"/>
      <c r="Y7" s="3355" t="s">
        <v>530</v>
      </c>
      <c r="Z7" s="3356"/>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4" t="s">
        <v>533</v>
      </c>
      <c r="Q8" s="3356"/>
      <c r="R8" s="1569" t="s">
        <v>8</v>
      </c>
      <c r="S8" s="1570">
        <f t="shared" si="0"/>
        <v>0</v>
      </c>
      <c r="T8" s="1569" t="s">
        <v>8</v>
      </c>
      <c r="U8" s="1570">
        <f t="shared" si="1"/>
        <v>0</v>
      </c>
      <c r="V8" s="1569" t="s">
        <v>8</v>
      </c>
      <c r="W8" s="1570">
        <f t="shared" si="2"/>
        <v>0</v>
      </c>
      <c r="X8" s="1571"/>
      <c r="Y8" s="3355" t="s">
        <v>533</v>
      </c>
      <c r="Z8" s="3356"/>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5" t="s">
        <v>540</v>
      </c>
      <c r="Q15" s="1573" t="str">
        <f t="shared" si="6"/>
        <v>办公集聚程度</v>
      </c>
      <c r="R15" s="1574" t="s">
        <v>8</v>
      </c>
      <c r="S15" s="1575">
        <f t="shared" si="0"/>
        <v>100</v>
      </c>
      <c r="T15" s="1574" t="s">
        <v>8</v>
      </c>
      <c r="U15" s="1575">
        <f t="shared" si="1"/>
        <v>100</v>
      </c>
      <c r="V15" s="1574" t="s">
        <v>8</v>
      </c>
      <c r="W15" s="1575">
        <f t="shared" si="2"/>
        <v>100</v>
      </c>
      <c r="X15" s="1568"/>
      <c r="Y15" s="336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6"/>
      <c r="Q16" s="1573"/>
      <c r="R16" s="1574"/>
      <c r="S16" s="1575"/>
      <c r="T16" s="1574"/>
      <c r="U16" s="1575"/>
      <c r="V16" s="1574"/>
      <c r="W16" s="1575"/>
      <c r="X16" s="1568"/>
      <c r="Y16" s="336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6"/>
      <c r="Q18" s="1573"/>
      <c r="R18" s="1574"/>
      <c r="S18" s="1575"/>
      <c r="T18" s="1574"/>
      <c r="U18" s="1575"/>
      <c r="V18" s="1574"/>
      <c r="W18" s="1575"/>
      <c r="X18" s="1568"/>
      <c r="Y18" s="3366"/>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6"/>
      <c r="Q20" s="1573"/>
      <c r="R20" s="1574"/>
      <c r="S20" s="1575"/>
      <c r="T20" s="1574"/>
      <c r="U20" s="1575"/>
      <c r="V20" s="1574"/>
      <c r="W20" s="1575"/>
      <c r="X20" s="1568"/>
      <c r="Y20" s="3366"/>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6"/>
      <c r="Q21" s="2559" t="str">
        <f>B21</f>
        <v>基础设施水平</v>
      </c>
      <c r="R21" s="1574" t="s">
        <v>8</v>
      </c>
      <c r="S21" s="1575">
        <f>F21</f>
        <v>100</v>
      </c>
      <c r="T21" s="1574" t="s">
        <v>8</v>
      </c>
      <c r="U21" s="1575">
        <f>H21</f>
        <v>100</v>
      </c>
      <c r="V21" s="1574" t="s">
        <v>8</v>
      </c>
      <c r="W21" s="1575">
        <f>J21</f>
        <v>100</v>
      </c>
      <c r="X21" s="2561"/>
      <c r="Y21" s="3366"/>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6"/>
      <c r="Q22" s="2559"/>
      <c r="R22" s="1574"/>
      <c r="S22" s="1575"/>
      <c r="T22" s="1574"/>
      <c r="U22" s="1575"/>
      <c r="V22" s="1574"/>
      <c r="W22" s="1575"/>
      <c r="X22" s="2561"/>
      <c r="Y22" s="3366"/>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6"/>
      <c r="Q23" s="1573" t="str">
        <f>B23</f>
        <v>环境质量</v>
      </c>
      <c r="R23" s="1574" t="s">
        <v>8</v>
      </c>
      <c r="S23" s="1575">
        <f>F23</f>
        <v>100</v>
      </c>
      <c r="T23" s="1574" t="s">
        <v>8</v>
      </c>
      <c r="U23" s="1575">
        <f>H23</f>
        <v>100</v>
      </c>
      <c r="V23" s="1574" t="s">
        <v>8</v>
      </c>
      <c r="W23" s="1575">
        <f>J23</f>
        <v>100</v>
      </c>
      <c r="X23" s="1568"/>
      <c r="Y23" s="336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6"/>
      <c r="Q24" s="1573"/>
      <c r="R24" s="1574"/>
      <c r="S24" s="1575"/>
      <c r="T24" s="1574"/>
      <c r="U24" s="1575"/>
      <c r="V24" s="1574"/>
      <c r="W24" s="1575"/>
      <c r="X24" s="1568"/>
      <c r="Y24" s="336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6"/>
      <c r="Q25" s="1573" t="str">
        <f>B25</f>
        <v>毗邻道路的类型与等级</v>
      </c>
      <c r="R25" s="1574" t="s">
        <v>8</v>
      </c>
      <c r="S25" s="1575">
        <f>F25</f>
        <v>100</v>
      </c>
      <c r="T25" s="1574" t="s">
        <v>8</v>
      </c>
      <c r="U25" s="1575">
        <f>H25</f>
        <v>100</v>
      </c>
      <c r="V25" s="1574" t="s">
        <v>8</v>
      </c>
      <c r="W25" s="1575">
        <f>J25</f>
        <v>100</v>
      </c>
      <c r="X25" s="1568"/>
      <c r="Y25" s="336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6"/>
      <c r="Q26" s="1573"/>
      <c r="R26" s="1574"/>
      <c r="S26" s="1575"/>
      <c r="T26" s="1574"/>
      <c r="U26" s="1575"/>
      <c r="V26" s="1574"/>
      <c r="W26" s="1575"/>
      <c r="X26" s="1568"/>
      <c r="Y26" s="336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6"/>
      <c r="Q27" s="1573" t="str">
        <f t="shared" ref="Q27:Q47" si="11">B27</f>
        <v>楼层</v>
      </c>
      <c r="R27" s="1574" t="s">
        <v>8</v>
      </c>
      <c r="S27" s="1575">
        <f>F27</f>
        <v>100</v>
      </c>
      <c r="T27" s="1574" t="s">
        <v>8</v>
      </c>
      <c r="U27" s="1575">
        <f>H27</f>
        <v>100</v>
      </c>
      <c r="V27" s="1574" t="s">
        <v>8</v>
      </c>
      <c r="W27" s="1575">
        <f>J27</f>
        <v>100</v>
      </c>
      <c r="X27" s="1568"/>
      <c r="Y27" s="336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6"/>
      <c r="Q28" s="1151" t="str">
        <f t="shared" si="11"/>
        <v>朝向</v>
      </c>
      <c r="R28" s="1569" t="s">
        <v>8</v>
      </c>
      <c r="S28" s="1570">
        <f>F28</f>
        <v>100</v>
      </c>
      <c r="T28" s="1569" t="s">
        <v>8</v>
      </c>
      <c r="U28" s="1570">
        <f>H28</f>
        <v>100</v>
      </c>
      <c r="V28" s="1569" t="s">
        <v>8</v>
      </c>
      <c r="W28" s="1570">
        <f>J28</f>
        <v>100</v>
      </c>
      <c r="X28" s="1571"/>
      <c r="Y28" s="336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6"/>
      <c r="Q29" s="1573">
        <f t="shared" si="11"/>
        <v>111</v>
      </c>
      <c r="R29" s="1574" t="s">
        <v>8</v>
      </c>
      <c r="S29" s="1575">
        <f t="shared" ref="S29:S47" si="12">F29</f>
        <v>100</v>
      </c>
      <c r="T29" s="1574" t="s">
        <v>8</v>
      </c>
      <c r="U29" s="1575">
        <f t="shared" ref="U29:U47" si="13">H29</f>
        <v>100</v>
      </c>
      <c r="V29" s="1574" t="s">
        <v>8</v>
      </c>
      <c r="W29" s="1575">
        <f t="shared" ref="W29:W47" si="14">J29</f>
        <v>100</v>
      </c>
      <c r="X29" s="1568"/>
      <c r="Y29" s="336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6"/>
      <c r="Q30" s="1573">
        <f t="shared" si="11"/>
        <v>111</v>
      </c>
      <c r="R30" s="1574" t="s">
        <v>8</v>
      </c>
      <c r="S30" s="1575">
        <f t="shared" si="12"/>
        <v>100</v>
      </c>
      <c r="T30" s="1574" t="s">
        <v>8</v>
      </c>
      <c r="U30" s="1575">
        <f t="shared" si="13"/>
        <v>100</v>
      </c>
      <c r="V30" s="1574" t="s">
        <v>8</v>
      </c>
      <c r="W30" s="1575">
        <f t="shared" si="14"/>
        <v>100</v>
      </c>
      <c r="X30" s="1568"/>
      <c r="Y30" s="336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6"/>
      <c r="Q31" s="1573">
        <f t="shared" si="11"/>
        <v>111</v>
      </c>
      <c r="R31" s="1574" t="s">
        <v>8</v>
      </c>
      <c r="S31" s="1575">
        <f t="shared" si="12"/>
        <v>100</v>
      </c>
      <c r="T31" s="1574" t="s">
        <v>8</v>
      </c>
      <c r="U31" s="1575">
        <f t="shared" si="13"/>
        <v>100</v>
      </c>
      <c r="V31" s="1574" t="s">
        <v>8</v>
      </c>
      <c r="W31" s="1575">
        <f t="shared" si="14"/>
        <v>100</v>
      </c>
      <c r="X31" s="1568"/>
      <c r="Y31" s="336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6"/>
      <c r="Q32" s="1573">
        <f t="shared" si="11"/>
        <v>111</v>
      </c>
      <c r="R32" s="1574" t="s">
        <v>8</v>
      </c>
      <c r="S32" s="1575">
        <f t="shared" si="12"/>
        <v>100</v>
      </c>
      <c r="T32" s="1574" t="s">
        <v>8</v>
      </c>
      <c r="U32" s="1575">
        <f t="shared" si="13"/>
        <v>100</v>
      </c>
      <c r="V32" s="1574" t="s">
        <v>8</v>
      </c>
      <c r="W32" s="1575">
        <f t="shared" si="14"/>
        <v>100</v>
      </c>
      <c r="X32" s="1568"/>
      <c r="Y32" s="3366"/>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7" t="s">
        <v>550</v>
      </c>
      <c r="Q33" s="1573" t="str">
        <f t="shared" si="11"/>
        <v>建筑类型</v>
      </c>
      <c r="R33" s="1574" t="s">
        <v>8</v>
      </c>
      <c r="S33" s="1575">
        <f t="shared" si="12"/>
        <v>100</v>
      </c>
      <c r="T33" s="1574" t="s">
        <v>8</v>
      </c>
      <c r="U33" s="1575">
        <f t="shared" si="13"/>
        <v>100</v>
      </c>
      <c r="V33" s="1574" t="s">
        <v>8</v>
      </c>
      <c r="W33" s="1575">
        <f t="shared" si="14"/>
        <v>100</v>
      </c>
      <c r="X33" s="1568"/>
      <c r="Y33" s="336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8"/>
      <c r="Q34" s="1606" t="str">
        <f t="shared" si="11"/>
        <v>项目建筑规模</v>
      </c>
      <c r="R34" s="1578" t="s">
        <v>8</v>
      </c>
      <c r="S34" s="1579" t="e">
        <f t="shared" si="12"/>
        <v>#N/A</v>
      </c>
      <c r="T34" s="1578" t="s">
        <v>8</v>
      </c>
      <c r="U34" s="1579" t="e">
        <f t="shared" si="13"/>
        <v>#N/A</v>
      </c>
      <c r="V34" s="1578" t="s">
        <v>8</v>
      </c>
      <c r="W34" s="1579" t="e">
        <f t="shared" si="14"/>
        <v>#N/A</v>
      </c>
      <c r="X34" s="1580"/>
      <c r="Y34" s="336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8"/>
      <c r="Q35" s="1573" t="str">
        <f t="shared" si="11"/>
        <v>建筑结构</v>
      </c>
      <c r="R35" s="1574" t="s">
        <v>8</v>
      </c>
      <c r="S35" s="1575">
        <f t="shared" si="12"/>
        <v>100</v>
      </c>
      <c r="T35" s="1574" t="s">
        <v>8</v>
      </c>
      <c r="U35" s="1575">
        <f t="shared" si="13"/>
        <v>100</v>
      </c>
      <c r="V35" s="1574" t="s">
        <v>8</v>
      </c>
      <c r="W35" s="1575">
        <f t="shared" si="14"/>
        <v>100</v>
      </c>
      <c r="X35" s="1568"/>
      <c r="Y35" s="336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8"/>
      <c r="Q36" s="1573" t="str">
        <f t="shared" si="11"/>
        <v>公共部分装修</v>
      </c>
      <c r="R36" s="1574" t="s">
        <v>8</v>
      </c>
      <c r="S36" s="1575">
        <f t="shared" si="12"/>
        <v>100</v>
      </c>
      <c r="T36" s="1574" t="s">
        <v>8</v>
      </c>
      <c r="U36" s="1575">
        <f t="shared" si="13"/>
        <v>100</v>
      </c>
      <c r="V36" s="1574" t="s">
        <v>8</v>
      </c>
      <c r="W36" s="1575">
        <f t="shared" si="14"/>
        <v>100</v>
      </c>
      <c r="X36" s="1568"/>
      <c r="Y36" s="336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8"/>
      <c r="Q37" s="1573" t="str">
        <f t="shared" si="11"/>
        <v>成新度</v>
      </c>
      <c r="R37" s="1574" t="s">
        <v>8</v>
      </c>
      <c r="S37" s="1575" t="e">
        <f t="shared" si="12"/>
        <v>#N/A</v>
      </c>
      <c r="T37" s="1574" t="s">
        <v>8</v>
      </c>
      <c r="U37" s="1575" t="e">
        <f t="shared" si="13"/>
        <v>#N/A</v>
      </c>
      <c r="V37" s="1574" t="s">
        <v>8</v>
      </c>
      <c r="W37" s="1575" t="e">
        <f t="shared" si="14"/>
        <v>#N/A</v>
      </c>
      <c r="X37" s="1568"/>
      <c r="Y37" s="336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8"/>
      <c r="Q38" s="1151" t="str">
        <f t="shared" si="11"/>
        <v>写字楼等级</v>
      </c>
      <c r="R38" s="1569" t="s">
        <v>8</v>
      </c>
      <c r="S38" s="1570">
        <f t="shared" si="12"/>
        <v>100</v>
      </c>
      <c r="T38" s="1569" t="s">
        <v>8</v>
      </c>
      <c r="U38" s="1570">
        <f t="shared" si="13"/>
        <v>100</v>
      </c>
      <c r="V38" s="1569" t="s">
        <v>8</v>
      </c>
      <c r="W38" s="1570">
        <f t="shared" si="14"/>
        <v>100</v>
      </c>
      <c r="X38" s="1571"/>
      <c r="Y38" s="336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8" t="s">
        <v>550</v>
      </c>
      <c r="Q39" s="1573" t="str">
        <f t="shared" si="11"/>
        <v>物业管理</v>
      </c>
      <c r="R39" s="1574" t="s">
        <v>8</v>
      </c>
      <c r="S39" s="1575">
        <f t="shared" si="12"/>
        <v>100</v>
      </c>
      <c r="T39" s="1574" t="s">
        <v>8</v>
      </c>
      <c r="U39" s="1575">
        <f t="shared" si="13"/>
        <v>100</v>
      </c>
      <c r="V39" s="1574" t="s">
        <v>8</v>
      </c>
      <c r="W39" s="1575">
        <f t="shared" si="14"/>
        <v>100</v>
      </c>
      <c r="X39" s="1568"/>
      <c r="Y39" s="3368"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8"/>
      <c r="Q40" s="1573" t="str">
        <f t="shared" si="11"/>
        <v>市政基础设施</v>
      </c>
      <c r="R40" s="1574" t="s">
        <v>8</v>
      </c>
      <c r="S40" s="1575">
        <f t="shared" si="12"/>
        <v>100</v>
      </c>
      <c r="T40" s="1574" t="s">
        <v>8</v>
      </c>
      <c r="U40" s="1575">
        <f t="shared" si="13"/>
        <v>100</v>
      </c>
      <c r="V40" s="1574" t="s">
        <v>8</v>
      </c>
      <c r="W40" s="1575">
        <f t="shared" si="14"/>
        <v>100</v>
      </c>
      <c r="X40" s="1568"/>
      <c r="Y40" s="336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8"/>
      <c r="Q41" s="1573" t="str">
        <f t="shared" si="11"/>
        <v>层高</v>
      </c>
      <c r="R41" s="1574" t="s">
        <v>8</v>
      </c>
      <c r="S41" s="1575">
        <f t="shared" si="12"/>
        <v>100</v>
      </c>
      <c r="T41" s="1574" t="s">
        <v>8</v>
      </c>
      <c r="U41" s="1575">
        <f t="shared" si="13"/>
        <v>100</v>
      </c>
      <c r="V41" s="1574" t="s">
        <v>8</v>
      </c>
      <c r="W41" s="1575">
        <f t="shared" si="14"/>
        <v>100</v>
      </c>
      <c r="X41" s="1568"/>
      <c r="Y41" s="336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8"/>
      <c r="Q42" s="1606" t="str">
        <f t="shared" si="11"/>
        <v>单套建筑面积</v>
      </c>
      <c r="R42" s="1578" t="s">
        <v>8</v>
      </c>
      <c r="S42" s="1579">
        <f t="shared" si="12"/>
        <v>100</v>
      </c>
      <c r="T42" s="1578" t="s">
        <v>8</v>
      </c>
      <c r="U42" s="1579">
        <f t="shared" si="13"/>
        <v>100</v>
      </c>
      <c r="V42" s="1578" t="s">
        <v>8</v>
      </c>
      <c r="W42" s="1579">
        <f t="shared" si="14"/>
        <v>100</v>
      </c>
      <c r="X42" s="1580"/>
      <c r="Y42" s="336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8"/>
      <c r="Q43" s="1573" t="str">
        <f t="shared" si="11"/>
        <v>内部装修</v>
      </c>
      <c r="R43" s="1574" t="s">
        <v>8</v>
      </c>
      <c r="S43" s="1575">
        <f t="shared" si="12"/>
        <v>100</v>
      </c>
      <c r="T43" s="1574" t="s">
        <v>8</v>
      </c>
      <c r="U43" s="1575">
        <f t="shared" si="13"/>
        <v>100</v>
      </c>
      <c r="V43" s="1574" t="s">
        <v>8</v>
      </c>
      <c r="W43" s="1575">
        <f t="shared" si="14"/>
        <v>100</v>
      </c>
      <c r="X43" s="1568"/>
      <c r="Y43" s="336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8"/>
      <c r="Q44" s="1573" t="str">
        <f t="shared" si="11"/>
        <v>内部装修维护情况</v>
      </c>
      <c r="R44" s="1574" t="s">
        <v>8</v>
      </c>
      <c r="S44" s="1575">
        <f t="shared" si="12"/>
        <v>100</v>
      </c>
      <c r="T44" s="1574" t="s">
        <v>8</v>
      </c>
      <c r="U44" s="1575">
        <f t="shared" si="13"/>
        <v>100</v>
      </c>
      <c r="V44" s="1574" t="s">
        <v>8</v>
      </c>
      <c r="W44" s="1575">
        <f t="shared" si="14"/>
        <v>100</v>
      </c>
      <c r="X44" s="1568"/>
      <c r="Y44" s="336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8"/>
      <c r="Q45" s="1151">
        <f t="shared" si="11"/>
        <v>111</v>
      </c>
      <c r="R45" s="1569" t="s">
        <v>8</v>
      </c>
      <c r="S45" s="1570">
        <f t="shared" si="12"/>
        <v>100</v>
      </c>
      <c r="T45" s="1569" t="s">
        <v>8</v>
      </c>
      <c r="U45" s="1570">
        <f t="shared" si="13"/>
        <v>100</v>
      </c>
      <c r="V45" s="1569" t="s">
        <v>8</v>
      </c>
      <c r="W45" s="1570">
        <f t="shared" si="14"/>
        <v>100</v>
      </c>
      <c r="X45" s="1571"/>
      <c r="Y45" s="336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8"/>
      <c r="Q46" s="1573">
        <f t="shared" si="11"/>
        <v>111</v>
      </c>
      <c r="R46" s="1574" t="s">
        <v>8</v>
      </c>
      <c r="S46" s="1575">
        <f t="shared" si="12"/>
        <v>100</v>
      </c>
      <c r="T46" s="1574" t="s">
        <v>8</v>
      </c>
      <c r="U46" s="1575">
        <f t="shared" si="13"/>
        <v>100</v>
      </c>
      <c r="V46" s="1574" t="s">
        <v>8</v>
      </c>
      <c r="W46" s="1575">
        <f t="shared" si="14"/>
        <v>100</v>
      </c>
      <c r="X46" s="1568"/>
      <c r="Y46" s="336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11"/>
        <v>111</v>
      </c>
      <c r="R47" s="1574" t="s">
        <v>8</v>
      </c>
      <c r="S47" s="1575">
        <f t="shared" si="12"/>
        <v>100</v>
      </c>
      <c r="T47" s="1574" t="s">
        <v>8</v>
      </c>
      <c r="U47" s="1575">
        <f t="shared" si="13"/>
        <v>100</v>
      </c>
      <c r="V47" s="1574" t="s">
        <v>8</v>
      </c>
      <c r="W47" s="1575">
        <f t="shared" si="14"/>
        <v>100</v>
      </c>
      <c r="X47" s="1568"/>
      <c r="Y47" s="3465"/>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5" t="str">
        <f>A48</f>
        <v>成交单价（元/平方米）</v>
      </c>
      <c r="Q48" s="3363"/>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5" t="str">
        <f>A49</f>
        <v>比较价格（元/平方米）</v>
      </c>
      <c r="Q49" s="3363"/>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69" t="str">
        <f>A50</f>
        <v>估价对象XX用房的比较价格（楼面单价，元/平方米）</v>
      </c>
      <c r="Q50" s="3385"/>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9" t="s">
        <v>522</v>
      </c>
      <c r="D4" s="3370"/>
      <c r="E4" s="3393" t="s">
        <v>523</v>
      </c>
      <c r="F4" s="3394"/>
      <c r="G4" s="3369" t="s">
        <v>524</v>
      </c>
      <c r="H4" s="3370"/>
      <c r="I4" s="3369" t="s">
        <v>525</v>
      </c>
      <c r="J4" s="3370"/>
      <c r="K4" s="514" t="s">
        <v>526</v>
      </c>
      <c r="L4" s="2134"/>
      <c r="M4" s="2135"/>
      <c r="N4" s="2135"/>
      <c r="O4" s="2135"/>
      <c r="P4" s="3371" t="s">
        <v>527</v>
      </c>
      <c r="Q4" s="3372"/>
      <c r="R4" s="3357" t="s">
        <v>523</v>
      </c>
      <c r="S4" s="3358"/>
      <c r="T4" s="3357" t="s">
        <v>524</v>
      </c>
      <c r="U4" s="3358"/>
      <c r="V4" s="3377" t="s">
        <v>525</v>
      </c>
      <c r="W4" s="3377"/>
      <c r="X4" s="1568"/>
      <c r="Y4" s="3357" t="s">
        <v>527</v>
      </c>
      <c r="Z4" s="3358"/>
      <c r="AA4" s="3352" t="s">
        <v>523</v>
      </c>
      <c r="AB4" s="3353" t="s">
        <v>524</v>
      </c>
      <c r="AC4" s="3352" t="s">
        <v>525</v>
      </c>
    </row>
    <row r="5" spans="1:29" ht="15">
      <c r="A5" s="515"/>
      <c r="B5" s="516"/>
      <c r="C5" s="3380" t="s">
        <v>2932</v>
      </c>
      <c r="D5" s="3381"/>
      <c r="E5" s="3395" t="s">
        <v>2933</v>
      </c>
      <c r="F5" s="3396"/>
      <c r="G5" s="3380" t="s">
        <v>2934</v>
      </c>
      <c r="H5" s="3381"/>
      <c r="I5" s="3380" t="s">
        <v>2935</v>
      </c>
      <c r="J5" s="3381"/>
      <c r="K5" s="514"/>
      <c r="L5" s="2134"/>
      <c r="M5" s="2135"/>
      <c r="N5" s="2135"/>
      <c r="O5" s="2135"/>
      <c r="P5" s="3373"/>
      <c r="Q5" s="3374"/>
      <c r="R5" s="3359"/>
      <c r="S5" s="3360"/>
      <c r="T5" s="3359"/>
      <c r="U5" s="3360"/>
      <c r="V5" s="3377"/>
      <c r="W5" s="3377"/>
      <c r="X5" s="1568"/>
      <c r="Y5" s="3359"/>
      <c r="Z5" s="3360"/>
      <c r="AA5" s="3353"/>
      <c r="AB5" s="3353"/>
      <c r="AC5" s="3353"/>
    </row>
    <row r="6" spans="1:29" ht="15.75" thickBot="1">
      <c r="A6" s="517"/>
      <c r="B6" s="518"/>
      <c r="C6" s="3378" t="s">
        <v>2936</v>
      </c>
      <c r="D6" s="3379"/>
      <c r="E6" s="3397" t="s">
        <v>2936</v>
      </c>
      <c r="F6" s="3398"/>
      <c r="G6" s="3378" t="s">
        <v>2936</v>
      </c>
      <c r="H6" s="3379"/>
      <c r="I6" s="3378" t="s">
        <v>2936</v>
      </c>
      <c r="J6" s="3379"/>
      <c r="K6" s="514" t="s">
        <v>528</v>
      </c>
      <c r="L6" s="2134"/>
      <c r="M6" s="2135"/>
      <c r="N6" s="2135"/>
      <c r="O6" s="2135"/>
      <c r="P6" s="3375"/>
      <c r="Q6" s="3376"/>
      <c r="R6" s="3359"/>
      <c r="S6" s="3360"/>
      <c r="T6" s="3361"/>
      <c r="U6" s="3362"/>
      <c r="V6" s="3377"/>
      <c r="W6" s="3377"/>
      <c r="X6" s="1568"/>
      <c r="Y6" s="3361"/>
      <c r="Z6" s="3362"/>
      <c r="AA6" s="3354"/>
      <c r="AB6" s="3354"/>
      <c r="AC6" s="3354"/>
    </row>
    <row r="7" spans="1:29" s="1220" customFormat="1" ht="15.75" thickBot="1">
      <c r="A7" s="2891"/>
      <c r="B7" s="2898" t="s">
        <v>529</v>
      </c>
      <c r="C7" s="519">
        <f>'数据-取费表'!B2</f>
        <v>43528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5" t="s">
        <v>530</v>
      </c>
      <c r="Q7" s="3364"/>
      <c r="R7" s="1569" t="s">
        <v>8</v>
      </c>
      <c r="S7" s="1570">
        <f t="shared" ref="S7:S15" si="0">F7</f>
        <v>0</v>
      </c>
      <c r="T7" s="1569" t="s">
        <v>8</v>
      </c>
      <c r="U7" s="1570">
        <f t="shared" ref="U7:U15" si="1">H7</f>
        <v>0</v>
      </c>
      <c r="V7" s="1569" t="s">
        <v>8</v>
      </c>
      <c r="W7" s="1570">
        <f t="shared" ref="W7:W15" si="2">J7</f>
        <v>0</v>
      </c>
      <c r="X7" s="1571"/>
      <c r="Y7" s="3355" t="s">
        <v>530</v>
      </c>
      <c r="Z7" s="3356"/>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5" t="s">
        <v>533</v>
      </c>
      <c r="Q8" s="3356"/>
      <c r="R8" s="1569" t="s">
        <v>8</v>
      </c>
      <c r="S8" s="1570">
        <f t="shared" si="0"/>
        <v>0</v>
      </c>
      <c r="T8" s="1569" t="s">
        <v>8</v>
      </c>
      <c r="U8" s="1570">
        <f t="shared" si="1"/>
        <v>0</v>
      </c>
      <c r="V8" s="1569" t="s">
        <v>8</v>
      </c>
      <c r="W8" s="1570">
        <f t="shared" si="2"/>
        <v>0</v>
      </c>
      <c r="X8" s="1571"/>
      <c r="Y8" s="3355" t="s">
        <v>533</v>
      </c>
      <c r="Z8" s="3356"/>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3"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3"/>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3"/>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5" t="s">
        <v>540</v>
      </c>
      <c r="Q15" s="1573" t="str">
        <f t="shared" si="6"/>
        <v>产业集聚程度</v>
      </c>
      <c r="R15" s="1574" t="s">
        <v>8</v>
      </c>
      <c r="S15" s="1575">
        <f t="shared" si="0"/>
        <v>100</v>
      </c>
      <c r="T15" s="1574" t="s">
        <v>8</v>
      </c>
      <c r="U15" s="1575">
        <f t="shared" si="1"/>
        <v>100</v>
      </c>
      <c r="V15" s="1574" t="s">
        <v>8</v>
      </c>
      <c r="W15" s="1575">
        <f t="shared" si="2"/>
        <v>100</v>
      </c>
      <c r="X15" s="1568"/>
      <c r="Y15" s="336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6"/>
      <c r="Q16" s="1573"/>
      <c r="R16" s="1574"/>
      <c r="S16" s="1575"/>
      <c r="T16" s="1574"/>
      <c r="U16" s="1575"/>
      <c r="V16" s="1574"/>
      <c r="W16" s="1575"/>
      <c r="X16" s="1568"/>
      <c r="Y16" s="336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6"/>
      <c r="Q17" s="1573" t="str">
        <f>B17</f>
        <v>交通便捷度</v>
      </c>
      <c r="R17" s="1574" t="s">
        <v>8</v>
      </c>
      <c r="S17" s="1575">
        <f>F17</f>
        <v>100</v>
      </c>
      <c r="T17" s="1574" t="s">
        <v>8</v>
      </c>
      <c r="U17" s="1575">
        <f>H17</f>
        <v>100</v>
      </c>
      <c r="V17" s="1574" t="s">
        <v>8</v>
      </c>
      <c r="W17" s="1575">
        <f>J17</f>
        <v>100</v>
      </c>
      <c r="X17" s="1568"/>
      <c r="Y17" s="336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6"/>
      <c r="Q18" s="1573"/>
      <c r="R18" s="1574"/>
      <c r="S18" s="1575"/>
      <c r="T18" s="1574"/>
      <c r="U18" s="1575"/>
      <c r="V18" s="1574"/>
      <c r="W18" s="1575"/>
      <c r="X18" s="1568"/>
      <c r="Y18" s="3366"/>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6"/>
      <c r="Q19" s="1573" t="str">
        <f>B19</f>
        <v>公共配套设施</v>
      </c>
      <c r="R19" s="1574" t="s">
        <v>8</v>
      </c>
      <c r="S19" s="1575">
        <f>F19</f>
        <v>100</v>
      </c>
      <c r="T19" s="1574" t="s">
        <v>8</v>
      </c>
      <c r="U19" s="1575">
        <f>H19</f>
        <v>100</v>
      </c>
      <c r="V19" s="1574" t="s">
        <v>8</v>
      </c>
      <c r="W19" s="1575">
        <f>J19</f>
        <v>100</v>
      </c>
      <c r="X19" s="1568"/>
      <c r="Y19" s="336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6"/>
      <c r="Q20" s="1573"/>
      <c r="R20" s="1574"/>
      <c r="S20" s="1575"/>
      <c r="T20" s="1574"/>
      <c r="U20" s="1575"/>
      <c r="V20" s="1574"/>
      <c r="W20" s="1575"/>
      <c r="X20" s="1568"/>
      <c r="Y20" s="3366"/>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6"/>
      <c r="Q21" s="2559" t="str">
        <f>B21</f>
        <v>基础设施水平</v>
      </c>
      <c r="R21" s="1574" t="s">
        <v>8</v>
      </c>
      <c r="S21" s="1575">
        <f>F21</f>
        <v>100</v>
      </c>
      <c r="T21" s="1574" t="s">
        <v>8</v>
      </c>
      <c r="U21" s="1575">
        <f>H21</f>
        <v>100</v>
      </c>
      <c r="V21" s="1574" t="s">
        <v>8</v>
      </c>
      <c r="W21" s="1575">
        <f>J21</f>
        <v>100</v>
      </c>
      <c r="X21" s="2561"/>
      <c r="Y21" s="3366"/>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6"/>
      <c r="Q22" s="2559"/>
      <c r="R22" s="1574"/>
      <c r="S22" s="1575"/>
      <c r="T22" s="1574"/>
      <c r="U22" s="1575"/>
      <c r="V22" s="1574"/>
      <c r="W22" s="1575"/>
      <c r="X22" s="2561"/>
      <c r="Y22" s="3366"/>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6"/>
      <c r="Q23" s="1573" t="str">
        <f>B23</f>
        <v>环境质量</v>
      </c>
      <c r="R23" s="1574" t="s">
        <v>8</v>
      </c>
      <c r="S23" s="1575">
        <f>F23</f>
        <v>100</v>
      </c>
      <c r="T23" s="1574" t="s">
        <v>8</v>
      </c>
      <c r="U23" s="1575">
        <f>H23</f>
        <v>100</v>
      </c>
      <c r="V23" s="1574" t="s">
        <v>8</v>
      </c>
      <c r="W23" s="1575">
        <f>J23</f>
        <v>100</v>
      </c>
      <c r="X23" s="1568"/>
      <c r="Y23" s="336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6"/>
      <c r="Q24" s="1573"/>
      <c r="R24" s="1574"/>
      <c r="S24" s="1575"/>
      <c r="T24" s="1574"/>
      <c r="U24" s="1575"/>
      <c r="V24" s="1574"/>
      <c r="W24" s="1575"/>
      <c r="X24" s="1568"/>
      <c r="Y24" s="336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6"/>
      <c r="Q25" s="1573">
        <f>B25</f>
        <v>111</v>
      </c>
      <c r="R25" s="1574" t="s">
        <v>8</v>
      </c>
      <c r="S25" s="1575">
        <f>F25</f>
        <v>100</v>
      </c>
      <c r="T25" s="1574" t="s">
        <v>8</v>
      </c>
      <c r="U25" s="1575">
        <f>H25</f>
        <v>100</v>
      </c>
      <c r="V25" s="1574" t="s">
        <v>8</v>
      </c>
      <c r="W25" s="1575">
        <f>J25</f>
        <v>100</v>
      </c>
      <c r="X25" s="1568"/>
      <c r="Y25" s="336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6"/>
      <c r="Q26" s="1573">
        <f t="shared" ref="Q26:Q40" si="11">B26</f>
        <v>111</v>
      </c>
      <c r="R26" s="1574" t="s">
        <v>8</v>
      </c>
      <c r="S26" s="1575">
        <f>F26</f>
        <v>100</v>
      </c>
      <c r="T26" s="1574" t="s">
        <v>8</v>
      </c>
      <c r="U26" s="1575">
        <f>H26</f>
        <v>100</v>
      </c>
      <c r="V26" s="1574" t="s">
        <v>8</v>
      </c>
      <c r="W26" s="1575">
        <f>J26</f>
        <v>100</v>
      </c>
      <c r="X26" s="1568"/>
      <c r="Y26" s="336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6"/>
      <c r="Q27" s="1151">
        <f t="shared" si="11"/>
        <v>111</v>
      </c>
      <c r="R27" s="1569" t="s">
        <v>8</v>
      </c>
      <c r="S27" s="1570">
        <f>F27</f>
        <v>100</v>
      </c>
      <c r="T27" s="1569" t="s">
        <v>8</v>
      </c>
      <c r="U27" s="1570">
        <f>H27</f>
        <v>100</v>
      </c>
      <c r="V27" s="1569" t="s">
        <v>8</v>
      </c>
      <c r="W27" s="1570">
        <f>J27</f>
        <v>100</v>
      </c>
      <c r="X27" s="1571"/>
      <c r="Y27" s="336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6"/>
      <c r="Q28" s="1573">
        <f t="shared" si="11"/>
        <v>111</v>
      </c>
      <c r="R28" s="1574" t="s">
        <v>8</v>
      </c>
      <c r="S28" s="1575">
        <f t="shared" ref="S28:S40" si="12">F28</f>
        <v>100</v>
      </c>
      <c r="T28" s="1574" t="s">
        <v>8</v>
      </c>
      <c r="U28" s="1575">
        <f t="shared" ref="U28:U40" si="13">H28</f>
        <v>100</v>
      </c>
      <c r="V28" s="1574" t="s">
        <v>8</v>
      </c>
      <c r="W28" s="1575">
        <f t="shared" ref="W28:W40" si="14">J28</f>
        <v>100</v>
      </c>
      <c r="X28" s="1568"/>
      <c r="Y28" s="3366"/>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7" t="s">
        <v>550</v>
      </c>
      <c r="Q29" s="1573" t="str">
        <f t="shared" si="11"/>
        <v>建筑类型</v>
      </c>
      <c r="R29" s="1574" t="s">
        <v>8</v>
      </c>
      <c r="S29" s="1575">
        <f t="shared" si="12"/>
        <v>100</v>
      </c>
      <c r="T29" s="1574" t="s">
        <v>8</v>
      </c>
      <c r="U29" s="1575">
        <f t="shared" si="13"/>
        <v>100</v>
      </c>
      <c r="V29" s="1574" t="s">
        <v>8</v>
      </c>
      <c r="W29" s="1575">
        <f t="shared" si="14"/>
        <v>100</v>
      </c>
      <c r="X29" s="1568"/>
      <c r="Y29" s="336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8"/>
      <c r="Q30" s="1606" t="str">
        <f t="shared" si="11"/>
        <v>项目建筑规模</v>
      </c>
      <c r="R30" s="1578" t="s">
        <v>8</v>
      </c>
      <c r="S30" s="1579" t="e">
        <f t="shared" si="12"/>
        <v>#N/A</v>
      </c>
      <c r="T30" s="1578" t="s">
        <v>8</v>
      </c>
      <c r="U30" s="1579" t="e">
        <f t="shared" si="13"/>
        <v>#N/A</v>
      </c>
      <c r="V30" s="1578" t="s">
        <v>8</v>
      </c>
      <c r="W30" s="1579" t="e">
        <f t="shared" si="14"/>
        <v>#N/A</v>
      </c>
      <c r="X30" s="1580"/>
      <c r="Y30" s="336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8"/>
      <c r="Q31" s="1573" t="str">
        <f t="shared" si="11"/>
        <v>建筑结构</v>
      </c>
      <c r="R31" s="1574" t="s">
        <v>8</v>
      </c>
      <c r="S31" s="1575">
        <f t="shared" si="12"/>
        <v>100</v>
      </c>
      <c r="T31" s="1574" t="s">
        <v>8</v>
      </c>
      <c r="U31" s="1575">
        <f t="shared" si="13"/>
        <v>100</v>
      </c>
      <c r="V31" s="1574" t="s">
        <v>8</v>
      </c>
      <c r="W31" s="1575">
        <f t="shared" si="14"/>
        <v>100</v>
      </c>
      <c r="X31" s="1568"/>
      <c r="Y31" s="336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8"/>
      <c r="Q32" s="1573" t="str">
        <f t="shared" si="11"/>
        <v>公共部分装修</v>
      </c>
      <c r="R32" s="1574" t="s">
        <v>8</v>
      </c>
      <c r="S32" s="1575">
        <f t="shared" si="12"/>
        <v>100</v>
      </c>
      <c r="T32" s="1574" t="s">
        <v>8</v>
      </c>
      <c r="U32" s="1575">
        <f t="shared" si="13"/>
        <v>100</v>
      </c>
      <c r="V32" s="1574" t="s">
        <v>8</v>
      </c>
      <c r="W32" s="1575">
        <f t="shared" si="14"/>
        <v>100</v>
      </c>
      <c r="X32" s="1568"/>
      <c r="Y32" s="336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8"/>
      <c r="Q33" s="1573" t="str">
        <f t="shared" si="11"/>
        <v>成新度</v>
      </c>
      <c r="R33" s="1574" t="s">
        <v>8</v>
      </c>
      <c r="S33" s="1575" t="e">
        <f t="shared" si="12"/>
        <v>#N/A</v>
      </c>
      <c r="T33" s="1574" t="s">
        <v>8</v>
      </c>
      <c r="U33" s="1575" t="e">
        <f t="shared" si="13"/>
        <v>#N/A</v>
      </c>
      <c r="V33" s="1574" t="s">
        <v>8</v>
      </c>
      <c r="W33" s="1575" t="e">
        <f t="shared" si="14"/>
        <v>#N/A</v>
      </c>
      <c r="X33" s="1568"/>
      <c r="Y33" s="336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8"/>
      <c r="Q34" s="1151" t="str">
        <f t="shared" si="11"/>
        <v>物业管理</v>
      </c>
      <c r="R34" s="1569" t="s">
        <v>8</v>
      </c>
      <c r="S34" s="1570">
        <f t="shared" si="12"/>
        <v>100</v>
      </c>
      <c r="T34" s="1569" t="s">
        <v>8</v>
      </c>
      <c r="U34" s="1570">
        <f t="shared" si="13"/>
        <v>100</v>
      </c>
      <c r="V34" s="1569" t="s">
        <v>8</v>
      </c>
      <c r="W34" s="1570">
        <f t="shared" si="14"/>
        <v>100</v>
      </c>
      <c r="X34" s="1571"/>
      <c r="Y34" s="3368"/>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8" t="s">
        <v>550</v>
      </c>
      <c r="Q35" s="1573" t="str">
        <f t="shared" si="11"/>
        <v>市政基础设施</v>
      </c>
      <c r="R35" s="1574" t="s">
        <v>8</v>
      </c>
      <c r="S35" s="1575">
        <f t="shared" si="12"/>
        <v>100</v>
      </c>
      <c r="T35" s="1574" t="s">
        <v>8</v>
      </c>
      <c r="U35" s="1575">
        <f t="shared" si="13"/>
        <v>100</v>
      </c>
      <c r="V35" s="1574" t="s">
        <v>8</v>
      </c>
      <c r="W35" s="1575">
        <f t="shared" si="14"/>
        <v>100</v>
      </c>
      <c r="X35" s="1568"/>
      <c r="Y35" s="336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8"/>
      <c r="Q36" s="1573" t="str">
        <f t="shared" si="11"/>
        <v>内部装修</v>
      </c>
      <c r="R36" s="1574" t="s">
        <v>8</v>
      </c>
      <c r="S36" s="1575">
        <f t="shared" si="12"/>
        <v>100</v>
      </c>
      <c r="T36" s="1574" t="s">
        <v>8</v>
      </c>
      <c r="U36" s="1575">
        <f t="shared" si="13"/>
        <v>100</v>
      </c>
      <c r="V36" s="1574" t="s">
        <v>8</v>
      </c>
      <c r="W36" s="1575">
        <f t="shared" si="14"/>
        <v>100</v>
      </c>
      <c r="X36" s="1568"/>
      <c r="Y36" s="336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8"/>
      <c r="Q37" s="1573" t="str">
        <f t="shared" si="11"/>
        <v>内部装修状况</v>
      </c>
      <c r="R37" s="1574" t="s">
        <v>8</v>
      </c>
      <c r="S37" s="1575">
        <f t="shared" si="12"/>
        <v>100</v>
      </c>
      <c r="T37" s="1574" t="s">
        <v>8</v>
      </c>
      <c r="U37" s="1575">
        <f t="shared" si="13"/>
        <v>100</v>
      </c>
      <c r="V37" s="1574" t="s">
        <v>8</v>
      </c>
      <c r="W37" s="1575">
        <f t="shared" si="14"/>
        <v>100</v>
      </c>
      <c r="X37" s="1568"/>
      <c r="Y37" s="336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8"/>
      <c r="Q38" s="1606">
        <f t="shared" si="11"/>
        <v>111</v>
      </c>
      <c r="R38" s="1578" t="s">
        <v>8</v>
      </c>
      <c r="S38" s="1579">
        <f t="shared" si="12"/>
        <v>100</v>
      </c>
      <c r="T38" s="1578" t="s">
        <v>8</v>
      </c>
      <c r="U38" s="1579">
        <f t="shared" si="13"/>
        <v>100</v>
      </c>
      <c r="V38" s="1578" t="s">
        <v>8</v>
      </c>
      <c r="W38" s="1579">
        <f t="shared" si="14"/>
        <v>100</v>
      </c>
      <c r="X38" s="1580"/>
      <c r="Y38" s="336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8"/>
      <c r="Q39" s="1573">
        <f t="shared" si="11"/>
        <v>111</v>
      </c>
      <c r="R39" s="1574" t="s">
        <v>8</v>
      </c>
      <c r="S39" s="1575">
        <f t="shared" si="12"/>
        <v>100</v>
      </c>
      <c r="T39" s="1574" t="s">
        <v>8</v>
      </c>
      <c r="U39" s="1575">
        <f t="shared" si="13"/>
        <v>100</v>
      </c>
      <c r="V39" s="1574" t="s">
        <v>8</v>
      </c>
      <c r="W39" s="1575">
        <f t="shared" si="14"/>
        <v>100</v>
      </c>
      <c r="X39" s="1568"/>
      <c r="Y39" s="336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11"/>
        <v>111</v>
      </c>
      <c r="R40" s="1574" t="s">
        <v>8</v>
      </c>
      <c r="S40" s="1575">
        <f t="shared" si="12"/>
        <v>100</v>
      </c>
      <c r="T40" s="1574" t="s">
        <v>8</v>
      </c>
      <c r="U40" s="1575">
        <f t="shared" si="13"/>
        <v>100</v>
      </c>
      <c r="V40" s="1574" t="s">
        <v>8</v>
      </c>
      <c r="W40" s="1575">
        <f t="shared" si="14"/>
        <v>100</v>
      </c>
      <c r="X40" s="1568"/>
      <c r="Y40" s="3465"/>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3" t="str">
        <f>A41</f>
        <v>成交单价（元/平方米）</v>
      </c>
      <c r="Q41" s="3363"/>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3" t="str">
        <f>A42</f>
        <v>比较价格（元/平方米）</v>
      </c>
      <c r="Q42" s="3363"/>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84" t="str">
        <f>A43</f>
        <v>估价对象XX用房的比较价格（楼面单价，元/平方米）</v>
      </c>
      <c r="Q43" s="3385"/>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9" t="s">
        <v>798</v>
      </c>
      <c r="D4" s="3370"/>
      <c r="E4" s="3369" t="s">
        <v>799</v>
      </c>
      <c r="F4" s="3370"/>
      <c r="G4" s="3369" t="s">
        <v>800</v>
      </c>
      <c r="H4" s="3370"/>
      <c r="I4" s="3369" t="s">
        <v>801</v>
      </c>
      <c r="J4" s="3370"/>
      <c r="K4" s="514" t="s">
        <v>802</v>
      </c>
      <c r="L4" s="2134"/>
      <c r="M4" s="2135"/>
      <c r="N4" s="2135"/>
      <c r="O4" s="2135"/>
      <c r="P4" s="3371" t="s">
        <v>803</v>
      </c>
      <c r="Q4" s="3372"/>
      <c r="R4" s="3357" t="s">
        <v>799</v>
      </c>
      <c r="S4" s="3358"/>
      <c r="T4" s="3357" t="s">
        <v>800</v>
      </c>
      <c r="U4" s="3358"/>
      <c r="V4" s="3377" t="s">
        <v>801</v>
      </c>
      <c r="W4" s="3377"/>
      <c r="X4" s="1568"/>
      <c r="Y4" s="3357" t="s">
        <v>803</v>
      </c>
      <c r="Z4" s="3358"/>
      <c r="AA4" s="3352" t="s">
        <v>799</v>
      </c>
      <c r="AB4" s="3353" t="s">
        <v>800</v>
      </c>
      <c r="AC4" s="3352" t="s">
        <v>801</v>
      </c>
    </row>
    <row r="5" spans="1:29" ht="15">
      <c r="A5" s="515"/>
      <c r="B5" s="516"/>
      <c r="C5" s="3380" t="s">
        <v>2932</v>
      </c>
      <c r="D5" s="3381"/>
      <c r="E5" s="3380" t="s">
        <v>2933</v>
      </c>
      <c r="F5" s="3381"/>
      <c r="G5" s="3380" t="s">
        <v>2934</v>
      </c>
      <c r="H5" s="3381"/>
      <c r="I5" s="3380" t="s">
        <v>2935</v>
      </c>
      <c r="J5" s="3381"/>
      <c r="K5" s="514"/>
      <c r="L5" s="2134"/>
      <c r="M5" s="2135"/>
      <c r="N5" s="2135"/>
      <c r="O5" s="2135"/>
      <c r="P5" s="3373"/>
      <c r="Q5" s="3374"/>
      <c r="R5" s="3359"/>
      <c r="S5" s="3360"/>
      <c r="T5" s="3359"/>
      <c r="U5" s="3360"/>
      <c r="V5" s="3377"/>
      <c r="W5" s="3377"/>
      <c r="X5" s="1568"/>
      <c r="Y5" s="3359"/>
      <c r="Z5" s="3360"/>
      <c r="AA5" s="3353"/>
      <c r="AB5" s="3353"/>
      <c r="AC5" s="3353"/>
    </row>
    <row r="6" spans="1:29" ht="15.75" thickBot="1">
      <c r="A6" s="517"/>
      <c r="B6" s="518"/>
      <c r="C6" s="3378" t="s">
        <v>2936</v>
      </c>
      <c r="D6" s="3379"/>
      <c r="E6" s="3382" t="s">
        <v>2936</v>
      </c>
      <c r="F6" s="3383"/>
      <c r="G6" s="3378" t="s">
        <v>2936</v>
      </c>
      <c r="H6" s="3379"/>
      <c r="I6" s="3378" t="s">
        <v>2936</v>
      </c>
      <c r="J6" s="3379"/>
      <c r="K6" s="514" t="s">
        <v>528</v>
      </c>
      <c r="L6" s="2134"/>
      <c r="M6" s="2135"/>
      <c r="N6" s="2135"/>
      <c r="O6" s="2135"/>
      <c r="P6" s="3375"/>
      <c r="Q6" s="3376"/>
      <c r="R6" s="3359"/>
      <c r="S6" s="3360"/>
      <c r="T6" s="3361"/>
      <c r="U6" s="3362"/>
      <c r="V6" s="3377"/>
      <c r="W6" s="3377"/>
      <c r="X6" s="1568"/>
      <c r="Y6" s="3361"/>
      <c r="Z6" s="3362"/>
      <c r="AA6" s="3354"/>
      <c r="AB6" s="3354"/>
      <c r="AC6" s="3354"/>
    </row>
    <row r="7" spans="1:29" s="1220" customFormat="1" ht="15.75" thickBot="1">
      <c r="A7" s="2891"/>
      <c r="B7" s="2898" t="s">
        <v>529</v>
      </c>
      <c r="C7" s="519">
        <f>'数据-取费表'!B2</f>
        <v>43528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5" t="s">
        <v>530</v>
      </c>
      <c r="Q7" s="3364"/>
      <c r="R7" s="1569" t="s">
        <v>8</v>
      </c>
      <c r="S7" s="1570">
        <f t="shared" ref="S7:S14" si="0">F7</f>
        <v>0</v>
      </c>
      <c r="T7" s="1569" t="s">
        <v>8</v>
      </c>
      <c r="U7" s="1570">
        <f t="shared" ref="U7:U14" si="1">H7</f>
        <v>0</v>
      </c>
      <c r="V7" s="1569" t="s">
        <v>8</v>
      </c>
      <c r="W7" s="1570">
        <f t="shared" ref="W7:W14" si="2">J7</f>
        <v>0</v>
      </c>
      <c r="X7" s="1571"/>
      <c r="Y7" s="3355" t="s">
        <v>530</v>
      </c>
      <c r="Z7" s="3356"/>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5" t="s">
        <v>533</v>
      </c>
      <c r="Q8" s="3356"/>
      <c r="R8" s="1569" t="s">
        <v>8</v>
      </c>
      <c r="S8" s="1570">
        <f t="shared" si="0"/>
        <v>0</v>
      </c>
      <c r="T8" s="1569" t="s">
        <v>8</v>
      </c>
      <c r="U8" s="1570">
        <f t="shared" si="1"/>
        <v>0</v>
      </c>
      <c r="V8" s="1569" t="s">
        <v>8</v>
      </c>
      <c r="W8" s="1570">
        <f t="shared" si="2"/>
        <v>0</v>
      </c>
      <c r="X8" s="1571"/>
      <c r="Y8" s="3355" t="s">
        <v>533</v>
      </c>
      <c r="Z8" s="3356"/>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3"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3"/>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5" t="s">
        <v>540</v>
      </c>
      <c r="Q14" s="1573" t="str">
        <f t="shared" si="6"/>
        <v>交通便捷度</v>
      </c>
      <c r="R14" s="1574" t="s">
        <v>8</v>
      </c>
      <c r="S14" s="1575">
        <f t="shared" si="0"/>
        <v>100</v>
      </c>
      <c r="T14" s="1574" t="s">
        <v>8</v>
      </c>
      <c r="U14" s="1575">
        <f t="shared" si="1"/>
        <v>100</v>
      </c>
      <c r="V14" s="1574" t="s">
        <v>8</v>
      </c>
      <c r="W14" s="1575">
        <f t="shared" si="2"/>
        <v>100</v>
      </c>
      <c r="X14" s="1568"/>
      <c r="Y14" s="336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6"/>
      <c r="Q15" s="1573"/>
      <c r="R15" s="1574"/>
      <c r="S15" s="1575"/>
      <c r="T15" s="1574"/>
      <c r="U15" s="1575"/>
      <c r="V15" s="1574"/>
      <c r="W15" s="1575"/>
      <c r="X15" s="1568"/>
      <c r="Y15" s="3366"/>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6"/>
      <c r="Q16" s="1573" t="str">
        <f>B16</f>
        <v>公共配套设施</v>
      </c>
      <c r="R16" s="1574" t="s">
        <v>8</v>
      </c>
      <c r="S16" s="1575">
        <f>F16</f>
        <v>100</v>
      </c>
      <c r="T16" s="1574" t="s">
        <v>8</v>
      </c>
      <c r="U16" s="1575">
        <f>H16</f>
        <v>100</v>
      </c>
      <c r="V16" s="1574" t="s">
        <v>8</v>
      </c>
      <c r="W16" s="1575">
        <f>J16</f>
        <v>100</v>
      </c>
      <c r="X16" s="1568"/>
      <c r="Y16" s="336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6"/>
      <c r="Q17" s="1573"/>
      <c r="R17" s="1574"/>
      <c r="S17" s="1575"/>
      <c r="T17" s="1574"/>
      <c r="U17" s="1575"/>
      <c r="V17" s="1574"/>
      <c r="W17" s="1575"/>
      <c r="X17" s="1568"/>
      <c r="Y17" s="3366"/>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6"/>
      <c r="Q18" s="2559" t="str">
        <f>B18</f>
        <v>基础设施水平</v>
      </c>
      <c r="R18" s="1574" t="s">
        <v>8</v>
      </c>
      <c r="S18" s="1575">
        <f>F18</f>
        <v>100</v>
      </c>
      <c r="T18" s="1574" t="s">
        <v>8</v>
      </c>
      <c r="U18" s="1575">
        <f>H18</f>
        <v>100</v>
      </c>
      <c r="V18" s="1574" t="s">
        <v>8</v>
      </c>
      <c r="W18" s="1575">
        <f>J18</f>
        <v>100</v>
      </c>
      <c r="X18" s="2561"/>
      <c r="Y18" s="3366"/>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6"/>
      <c r="Q19" s="2559"/>
      <c r="R19" s="1574"/>
      <c r="S19" s="1575"/>
      <c r="T19" s="1574"/>
      <c r="U19" s="1575"/>
      <c r="V19" s="1574"/>
      <c r="W19" s="1575"/>
      <c r="X19" s="2561"/>
      <c r="Y19" s="3366"/>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6"/>
      <c r="Q20" s="1573" t="str">
        <f>B20</f>
        <v>自然及人文环境</v>
      </c>
      <c r="R20" s="1574" t="s">
        <v>8</v>
      </c>
      <c r="S20" s="1575">
        <f>F20</f>
        <v>100</v>
      </c>
      <c r="T20" s="1574" t="s">
        <v>8</v>
      </c>
      <c r="U20" s="1575">
        <f>H20</f>
        <v>100</v>
      </c>
      <c r="V20" s="1574" t="s">
        <v>8</v>
      </c>
      <c r="W20" s="1575">
        <f>J20</f>
        <v>100</v>
      </c>
      <c r="X20" s="1568"/>
      <c r="Y20" s="336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6"/>
      <c r="Q21" s="1573"/>
      <c r="R21" s="1574"/>
      <c r="S21" s="1575"/>
      <c r="T21" s="1574"/>
      <c r="U21" s="1575"/>
      <c r="V21" s="1574"/>
      <c r="W21" s="1575"/>
      <c r="X21" s="1568"/>
      <c r="Y21" s="336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6"/>
      <c r="Q22" s="1573" t="str">
        <f>B22</f>
        <v>楼层</v>
      </c>
      <c r="R22" s="1574" t="s">
        <v>8</v>
      </c>
      <c r="S22" s="1575">
        <f>F22</f>
        <v>100</v>
      </c>
      <c r="T22" s="1574" t="s">
        <v>8</v>
      </c>
      <c r="U22" s="1575">
        <f>H22</f>
        <v>100</v>
      </c>
      <c r="V22" s="1574" t="s">
        <v>8</v>
      </c>
      <c r="W22" s="1575">
        <f>J22</f>
        <v>100</v>
      </c>
      <c r="X22" s="1568"/>
      <c r="Y22" s="336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6"/>
      <c r="Q23" s="1573">
        <f>B23</f>
        <v>111</v>
      </c>
      <c r="R23" s="1574" t="s">
        <v>8</v>
      </c>
      <c r="S23" s="1575">
        <f>F23</f>
        <v>100</v>
      </c>
      <c r="T23" s="1574" t="s">
        <v>8</v>
      </c>
      <c r="U23" s="1575">
        <f>H23</f>
        <v>100</v>
      </c>
      <c r="V23" s="1574" t="s">
        <v>8</v>
      </c>
      <c r="W23" s="1575">
        <f>J23</f>
        <v>100</v>
      </c>
      <c r="X23" s="1568"/>
      <c r="Y23" s="336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6"/>
      <c r="Q24" s="1573">
        <f t="shared" ref="Q24:Q36" si="11">B24</f>
        <v>111</v>
      </c>
      <c r="R24" s="1574" t="s">
        <v>8</v>
      </c>
      <c r="S24" s="1575">
        <f>F24</f>
        <v>100</v>
      </c>
      <c r="T24" s="1574" t="s">
        <v>8</v>
      </c>
      <c r="U24" s="1575">
        <f>H24</f>
        <v>100</v>
      </c>
      <c r="V24" s="1574" t="s">
        <v>8</v>
      </c>
      <c r="W24" s="1575">
        <f>J24</f>
        <v>100</v>
      </c>
      <c r="X24" s="1568"/>
      <c r="Y24" s="336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6"/>
      <c r="Q25" s="1151">
        <f t="shared" si="11"/>
        <v>111</v>
      </c>
      <c r="R25" s="1569" t="s">
        <v>8</v>
      </c>
      <c r="S25" s="1570">
        <f>F25</f>
        <v>100</v>
      </c>
      <c r="T25" s="1569" t="s">
        <v>8</v>
      </c>
      <c r="U25" s="1570">
        <f>H25</f>
        <v>100</v>
      </c>
      <c r="V25" s="1569" t="s">
        <v>8</v>
      </c>
      <c r="W25" s="1570">
        <f>J25</f>
        <v>100</v>
      </c>
      <c r="X25" s="1571"/>
      <c r="Y25" s="3366"/>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8"/>
      <c r="Q27" s="1606" t="str">
        <f t="shared" si="11"/>
        <v>项目停车位配比</v>
      </c>
      <c r="R27" s="1578" t="s">
        <v>8</v>
      </c>
      <c r="S27" s="1579">
        <f t="shared" si="12"/>
        <v>100</v>
      </c>
      <c r="T27" s="1578" t="s">
        <v>8</v>
      </c>
      <c r="U27" s="1579">
        <f t="shared" si="13"/>
        <v>100</v>
      </c>
      <c r="V27" s="1578" t="s">
        <v>8</v>
      </c>
      <c r="W27" s="1579">
        <f t="shared" si="14"/>
        <v>100</v>
      </c>
      <c r="X27" s="1580"/>
      <c r="Y27" s="336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8"/>
      <c r="Q28" s="1573" t="str">
        <f t="shared" si="11"/>
        <v>公共部分装修</v>
      </c>
      <c r="R28" s="1574" t="s">
        <v>8</v>
      </c>
      <c r="S28" s="1575">
        <f t="shared" si="12"/>
        <v>100</v>
      </c>
      <c r="T28" s="1574" t="s">
        <v>8</v>
      </c>
      <c r="U28" s="1575">
        <f t="shared" si="13"/>
        <v>100</v>
      </c>
      <c r="V28" s="1574" t="s">
        <v>8</v>
      </c>
      <c r="W28" s="1575">
        <f t="shared" si="14"/>
        <v>100</v>
      </c>
      <c r="X28" s="1568"/>
      <c r="Y28" s="336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8"/>
      <c r="Q29" s="1573" t="str">
        <f t="shared" si="11"/>
        <v>成新率</v>
      </c>
      <c r="R29" s="1574" t="s">
        <v>8</v>
      </c>
      <c r="S29" s="1575" t="e">
        <f t="shared" si="12"/>
        <v>#N/A</v>
      </c>
      <c r="T29" s="1574" t="s">
        <v>8</v>
      </c>
      <c r="U29" s="1575" t="e">
        <f t="shared" si="13"/>
        <v>#N/A</v>
      </c>
      <c r="V29" s="1574" t="s">
        <v>8</v>
      </c>
      <c r="W29" s="1575" t="e">
        <f t="shared" si="14"/>
        <v>#N/A</v>
      </c>
      <c r="X29" s="1568"/>
      <c r="Y29" s="336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8"/>
      <c r="Q30" s="1573" t="str">
        <f t="shared" si="11"/>
        <v>物业等级</v>
      </c>
      <c r="R30" s="1574" t="s">
        <v>8</v>
      </c>
      <c r="S30" s="1575">
        <f t="shared" si="12"/>
        <v>100</v>
      </c>
      <c r="T30" s="1574" t="s">
        <v>8</v>
      </c>
      <c r="U30" s="1575">
        <f t="shared" si="13"/>
        <v>100</v>
      </c>
      <c r="V30" s="1574" t="s">
        <v>8</v>
      </c>
      <c r="W30" s="1575">
        <f t="shared" si="14"/>
        <v>100</v>
      </c>
      <c r="X30" s="1568"/>
      <c r="Y30" s="336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8"/>
      <c r="Q31" s="1151" t="str">
        <f t="shared" si="11"/>
        <v>停车位面积</v>
      </c>
      <c r="R31" s="1569" t="s">
        <v>8</v>
      </c>
      <c r="S31" s="1570" t="e">
        <f t="shared" si="12"/>
        <v>#N/A</v>
      </c>
      <c r="T31" s="1569" t="s">
        <v>8</v>
      </c>
      <c r="U31" s="1570" t="e">
        <f t="shared" si="13"/>
        <v>#N/A</v>
      </c>
      <c r="V31" s="1569" t="s">
        <v>8</v>
      </c>
      <c r="W31" s="1570" t="e">
        <f t="shared" si="14"/>
        <v>#N/A</v>
      </c>
      <c r="X31" s="1571"/>
      <c r="Y31" s="336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8" t="s">
        <v>550</v>
      </c>
      <c r="Q32" s="1573" t="str">
        <f t="shared" si="11"/>
        <v>车位类型</v>
      </c>
      <c r="R32" s="1574" t="s">
        <v>8</v>
      </c>
      <c r="S32" s="1575">
        <f t="shared" si="12"/>
        <v>100</v>
      </c>
      <c r="T32" s="1574" t="s">
        <v>8</v>
      </c>
      <c r="U32" s="1575">
        <f t="shared" si="13"/>
        <v>100</v>
      </c>
      <c r="V32" s="1574" t="s">
        <v>8</v>
      </c>
      <c r="W32" s="1575">
        <f t="shared" si="14"/>
        <v>100</v>
      </c>
      <c r="X32" s="1568"/>
      <c r="Y32" s="336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8"/>
      <c r="Q33" s="1573" t="str">
        <f t="shared" si="11"/>
        <v>是否直接入户</v>
      </c>
      <c r="R33" s="1574" t="s">
        <v>8</v>
      </c>
      <c r="S33" s="1575">
        <f t="shared" si="12"/>
        <v>100</v>
      </c>
      <c r="T33" s="1574" t="s">
        <v>8</v>
      </c>
      <c r="U33" s="1575">
        <f t="shared" si="13"/>
        <v>100</v>
      </c>
      <c r="V33" s="1574" t="s">
        <v>8</v>
      </c>
      <c r="W33" s="1575">
        <f t="shared" si="14"/>
        <v>100</v>
      </c>
      <c r="X33" s="1568"/>
      <c r="Y33" s="336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8"/>
      <c r="Q34" s="1573">
        <f t="shared" si="11"/>
        <v>111</v>
      </c>
      <c r="R34" s="1574" t="s">
        <v>8</v>
      </c>
      <c r="S34" s="1575">
        <f t="shared" si="12"/>
        <v>100</v>
      </c>
      <c r="T34" s="1574" t="s">
        <v>8</v>
      </c>
      <c r="U34" s="1575">
        <f t="shared" si="13"/>
        <v>100</v>
      </c>
      <c r="V34" s="1574" t="s">
        <v>8</v>
      </c>
      <c r="W34" s="1575">
        <f t="shared" si="14"/>
        <v>100</v>
      </c>
      <c r="X34" s="1568"/>
      <c r="Y34" s="336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8"/>
      <c r="Q35" s="1606">
        <f t="shared" si="11"/>
        <v>111</v>
      </c>
      <c r="R35" s="1578" t="s">
        <v>8</v>
      </c>
      <c r="S35" s="1579">
        <f t="shared" si="12"/>
        <v>100</v>
      </c>
      <c r="T35" s="1578" t="s">
        <v>8</v>
      </c>
      <c r="U35" s="1579">
        <f t="shared" si="13"/>
        <v>100</v>
      </c>
      <c r="V35" s="1578" t="s">
        <v>8</v>
      </c>
      <c r="W35" s="1579">
        <f t="shared" si="14"/>
        <v>100</v>
      </c>
      <c r="X35" s="1580"/>
      <c r="Y35" s="336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8"/>
      <c r="Q36" s="1573">
        <f t="shared" si="11"/>
        <v>111</v>
      </c>
      <c r="R36" s="1574" t="s">
        <v>8</v>
      </c>
      <c r="S36" s="1575">
        <f t="shared" si="12"/>
        <v>100</v>
      </c>
      <c r="T36" s="1574" t="s">
        <v>8</v>
      </c>
      <c r="U36" s="1575">
        <f t="shared" si="13"/>
        <v>100</v>
      </c>
      <c r="V36" s="1574" t="s">
        <v>8</v>
      </c>
      <c r="W36" s="1575">
        <f t="shared" si="14"/>
        <v>100</v>
      </c>
      <c r="X36" s="1568"/>
      <c r="Y36" s="3368"/>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3" t="str">
        <f>A37</f>
        <v>成交单价</v>
      </c>
      <c r="Q37" s="3363"/>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3" t="str">
        <f>A38</f>
        <v>比较价格（元/平方米）</v>
      </c>
      <c r="Q38" s="3363"/>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84" t="str">
        <f>A39</f>
        <v>估价对象XX用房的比较价格（楼面单价，元/平方米）</v>
      </c>
      <c r="Q39" s="3385"/>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9" t="s">
        <v>798</v>
      </c>
      <c r="D4" s="3370"/>
      <c r="E4" s="3393" t="s">
        <v>799</v>
      </c>
      <c r="F4" s="3394"/>
      <c r="G4" s="3369" t="s">
        <v>800</v>
      </c>
      <c r="H4" s="3370"/>
      <c r="I4" s="3369" t="s">
        <v>801</v>
      </c>
      <c r="J4" s="3370"/>
      <c r="K4" s="514" t="s">
        <v>802</v>
      </c>
      <c r="L4" s="2134"/>
      <c r="M4" s="2135"/>
      <c r="N4" s="2135"/>
      <c r="O4" s="2135"/>
      <c r="P4" s="3371" t="s">
        <v>803</v>
      </c>
      <c r="Q4" s="3372"/>
      <c r="R4" s="3357" t="s">
        <v>799</v>
      </c>
      <c r="S4" s="3358"/>
      <c r="T4" s="3357" t="s">
        <v>800</v>
      </c>
      <c r="U4" s="3358"/>
      <c r="V4" s="3377" t="s">
        <v>801</v>
      </c>
      <c r="W4" s="3377"/>
      <c r="X4" s="1568"/>
      <c r="Y4" s="3357" t="s">
        <v>803</v>
      </c>
      <c r="Z4" s="3358"/>
      <c r="AA4" s="3352" t="s">
        <v>799</v>
      </c>
      <c r="AB4" s="3353" t="s">
        <v>800</v>
      </c>
      <c r="AC4" s="3352" t="s">
        <v>801</v>
      </c>
    </row>
    <row r="5" spans="1:29" ht="15">
      <c r="A5" s="515"/>
      <c r="B5" s="516"/>
      <c r="C5" s="3380" t="s">
        <v>2932</v>
      </c>
      <c r="D5" s="3381"/>
      <c r="E5" s="3395" t="s">
        <v>2933</v>
      </c>
      <c r="F5" s="3396"/>
      <c r="G5" s="3380" t="s">
        <v>2934</v>
      </c>
      <c r="H5" s="3381"/>
      <c r="I5" s="3380" t="s">
        <v>2935</v>
      </c>
      <c r="J5" s="3381"/>
      <c r="K5" s="514"/>
      <c r="L5" s="2134"/>
      <c r="M5" s="2135"/>
      <c r="N5" s="2135"/>
      <c r="O5" s="2135"/>
      <c r="P5" s="3373"/>
      <c r="Q5" s="3374"/>
      <c r="R5" s="3359"/>
      <c r="S5" s="3360"/>
      <c r="T5" s="3359"/>
      <c r="U5" s="3360"/>
      <c r="V5" s="3377"/>
      <c r="W5" s="3377"/>
      <c r="X5" s="1568"/>
      <c r="Y5" s="3359"/>
      <c r="Z5" s="3360"/>
      <c r="AA5" s="3353"/>
      <c r="AB5" s="3353"/>
      <c r="AC5" s="3353"/>
    </row>
    <row r="6" spans="1:29" ht="15.75" thickBot="1">
      <c r="A6" s="517"/>
      <c r="B6" s="518"/>
      <c r="C6" s="3378" t="s">
        <v>2936</v>
      </c>
      <c r="D6" s="3379"/>
      <c r="E6" s="3397" t="s">
        <v>2936</v>
      </c>
      <c r="F6" s="3398"/>
      <c r="G6" s="3378" t="s">
        <v>2936</v>
      </c>
      <c r="H6" s="3379"/>
      <c r="I6" s="3378" t="s">
        <v>2936</v>
      </c>
      <c r="J6" s="3379"/>
      <c r="K6" s="514" t="s">
        <v>528</v>
      </c>
      <c r="L6" s="2134"/>
      <c r="M6" s="2135"/>
      <c r="N6" s="2135"/>
      <c r="O6" s="2135"/>
      <c r="P6" s="3375"/>
      <c r="Q6" s="3376"/>
      <c r="R6" s="3359"/>
      <c r="S6" s="3360"/>
      <c r="T6" s="3361"/>
      <c r="U6" s="3362"/>
      <c r="V6" s="3377"/>
      <c r="W6" s="3377"/>
      <c r="X6" s="1568"/>
      <c r="Y6" s="3361"/>
      <c r="Z6" s="3362"/>
      <c r="AA6" s="3354"/>
      <c r="AB6" s="3354"/>
      <c r="AC6" s="3354"/>
    </row>
    <row r="7" spans="1:29" s="1220" customFormat="1" ht="15.75" thickBot="1">
      <c r="A7" s="2891"/>
      <c r="B7" s="2898" t="s">
        <v>529</v>
      </c>
      <c r="C7" s="519">
        <f>'数据-取费表'!B2</f>
        <v>43528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5" t="s">
        <v>530</v>
      </c>
      <c r="Q7" s="3364"/>
      <c r="R7" s="1569" t="s">
        <v>8</v>
      </c>
      <c r="S7" s="1570">
        <f t="shared" ref="S7:S14" si="0">F7</f>
        <v>0</v>
      </c>
      <c r="T7" s="1569" t="s">
        <v>8</v>
      </c>
      <c r="U7" s="1570">
        <f t="shared" ref="U7:U14" si="1">H7</f>
        <v>0</v>
      </c>
      <c r="V7" s="1569" t="s">
        <v>8</v>
      </c>
      <c r="W7" s="1570">
        <f t="shared" ref="W7:W14" si="2">J7</f>
        <v>0</v>
      </c>
      <c r="X7" s="1571"/>
      <c r="Y7" s="3355" t="s">
        <v>530</v>
      </c>
      <c r="Z7" s="3356"/>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5" t="s">
        <v>533</v>
      </c>
      <c r="Q8" s="3356"/>
      <c r="R8" s="1569" t="s">
        <v>8</v>
      </c>
      <c r="S8" s="1570">
        <f t="shared" si="0"/>
        <v>0</v>
      </c>
      <c r="T8" s="1569" t="s">
        <v>8</v>
      </c>
      <c r="U8" s="1570">
        <f t="shared" si="1"/>
        <v>0</v>
      </c>
      <c r="V8" s="1569" t="s">
        <v>8</v>
      </c>
      <c r="W8" s="1570">
        <f t="shared" si="2"/>
        <v>0</v>
      </c>
      <c r="X8" s="1571"/>
      <c r="Y8" s="3355" t="s">
        <v>533</v>
      </c>
      <c r="Z8" s="3356"/>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3"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3"/>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3"/>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3"/>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3"/>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5" t="s">
        <v>540</v>
      </c>
      <c r="Q14" s="1573" t="str">
        <f t="shared" si="6"/>
        <v>交通便捷度</v>
      </c>
      <c r="R14" s="1574" t="s">
        <v>8</v>
      </c>
      <c r="S14" s="1575">
        <f t="shared" si="0"/>
        <v>100</v>
      </c>
      <c r="T14" s="1574" t="s">
        <v>8</v>
      </c>
      <c r="U14" s="1575">
        <f t="shared" si="1"/>
        <v>100</v>
      </c>
      <c r="V14" s="1574" t="s">
        <v>8</v>
      </c>
      <c r="W14" s="1575">
        <f t="shared" si="2"/>
        <v>100</v>
      </c>
      <c r="X14" s="1568"/>
      <c r="Y14" s="336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6"/>
      <c r="Q15" s="1573"/>
      <c r="R15" s="1574"/>
      <c r="S15" s="1575"/>
      <c r="T15" s="1574"/>
      <c r="U15" s="1575"/>
      <c r="V15" s="1574"/>
      <c r="W15" s="1575"/>
      <c r="X15" s="1568"/>
      <c r="Y15" s="3366"/>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6"/>
      <c r="Q16" s="1573" t="str">
        <f>B16</f>
        <v>公共配套设施</v>
      </c>
      <c r="R16" s="1574" t="s">
        <v>8</v>
      </c>
      <c r="S16" s="1575">
        <f>F16</f>
        <v>100</v>
      </c>
      <c r="T16" s="1574" t="s">
        <v>8</v>
      </c>
      <c r="U16" s="1575">
        <f>H16</f>
        <v>100</v>
      </c>
      <c r="V16" s="1574" t="s">
        <v>8</v>
      </c>
      <c r="W16" s="1575">
        <f>J16</f>
        <v>100</v>
      </c>
      <c r="X16" s="1568"/>
      <c r="Y16" s="336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6"/>
      <c r="Q17" s="1573"/>
      <c r="R17" s="1574"/>
      <c r="S17" s="1575"/>
      <c r="T17" s="1574"/>
      <c r="U17" s="1575"/>
      <c r="V17" s="1574"/>
      <c r="W17" s="1575"/>
      <c r="X17" s="1568"/>
      <c r="Y17" s="3366"/>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6"/>
      <c r="Q18" s="2559" t="str">
        <f>B18</f>
        <v>基础设施水平</v>
      </c>
      <c r="R18" s="1574" t="s">
        <v>8</v>
      </c>
      <c r="S18" s="1575">
        <f>F18</f>
        <v>100</v>
      </c>
      <c r="T18" s="1574" t="s">
        <v>8</v>
      </c>
      <c r="U18" s="1575">
        <f>H18</f>
        <v>100</v>
      </c>
      <c r="V18" s="1574" t="s">
        <v>8</v>
      </c>
      <c r="W18" s="1575">
        <f>J18</f>
        <v>100</v>
      </c>
      <c r="X18" s="2561"/>
      <c r="Y18" s="3366"/>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6"/>
      <c r="Q19" s="2559"/>
      <c r="R19" s="1574"/>
      <c r="S19" s="1575"/>
      <c r="T19" s="1574"/>
      <c r="U19" s="1575"/>
      <c r="V19" s="1574"/>
      <c r="W19" s="1575"/>
      <c r="X19" s="2561"/>
      <c r="Y19" s="3366"/>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6"/>
      <c r="Q20" s="1573" t="str">
        <f>B20</f>
        <v>自然及人文环境</v>
      </c>
      <c r="R20" s="1574" t="s">
        <v>8</v>
      </c>
      <c r="S20" s="1575">
        <f>F20</f>
        <v>100</v>
      </c>
      <c r="T20" s="1574" t="s">
        <v>8</v>
      </c>
      <c r="U20" s="1575">
        <f>H20</f>
        <v>100</v>
      </c>
      <c r="V20" s="1574" t="s">
        <v>8</v>
      </c>
      <c r="W20" s="1575">
        <f>J20</f>
        <v>100</v>
      </c>
      <c r="X20" s="1568"/>
      <c r="Y20" s="336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6"/>
      <c r="Q21" s="1573"/>
      <c r="R21" s="1574"/>
      <c r="S21" s="1575"/>
      <c r="T21" s="1574"/>
      <c r="U21" s="1575"/>
      <c r="V21" s="1574"/>
      <c r="W21" s="1575"/>
      <c r="X21" s="1568"/>
      <c r="Y21" s="336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6"/>
      <c r="Q22" s="1573" t="str">
        <f>B22</f>
        <v>楼层</v>
      </c>
      <c r="R22" s="1574" t="s">
        <v>8</v>
      </c>
      <c r="S22" s="1575">
        <f>F22</f>
        <v>100</v>
      </c>
      <c r="T22" s="1574" t="s">
        <v>8</v>
      </c>
      <c r="U22" s="1575">
        <f>H22</f>
        <v>100</v>
      </c>
      <c r="V22" s="1574" t="s">
        <v>8</v>
      </c>
      <c r="W22" s="1575">
        <f>J22</f>
        <v>100</v>
      </c>
      <c r="X22" s="1568"/>
      <c r="Y22" s="336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6"/>
      <c r="Q23" s="1573">
        <f>B23</f>
        <v>111</v>
      </c>
      <c r="R23" s="1574" t="s">
        <v>8</v>
      </c>
      <c r="S23" s="1575">
        <f>F23</f>
        <v>100</v>
      </c>
      <c r="T23" s="1574" t="s">
        <v>8</v>
      </c>
      <c r="U23" s="1575">
        <f>H23</f>
        <v>100</v>
      </c>
      <c r="V23" s="1574" t="s">
        <v>8</v>
      </c>
      <c r="W23" s="1575">
        <f>J23</f>
        <v>100</v>
      </c>
      <c r="X23" s="1568"/>
      <c r="Y23" s="336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6"/>
      <c r="Q24" s="1573">
        <f t="shared" ref="Q24:Q34" si="11">B24</f>
        <v>111</v>
      </c>
      <c r="R24" s="1574" t="s">
        <v>8</v>
      </c>
      <c r="S24" s="1575">
        <f>F24</f>
        <v>100</v>
      </c>
      <c r="T24" s="1574" t="s">
        <v>8</v>
      </c>
      <c r="U24" s="1575">
        <f>H24</f>
        <v>100</v>
      </c>
      <c r="V24" s="1574" t="s">
        <v>8</v>
      </c>
      <c r="W24" s="1575">
        <f>J24</f>
        <v>100</v>
      </c>
      <c r="X24" s="1568"/>
      <c r="Y24" s="336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6"/>
      <c r="Q25" s="1151">
        <f t="shared" si="11"/>
        <v>111</v>
      </c>
      <c r="R25" s="1569" t="s">
        <v>8</v>
      </c>
      <c r="S25" s="1570">
        <f>F25</f>
        <v>100</v>
      </c>
      <c r="T25" s="1569" t="s">
        <v>8</v>
      </c>
      <c r="U25" s="1570">
        <f>H25</f>
        <v>100</v>
      </c>
      <c r="V25" s="1569" t="s">
        <v>8</v>
      </c>
      <c r="W25" s="1570">
        <f>J25</f>
        <v>100</v>
      </c>
      <c r="X25" s="1571"/>
      <c r="Y25" s="3366"/>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8"/>
      <c r="Q27" s="1606" t="str">
        <f t="shared" si="11"/>
        <v>成新率</v>
      </c>
      <c r="R27" s="1578" t="s">
        <v>8</v>
      </c>
      <c r="S27" s="1579" t="e">
        <f t="shared" si="12"/>
        <v>#N/A</v>
      </c>
      <c r="T27" s="1578" t="s">
        <v>8</v>
      </c>
      <c r="U27" s="1579" t="e">
        <f t="shared" si="13"/>
        <v>#N/A</v>
      </c>
      <c r="V27" s="1578" t="s">
        <v>8</v>
      </c>
      <c r="W27" s="1579" t="e">
        <f t="shared" si="14"/>
        <v>#N/A</v>
      </c>
      <c r="X27" s="1580"/>
      <c r="Y27" s="336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8"/>
      <c r="Q28" s="1573" t="str">
        <f t="shared" si="11"/>
        <v>物业等级</v>
      </c>
      <c r="R28" s="1574" t="s">
        <v>8</v>
      </c>
      <c r="S28" s="1575">
        <f t="shared" si="12"/>
        <v>100</v>
      </c>
      <c r="T28" s="1574" t="s">
        <v>8</v>
      </c>
      <c r="U28" s="1575">
        <f t="shared" si="13"/>
        <v>100</v>
      </c>
      <c r="V28" s="1574" t="s">
        <v>8</v>
      </c>
      <c r="W28" s="1575">
        <f t="shared" si="14"/>
        <v>100</v>
      </c>
      <c r="X28" s="1568"/>
      <c r="Y28" s="336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8"/>
      <c r="Q29" s="1573" t="str">
        <f t="shared" si="11"/>
        <v>有无电梯</v>
      </c>
      <c r="R29" s="1574" t="s">
        <v>8</v>
      </c>
      <c r="S29" s="1575">
        <f t="shared" si="12"/>
        <v>100</v>
      </c>
      <c r="T29" s="1574" t="s">
        <v>8</v>
      </c>
      <c r="U29" s="1575">
        <f t="shared" si="13"/>
        <v>100</v>
      </c>
      <c r="V29" s="1574" t="s">
        <v>8</v>
      </c>
      <c r="W29" s="1575">
        <f t="shared" si="14"/>
        <v>100</v>
      </c>
      <c r="X29" s="1568"/>
      <c r="Y29" s="336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8"/>
      <c r="Q30" s="1573" t="str">
        <f t="shared" si="11"/>
        <v>建筑面积</v>
      </c>
      <c r="R30" s="1574" t="s">
        <v>8</v>
      </c>
      <c r="S30" s="1575" t="e">
        <f t="shared" si="12"/>
        <v>#N/A</v>
      </c>
      <c r="T30" s="1574" t="s">
        <v>8</v>
      </c>
      <c r="U30" s="1575" t="e">
        <f t="shared" si="13"/>
        <v>#N/A</v>
      </c>
      <c r="V30" s="1574" t="s">
        <v>8</v>
      </c>
      <c r="W30" s="1575" t="e">
        <f t="shared" si="14"/>
        <v>#N/A</v>
      </c>
      <c r="X30" s="1568"/>
      <c r="Y30" s="336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8"/>
      <c r="Q31" s="1151" t="str">
        <f t="shared" si="11"/>
        <v>是否封闭</v>
      </c>
      <c r="R31" s="1569" t="s">
        <v>8</v>
      </c>
      <c r="S31" s="1570">
        <f t="shared" si="12"/>
        <v>100</v>
      </c>
      <c r="T31" s="1569" t="s">
        <v>8</v>
      </c>
      <c r="U31" s="1570">
        <f t="shared" si="13"/>
        <v>100</v>
      </c>
      <c r="V31" s="1569" t="s">
        <v>8</v>
      </c>
      <c r="W31" s="1570">
        <f t="shared" si="14"/>
        <v>100</v>
      </c>
      <c r="X31" s="1571"/>
      <c r="Y31" s="336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8" t="s">
        <v>550</v>
      </c>
      <c r="Q32" s="1573">
        <f t="shared" si="11"/>
        <v>111</v>
      </c>
      <c r="R32" s="1574" t="s">
        <v>8</v>
      </c>
      <c r="S32" s="1575">
        <f t="shared" si="12"/>
        <v>100</v>
      </c>
      <c r="T32" s="1574" t="s">
        <v>8</v>
      </c>
      <c r="U32" s="1575">
        <f t="shared" si="13"/>
        <v>100</v>
      </c>
      <c r="V32" s="1574" t="s">
        <v>8</v>
      </c>
      <c r="W32" s="1575">
        <f t="shared" si="14"/>
        <v>100</v>
      </c>
      <c r="X32" s="1568"/>
      <c r="Y32" s="336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8"/>
      <c r="Q33" s="1573">
        <f t="shared" si="11"/>
        <v>111</v>
      </c>
      <c r="R33" s="1574" t="s">
        <v>8</v>
      </c>
      <c r="S33" s="1575">
        <f t="shared" si="12"/>
        <v>100</v>
      </c>
      <c r="T33" s="1574" t="s">
        <v>8</v>
      </c>
      <c r="U33" s="1575">
        <f t="shared" si="13"/>
        <v>100</v>
      </c>
      <c r="V33" s="1574" t="s">
        <v>8</v>
      </c>
      <c r="W33" s="1575">
        <f t="shared" si="14"/>
        <v>100</v>
      </c>
      <c r="X33" s="1568"/>
      <c r="Y33" s="336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8"/>
      <c r="Q34" s="1573">
        <f t="shared" si="11"/>
        <v>111</v>
      </c>
      <c r="R34" s="1574" t="s">
        <v>8</v>
      </c>
      <c r="S34" s="1575">
        <f t="shared" si="12"/>
        <v>100</v>
      </c>
      <c r="T34" s="1574" t="s">
        <v>8</v>
      </c>
      <c r="U34" s="1575">
        <f t="shared" si="13"/>
        <v>100</v>
      </c>
      <c r="V34" s="1574" t="s">
        <v>8</v>
      </c>
      <c r="W34" s="1575">
        <f t="shared" si="14"/>
        <v>100</v>
      </c>
      <c r="X34" s="1568"/>
      <c r="Y34" s="3368"/>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3" t="str">
        <f>A35</f>
        <v>成交单价（元/平方米）</v>
      </c>
      <c r="Q35" s="3363"/>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3" t="str">
        <f>A36</f>
        <v>比较价格（元/平方米）</v>
      </c>
      <c r="Q36" s="3363"/>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84" t="str">
        <f>A37</f>
        <v>估价对象XX用房的比较价格（楼面单价，元/平方米）</v>
      </c>
      <c r="Q37" s="3385"/>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69366.25平方米。根据《建设工程规划许可证》[]、《出让合同》[]，估价对象规划建筑面积为138732.5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2019年3月4日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根据《国有土地使用证》[]，估价对象（分摊）出让国有建设用地使用权面积为69366.25平方米。根据《建设工程规划许可证》[]、《出让合同》[]，估价对象规划建筑面积为138732.5平方米。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3" t="s">
        <v>2305</v>
      </c>
      <c r="D1" s="3474"/>
      <c r="E1" s="3474"/>
      <c r="F1" s="3474"/>
      <c r="G1" s="3474"/>
      <c r="H1" s="3474"/>
      <c r="I1" s="3474"/>
      <c r="J1" s="3474"/>
      <c r="K1" s="3474"/>
      <c r="L1" s="3474"/>
      <c r="M1" s="3474"/>
      <c r="N1" s="3474"/>
      <c r="O1" s="3474"/>
      <c r="P1" s="3474"/>
      <c r="Q1" s="3474"/>
      <c r="R1" s="3474"/>
      <c r="S1" s="347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43528</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2039</v>
      </c>
      <c r="B1" s="3186"/>
      <c r="C1" s="3186"/>
      <c r="D1" s="3186"/>
      <c r="E1" s="3186"/>
      <c r="F1" s="3186"/>
      <c r="G1" s="3186"/>
      <c r="H1" s="3186"/>
      <c r="I1" s="3186"/>
      <c r="J1" s="3186"/>
      <c r="K1" s="3186"/>
      <c r="L1" s="3186"/>
      <c r="M1" s="3186"/>
      <c r="N1" s="3186"/>
      <c r="O1" s="3186"/>
      <c r="P1" s="3186"/>
      <c r="Q1" s="3186"/>
      <c r="R1" s="3186"/>
    </row>
    <row r="2" spans="1:18">
      <c r="A2" s="1808" t="s">
        <v>2041</v>
      </c>
      <c r="B2" s="1808"/>
      <c r="C2" s="1808"/>
      <c r="D2" s="1808"/>
      <c r="E2" s="1808"/>
      <c r="F2" s="1808"/>
      <c r="G2" s="1808"/>
      <c r="H2" s="1808"/>
      <c r="I2" s="1809"/>
      <c r="J2" s="1809"/>
      <c r="K2" s="1810" t="str">
        <f>"估价期日："&amp;TEXT(项目基本情况!D3,"yyyy年m月d日;;")</f>
        <v>估价期日：2019年3月4日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7" t="s">
        <v>2030</v>
      </c>
      <c r="B3" s="3187" t="s">
        <v>2732</v>
      </c>
      <c r="C3" s="3188" t="s">
        <v>2031</v>
      </c>
      <c r="D3" s="3187" t="s">
        <v>2736</v>
      </c>
      <c r="E3" s="3190" t="s">
        <v>2032</v>
      </c>
      <c r="F3" s="3190"/>
      <c r="G3" s="3190"/>
      <c r="H3" s="3190" t="s">
        <v>2033</v>
      </c>
      <c r="I3" s="3190"/>
      <c r="J3" s="3190"/>
      <c r="K3" s="3188" t="s">
        <v>2034</v>
      </c>
      <c r="L3" s="3188" t="s">
        <v>2035</v>
      </c>
      <c r="M3" s="3187" t="s">
        <v>2733</v>
      </c>
      <c r="N3" s="3189" t="str">
        <f>"（分摊）"&amp;项目基本情况!B16&amp;"国有建设用地使用权面积/㎡"</f>
        <v>（分摊）出让国有建设用地使用权面积/㎡</v>
      </c>
      <c r="O3" s="3187" t="s">
        <v>2064</v>
      </c>
      <c r="P3" s="3188" t="s">
        <v>2044</v>
      </c>
      <c r="Q3" s="3188" t="s">
        <v>2065</v>
      </c>
      <c r="R3" s="3188" t="s">
        <v>2036</v>
      </c>
    </row>
    <row r="4" spans="1:18" ht="36.75" customHeight="1">
      <c r="A4" s="3187"/>
      <c r="B4" s="3187"/>
      <c r="C4" s="3188"/>
      <c r="D4" s="3187"/>
      <c r="E4" s="2629" t="s">
        <v>2043</v>
      </c>
      <c r="F4" s="2629" t="s">
        <v>2745</v>
      </c>
      <c r="G4" s="2629" t="s">
        <v>2037</v>
      </c>
      <c r="H4" s="2629" t="s">
        <v>2038</v>
      </c>
      <c r="I4" s="2629" t="s">
        <v>2746</v>
      </c>
      <c r="J4" s="2629" t="s">
        <v>2037</v>
      </c>
      <c r="K4" s="3188"/>
      <c r="L4" s="3188"/>
      <c r="M4" s="3187"/>
      <c r="N4" s="3189"/>
      <c r="O4" s="3187"/>
      <c r="P4" s="3188"/>
      <c r="Q4" s="3188"/>
      <c r="R4" s="3188"/>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69366.25</v>
      </c>
      <c r="O5" s="1811">
        <f>项目基本情况!C21</f>
        <v>138732.5</v>
      </c>
      <c r="P5" s="1811">
        <f ca="1">结果表!E42</f>
        <v>12094</v>
      </c>
      <c r="Q5" s="1811">
        <f ca="1">结果表!D42</f>
        <v>6047</v>
      </c>
      <c r="R5" s="1812">
        <f ca="1">结果表!C42</f>
        <v>83892</v>
      </c>
    </row>
    <row r="6" spans="1:18">
      <c r="A6" s="3183" t="str">
        <f>IF(项目基本情况!B9="市场价格","——","抵押价格")</f>
        <v>——</v>
      </c>
      <c r="B6" s="3184"/>
      <c r="C6" s="3184"/>
      <c r="D6" s="3184"/>
      <c r="E6" s="3184"/>
      <c r="F6" s="3184"/>
      <c r="G6" s="3184"/>
      <c r="H6" s="3184"/>
      <c r="I6" s="3184"/>
      <c r="J6" s="3184"/>
      <c r="K6" s="3184"/>
      <c r="L6" s="3184"/>
      <c r="M6" s="3184"/>
      <c r="N6" s="3184"/>
      <c r="O6" s="3184"/>
      <c r="P6" s="3184"/>
      <c r="Q6" s="3185"/>
      <c r="R6" s="1813" t="str">
        <f>结果表!O39</f>
        <v>——</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3">
        <f ca="1">结果表!O40</f>
        <v>83892</v>
      </c>
    </row>
    <row r="8" spans="1:18">
      <c r="A8" s="3183" t="str">
        <f>IF(项目基本情况!B9="市场价格","——",项目基本情况!E9)</f>
        <v>——</v>
      </c>
      <c r="B8" s="3184"/>
      <c r="C8" s="3184"/>
      <c r="D8" s="3184"/>
      <c r="E8" s="3184"/>
      <c r="F8" s="3184"/>
      <c r="G8" s="3184"/>
      <c r="H8" s="3184"/>
      <c r="I8" s="3184"/>
      <c r="J8" s="3184"/>
      <c r="K8" s="3184"/>
      <c r="L8" s="3184"/>
      <c r="M8" s="3184"/>
      <c r="N8" s="3184"/>
      <c r="O8" s="3184"/>
      <c r="P8" s="3184"/>
      <c r="Q8" s="3185"/>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1" t="s">
        <v>2066</v>
      </c>
      <c r="B1" s="3191"/>
      <c r="C1" s="3191"/>
      <c r="D1" s="3191"/>
    </row>
    <row r="2" spans="1:4" ht="47.25" customHeight="1">
      <c r="A2" s="3195" t="str">
        <f>"1.权利限制："&amp;项目基本情况!L24&amp;"未设定租赁等其他他项权利。"</f>
        <v>1.权利限制：根据估价对象《不动产权证书》原件、《国有土地使用权》复印件，截至估价期日，估价对象抵押权未见登记。未设定租赁等其他他项权利。</v>
      </c>
      <c r="B2" s="3195"/>
      <c r="C2" s="3195"/>
      <c r="D2" s="3195"/>
    </row>
    <row r="3" spans="1:4" ht="48" customHeight="1">
      <c r="A3" s="31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4" t="s">
        <v>2067</v>
      </c>
      <c r="B5" s="3194"/>
      <c r="C5" s="3194"/>
      <c r="D5" s="3194"/>
    </row>
    <row r="6" spans="1:4">
      <c r="A6" s="3191" t="s">
        <v>2045</v>
      </c>
      <c r="B6" s="3191"/>
      <c r="C6" s="3191"/>
      <c r="D6" s="3191"/>
    </row>
    <row r="7" spans="1:4" ht="33" customHeight="1">
      <c r="A7" s="3191" t="s">
        <v>2576</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1"/>
      <c r="C8" s="3191"/>
      <c r="D8" s="3191"/>
    </row>
    <row r="9" spans="1:4" ht="33.75" customHeight="1">
      <c r="A9" s="3191" t="str">
        <f>IF(项目基本情况!B8="抵押","3.抵押双方在办理抵押登记手续时，应使用本公司出具的正式《土地估价报告》，特提请报告使用者注意。","——")</f>
        <v>——</v>
      </c>
      <c r="B9" s="3191"/>
      <c r="C9" s="3191"/>
      <c r="D9" s="3191"/>
    </row>
    <row r="10" spans="1:4">
      <c r="A10" s="3191" t="str">
        <f>IF(项目基本情况!B8="抵押","4.估价师所知悉的法定优先受偿款情况为：","——")</f>
        <v>——</v>
      </c>
      <c r="B10" s="3191"/>
      <c r="C10" s="3191"/>
      <c r="D10" s="3191"/>
    </row>
    <row r="11" spans="1:4" ht="37.5" customHeight="1">
      <c r="A11" s="3193" t="str">
        <f>IF(项目基本情况!B8="抵押","（1）"&amp;CONCATENATE(项目基本情况!L24,项目基本情况!L25,项目基本情况!L26),"——")</f>
        <v>——</v>
      </c>
      <c r="B11" s="3193"/>
      <c r="C11" s="3193"/>
      <c r="D11" s="3193"/>
    </row>
    <row r="12" spans="1:4" ht="168" customHeight="1">
      <c r="A12" s="3194" t="s">
        <v>2069</v>
      </c>
      <c r="B12" s="3194"/>
      <c r="C12" s="3194"/>
      <c r="D12" s="3194"/>
    </row>
    <row r="13" spans="1:4">
      <c r="A13" s="3192" t="s">
        <v>2747</v>
      </c>
      <c r="B13" s="3192"/>
      <c r="C13" s="3192"/>
      <c r="D13" s="3192"/>
    </row>
    <row r="14" spans="1:4">
      <c r="A14" s="3193" t="str">
        <f>IF(项目基本情况!B8="抵押","综上，"&amp;结果表!K47,"——")</f>
        <v>——</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2703</v>
      </c>
      <c r="B17" s="3191"/>
      <c r="C17" s="3191"/>
      <c r="D17" s="3191"/>
    </row>
    <row r="18" spans="1:4">
      <c r="A18" s="3191" t="s">
        <v>2695</v>
      </c>
      <c r="B18" s="3191"/>
      <c r="C18" s="3191"/>
      <c r="D18" s="3191"/>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1" t="s">
        <v>2700</v>
      </c>
      <c r="B23" s="3191"/>
      <c r="C23" s="3191"/>
      <c r="D23" s="3191"/>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3" t="s">
        <v>53</v>
      </c>
      <c r="B15" s="3204" t="s">
        <v>846</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837</v>
      </c>
    </row>
    <row r="25" spans="1:3" ht="14.25">
      <c r="A25" s="3202"/>
      <c r="B25" s="3206"/>
      <c r="C25" s="1176" t="s">
        <v>838</v>
      </c>
    </row>
    <row r="26" spans="1:3" ht="14.25">
      <c r="A26" s="3202"/>
      <c r="B26" s="3206"/>
      <c r="C26" s="1176" t="s">
        <v>839</v>
      </c>
    </row>
    <row r="27" spans="1:3" ht="14.25">
      <c r="A27" s="3202"/>
      <c r="B27" s="3206"/>
      <c r="C27" s="1176" t="s">
        <v>840</v>
      </c>
    </row>
    <row r="28" spans="1:3" ht="14.25">
      <c r="A28" s="3202"/>
      <c r="B28" s="3206"/>
      <c r="C28" s="1176" t="s">
        <v>841</v>
      </c>
    </row>
    <row r="29" spans="1:3" ht="14.25">
      <c r="A29" s="3202"/>
      <c r="B29" s="3206"/>
      <c r="C29" s="1176" t="s">
        <v>842</v>
      </c>
    </row>
    <row r="30" spans="1:3" ht="14.25">
      <c r="A30" s="3202"/>
      <c r="B30" s="3206"/>
      <c r="C30" s="1176" t="s">
        <v>843</v>
      </c>
    </row>
    <row r="31" spans="1:3" ht="14.25">
      <c r="A31" s="3202"/>
      <c r="B31" s="3206"/>
      <c r="C31" s="1176" t="s">
        <v>844</v>
      </c>
    </row>
    <row r="32" spans="1:3" ht="14.25">
      <c r="A32" s="3202"/>
      <c r="B32" s="3206"/>
      <c r="C32" s="1176" t="s">
        <v>1647</v>
      </c>
    </row>
    <row r="33" spans="1:3" ht="14.25">
      <c r="A33" s="3202"/>
      <c r="B33" s="3196" t="s">
        <v>1653</v>
      </c>
      <c r="C33" s="1176" t="s">
        <v>1648</v>
      </c>
    </row>
    <row r="34" spans="1:3" ht="14.25">
      <c r="A34" s="3202"/>
      <c r="B34" s="3197"/>
      <c r="C34" s="1181" t="s">
        <v>1649</v>
      </c>
    </row>
    <row r="35" spans="1:3" ht="14.25">
      <c r="A35" s="3202"/>
      <c r="B35" s="3197"/>
      <c r="C35" s="1182" t="s">
        <v>1650</v>
      </c>
    </row>
    <row r="36" spans="1:3" ht="14.25">
      <c r="A36" s="3202"/>
      <c r="B36" s="3197"/>
      <c r="C36" s="1182" t="s">
        <v>1651</v>
      </c>
    </row>
    <row r="37" spans="1:3" ht="14.25">
      <c r="A37" s="3202"/>
      <c r="B37" s="319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43528</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7" t="s">
        <v>1927</v>
      </c>
      <c r="B25" s="3207"/>
      <c r="C25" s="3207"/>
      <c r="D25" s="3207"/>
      <c r="E25" s="3207"/>
      <c r="F25" s="3207"/>
      <c r="G25" s="3207"/>
    </row>
    <row r="26" spans="1:7" ht="20.25" customHeight="1">
      <c r="A26" s="3208" t="s">
        <v>1928</v>
      </c>
      <c r="B26" s="3208"/>
      <c r="C26" s="3208"/>
      <c r="D26" s="3208" t="s">
        <v>1929</v>
      </c>
      <c r="E26" s="3208"/>
      <c r="F26" s="3208"/>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9"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8"/>
      <c r="E53" s="1768"/>
    </row>
    <row r="54" spans="1:5">
      <c r="A54" s="3209"/>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9"/>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9"/>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9"/>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剩余法-待开发</vt:lpstr>
      <vt:lpstr>基准地价</vt:lpstr>
      <vt:lpstr>修正</vt:lpstr>
      <vt:lpstr>区片价</vt:lpstr>
      <vt:lpstr>容积率修正</vt:lpstr>
      <vt:lpstr>因素修正幅度</vt:lpstr>
      <vt:lpstr>基准地价（汇总）</vt:lpstr>
      <vt:lpstr>收益还原法</vt:lpstr>
      <vt:lpstr>地价</vt:lpstr>
      <vt:lpstr>不动产收益法</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2019-03-04T07:55:07Z</dcterms:modified>
</cp:coreProperties>
</file>