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75" windowWidth="14805" windowHeight="1317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44" hidden="1">Sheet1!$A$1:$Q$1</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1">'土地比较法-工业'!$A$1:$K$61,'土地比较法-工业'!$A$64:$M$121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66" i="40" l="1"/>
  <c r="F66" i="40" s="1"/>
  <c r="G66" i="40" s="1"/>
  <c r="H66" i="40" s="1"/>
  <c r="I66" i="40" s="1"/>
  <c r="J66" i="40" s="1"/>
  <c r="K66" i="40" s="1"/>
  <c r="L66" i="40" s="1"/>
  <c r="M66" i="40" s="1"/>
  <c r="D66" i="40"/>
  <c r="I41" i="40"/>
  <c r="G41" i="40"/>
  <c r="E41" i="40"/>
  <c r="I34" i="40"/>
  <c r="G34" i="40"/>
  <c r="E34" i="40"/>
  <c r="C34" i="40"/>
  <c r="C11" i="40"/>
  <c r="I7" i="40"/>
  <c r="G7" i="40"/>
  <c r="E7" i="40"/>
  <c r="I5" i="40"/>
  <c r="G5" i="40"/>
  <c r="E5" i="40"/>
  <c r="AH6" i="1" l="1"/>
  <c r="Y6" i="1"/>
  <c r="N6" i="1"/>
  <c r="F19" i="6"/>
  <c r="B3" i="4"/>
  <c r="V6" i="71" l="1"/>
  <c r="U6" i="71"/>
  <c r="T6" i="71"/>
  <c r="S6" i="71"/>
  <c r="E20" i="43" l="1"/>
  <c r="AH5" i="71" l="1"/>
  <c r="AG5" i="71"/>
  <c r="AE5" i="71"/>
  <c r="AF5" i="71" s="1"/>
  <c r="AD5" i="71"/>
  <c r="Q5" i="71"/>
  <c r="P5" i="71"/>
  <c r="O5" i="71"/>
  <c r="N5" i="71"/>
  <c r="AH6" i="71" l="1"/>
  <c r="AG6" i="71"/>
  <c r="AE6" i="71"/>
  <c r="AF6" i="71" s="1"/>
  <c r="AD6" i="71"/>
  <c r="Q6" i="71"/>
  <c r="P6" i="71"/>
  <c r="O6" i="71"/>
  <c r="N6" i="71"/>
  <c r="AH7" i="71" l="1"/>
  <c r="AG7" i="71"/>
  <c r="AE7" i="71"/>
  <c r="AF7" i="71" s="1"/>
  <c r="AD7" i="71"/>
  <c r="Q7" i="71"/>
  <c r="AB6" i="71" s="1"/>
  <c r="P7" i="71"/>
  <c r="AA6" i="71" s="1"/>
  <c r="O7" i="71"/>
  <c r="Y6" i="71" s="1"/>
  <c r="Z6" i="71" s="1"/>
  <c r="N7" i="71"/>
  <c r="X6" i="71" s="1"/>
  <c r="AB5" i="71" l="1"/>
  <c r="AA5" i="71"/>
  <c r="Y5" i="71"/>
  <c r="Z5" i="71" s="1"/>
  <c r="X5" i="7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8" i="71" l="1"/>
  <c r="AG8" i="71"/>
  <c r="AE8" i="71"/>
  <c r="AF8" i="71" s="1"/>
  <c r="AD8" i="71"/>
  <c r="Q8" i="71"/>
  <c r="AB7" i="71" s="1"/>
  <c r="P8" i="71"/>
  <c r="AA7" i="71" s="1"/>
  <c r="O8" i="71"/>
  <c r="Y7" i="71" s="1"/>
  <c r="Z7" i="71" s="1"/>
  <c r="N8" i="71"/>
  <c r="X7" i="71" s="1"/>
  <c r="V10" i="71" l="1"/>
  <c r="U10" i="71"/>
  <c r="T10" i="71"/>
  <c r="S10" i="71"/>
  <c r="AH9" i="71" l="1"/>
  <c r="AG9" i="71"/>
  <c r="AE9" i="71"/>
  <c r="AF9" i="71" s="1"/>
  <c r="AD9" i="71"/>
  <c r="Q9" i="71"/>
  <c r="AB8" i="71" s="1"/>
  <c r="P9" i="71"/>
  <c r="AA8" i="71" s="1"/>
  <c r="O9" i="71"/>
  <c r="Y8" i="71" s="1"/>
  <c r="Z8" i="71" s="1"/>
  <c r="N9" i="71"/>
  <c r="X8" i="71" s="1"/>
  <c r="AB12" i="71" l="1"/>
  <c r="Q11" i="71"/>
  <c r="AB11" i="71"/>
  <c r="P11" i="71"/>
  <c r="AA11" i="71"/>
  <c r="O11" i="71"/>
  <c r="Y11" i="71"/>
  <c r="Z11" i="71" s="1"/>
  <c r="N11" i="71"/>
  <c r="X11" i="71"/>
  <c r="AH10" i="71"/>
  <c r="AG10" i="71"/>
  <c r="AE10" i="71"/>
  <c r="AF10" i="71"/>
  <c r="AD10" i="71"/>
  <c r="Q10" i="71"/>
  <c r="AB9" i="71" s="1"/>
  <c r="P10" i="71"/>
  <c r="AA9" i="71" s="1"/>
  <c r="O10" i="71"/>
  <c r="N10" i="71"/>
  <c r="X9" i="71" s="1"/>
  <c r="F11" i="71"/>
  <c r="E11" i="71"/>
  <c r="E10" i="71"/>
  <c r="E9" i="71" s="1"/>
  <c r="E8" i="71" s="1"/>
  <c r="E7" i="71" s="1"/>
  <c r="E6" i="71" s="1"/>
  <c r="E5" i="71" s="1"/>
  <c r="C11" i="71"/>
  <c r="C10" i="71"/>
  <c r="C9" i="71" s="1"/>
  <c r="B11" i="71"/>
  <c r="AH11" i="71"/>
  <c r="AG11" i="71"/>
  <c r="AE11" i="71"/>
  <c r="AF11" i="71"/>
  <c r="AD11" i="71"/>
  <c r="Q12" i="71"/>
  <c r="Q13" i="71"/>
  <c r="P12" i="71"/>
  <c r="P13" i="71"/>
  <c r="O12" i="71"/>
  <c r="O13" i="71"/>
  <c r="N12" i="71"/>
  <c r="N13" i="71"/>
  <c r="F13" i="71"/>
  <c r="F12" i="71"/>
  <c r="E13" i="71"/>
  <c r="E12" i="71"/>
  <c r="C13" i="71"/>
  <c r="C12" i="71"/>
  <c r="D11" i="71"/>
  <c r="B13" i="71"/>
  <c r="B12"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A12" i="71"/>
  <c r="Y12" i="71"/>
  <c r="X12" i="71"/>
  <c r="AD14" i="71"/>
  <c r="AH14" i="71"/>
  <c r="AG14" i="71"/>
  <c r="AE14" i="71"/>
  <c r="AF14" i="71"/>
  <c r="Q14" i="71"/>
  <c r="P14" i="71"/>
  <c r="O14" i="71"/>
  <c r="N14" i="71"/>
  <c r="L3" i="71"/>
  <c r="AH3" i="71" s="1"/>
  <c r="K3" i="71"/>
  <c r="AG3" i="71" s="1"/>
  <c r="J3" i="71"/>
  <c r="AE3" i="71" s="1"/>
  <c r="I3" i="71"/>
  <c r="AH15" i="71"/>
  <c r="AG15" i="71"/>
  <c r="AE15" i="71"/>
  <c r="AF15" i="71"/>
  <c r="AD15" i="71"/>
  <c r="Q15" i="71"/>
  <c r="Q16" i="71"/>
  <c r="P15" i="71"/>
  <c r="P16" i="71"/>
  <c r="AA15" i="71"/>
  <c r="O15" i="71"/>
  <c r="O16" i="71"/>
  <c r="N15" i="71"/>
  <c r="N16" i="71"/>
  <c r="X15" i="71"/>
  <c r="N17" i="71"/>
  <c r="AH16" i="71"/>
  <c r="AG16" i="71"/>
  <c r="AE16" i="71"/>
  <c r="AF16" i="71"/>
  <c r="AD16" i="71"/>
  <c r="Q17" i="71"/>
  <c r="AB15" i="71"/>
  <c r="P17" i="71"/>
  <c r="AA16" i="71"/>
  <c r="O17" i="71"/>
  <c r="Y15" i="71"/>
  <c r="Z15" i="71"/>
  <c r="M19" i="43"/>
  <c r="D19" i="71"/>
  <c r="AH17" i="71"/>
  <c r="AG17" i="71"/>
  <c r="AE17" i="71"/>
  <c r="AF17" i="71"/>
  <c r="AD17" i="71"/>
  <c r="AD18" i="71"/>
  <c r="AG18" i="71"/>
  <c r="AH18" i="71"/>
  <c r="AE18" i="71"/>
  <c r="AF18" i="71"/>
  <c r="N18" i="71"/>
  <c r="X16" i="71"/>
  <c r="Q18" i="71"/>
  <c r="AB17" i="71"/>
  <c r="P18" i="71"/>
  <c r="AA17" i="71"/>
  <c r="O18" i="71"/>
  <c r="Y16" i="71"/>
  <c r="Z16" i="71"/>
  <c r="Y17" i="71"/>
  <c r="Z17" i="71"/>
  <c r="C18" i="71"/>
  <c r="C17" i="71"/>
  <c r="Q19" i="71"/>
  <c r="F18" i="71"/>
  <c r="F17" i="71"/>
  <c r="F16" i="71"/>
  <c r="P19" i="71"/>
  <c r="E18" i="71"/>
  <c r="E17" i="71"/>
  <c r="E16" i="71"/>
  <c r="O19" i="71"/>
  <c r="N19" i="71"/>
  <c r="B18" i="71"/>
  <c r="B17" i="71"/>
  <c r="B16" i="71"/>
  <c r="B15" i="71"/>
  <c r="B14" i="71"/>
  <c r="V18" i="71"/>
  <c r="AB18" i="71"/>
  <c r="Y18" i="71"/>
  <c r="Z18" i="71"/>
  <c r="X18" i="71"/>
  <c r="AA18"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B60" i="72" s="1"/>
  <c r="A13" i="62"/>
  <c r="B59" i="72" s="1"/>
  <c r="A19" i="62"/>
  <c r="A12" i="62"/>
  <c r="B58" i="72" s="1"/>
  <c r="A120" i="9"/>
  <c r="H2" i="52"/>
  <c r="A1" i="52"/>
  <c r="A3" i="53"/>
  <c r="Q20" i="71"/>
  <c r="P20" i="71"/>
  <c r="O20" i="71"/>
  <c r="N20"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7" i="72"/>
  <c r="B66" i="72"/>
  <c r="B10" i="72"/>
  <c r="C53" i="10"/>
  <c r="B51" i="10"/>
  <c r="B19" i="72"/>
  <c r="A18" i="51"/>
  <c r="B13" i="72" s="1"/>
  <c r="C8" i="68"/>
  <c r="B49" i="48"/>
  <c r="B5" i="72"/>
  <c r="I19" i="43"/>
  <c r="D83" i="71"/>
  <c r="F82" i="71"/>
  <c r="E82" i="71"/>
  <c r="E81" i="71"/>
  <c r="E80" i="71"/>
  <c r="C82" i="71"/>
  <c r="D82" i="71"/>
  <c r="B82" i="71"/>
  <c r="F81" i="71"/>
  <c r="F80" i="71"/>
  <c r="B81" i="71"/>
  <c r="B80" i="71"/>
  <c r="D79" i="71"/>
  <c r="F78" i="71"/>
  <c r="E78" i="71"/>
  <c r="E77" i="71"/>
  <c r="E76" i="71"/>
  <c r="C78" i="71"/>
  <c r="D78" i="71"/>
  <c r="B78" i="71"/>
  <c r="F77" i="71"/>
  <c r="F76" i="71"/>
  <c r="B77" i="71"/>
  <c r="B76" i="71"/>
  <c r="D75" i="71"/>
  <c r="Q74" i="71"/>
  <c r="P74" i="71"/>
  <c r="O74" i="71"/>
  <c r="N74" i="71"/>
  <c r="F74" i="71"/>
  <c r="V74" i="71"/>
  <c r="E74" i="71"/>
  <c r="U74" i="71"/>
  <c r="C74" i="71"/>
  <c r="T74" i="71"/>
  <c r="B74" i="71"/>
  <c r="S74" i="71"/>
  <c r="Q73" i="71"/>
  <c r="P73" i="71"/>
  <c r="O73" i="71"/>
  <c r="N73" i="71"/>
  <c r="F73" i="71"/>
  <c r="F72" i="71"/>
  <c r="B73" i="71"/>
  <c r="B72" i="7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F62" i="71"/>
  <c r="V62" i="71"/>
  <c r="E62" i="71"/>
  <c r="P62" i="71"/>
  <c r="C62" i="71"/>
  <c r="B62" i="71"/>
  <c r="S62" i="71"/>
  <c r="F61" i="71"/>
  <c r="F60" i="71"/>
  <c r="Q60" i="71"/>
  <c r="B61" i="71"/>
  <c r="D59" i="71"/>
  <c r="Q58" i="71"/>
  <c r="P58" i="71"/>
  <c r="O58" i="71"/>
  <c r="N58" i="71"/>
  <c r="Q57" i="71"/>
  <c r="P57" i="71"/>
  <c r="O57" i="71"/>
  <c r="N57" i="71"/>
  <c r="Q56" i="71"/>
  <c r="P56" i="71"/>
  <c r="O56" i="71"/>
  <c r="N56" i="71"/>
  <c r="Q55" i="71"/>
  <c r="F56" i="71"/>
  <c r="F57" i="71"/>
  <c r="F58" i="71"/>
  <c r="V58" i="71"/>
  <c r="P55" i="71"/>
  <c r="E56" i="71"/>
  <c r="O55" i="71"/>
  <c r="C56" i="71"/>
  <c r="N55" i="71"/>
  <c r="B56" i="71"/>
  <c r="B57" i="71"/>
  <c r="B58" i="71"/>
  <c r="S58"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C48" i="71"/>
  <c r="Q47" i="71"/>
  <c r="F48" i="71"/>
  <c r="F49" i="71"/>
  <c r="F50" i="71"/>
  <c r="V50" i="71"/>
  <c r="P47" i="71"/>
  <c r="E48" i="71"/>
  <c r="O47" i="71"/>
  <c r="N47" i="71"/>
  <c r="B48" i="71"/>
  <c r="B49" i="71"/>
  <c r="B50" i="71"/>
  <c r="S50" i="71"/>
  <c r="D47" i="71"/>
  <c r="Q46" i="71"/>
  <c r="P46" i="71"/>
  <c r="O46" i="71"/>
  <c r="N46" i="71"/>
  <c r="Q45" i="71"/>
  <c r="P45" i="71"/>
  <c r="O45" i="71"/>
  <c r="N45" i="71"/>
  <c r="Q44" i="71"/>
  <c r="P44" i="71"/>
  <c r="O44" i="71"/>
  <c r="N44" i="71"/>
  <c r="Q43" i="71"/>
  <c r="F44" i="71"/>
  <c r="P43" i="71"/>
  <c r="E44" i="71"/>
  <c r="E45" i="71"/>
  <c r="E46" i="71"/>
  <c r="U46" i="71"/>
  <c r="O43" i="71"/>
  <c r="C44" i="71"/>
  <c r="N43" i="71"/>
  <c r="B44" i="71"/>
  <c r="B45" i="71"/>
  <c r="B46" i="71"/>
  <c r="S46" i="71"/>
  <c r="D43" i="71"/>
  <c r="T42" i="71"/>
  <c r="Q42" i="71"/>
  <c r="P42" i="71"/>
  <c r="O42" i="71"/>
  <c r="N42" i="71"/>
  <c r="D42" i="71"/>
  <c r="Q41" i="71"/>
  <c r="P41" i="71"/>
  <c r="O41" i="71"/>
  <c r="N41" i="71"/>
  <c r="Q40" i="71"/>
  <c r="P40" i="71"/>
  <c r="O40" i="71"/>
  <c r="N40" i="71"/>
  <c r="F40" i="71"/>
  <c r="F41" i="71"/>
  <c r="F42" i="71"/>
  <c r="V42" i="71"/>
  <c r="Q39" i="71"/>
  <c r="P39" i="71"/>
  <c r="E40" i="71"/>
  <c r="E41" i="71"/>
  <c r="E42" i="71"/>
  <c r="U42" i="71"/>
  <c r="O39" i="71"/>
  <c r="C40" i="71"/>
  <c r="N39" i="71"/>
  <c r="B40" i="71"/>
  <c r="B41" i="71"/>
  <c r="B42" i="71"/>
  <c r="S42" i="71"/>
  <c r="D39" i="71"/>
  <c r="Q38" i="71"/>
  <c r="P38" i="71"/>
  <c r="O38" i="71"/>
  <c r="N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AB33" i="71"/>
  <c r="Q33" i="71"/>
  <c r="P33" i="71"/>
  <c r="AA33" i="71"/>
  <c r="O33" i="71"/>
  <c r="Y33" i="71"/>
  <c r="Z33" i="71"/>
  <c r="N33" i="71"/>
  <c r="X33" i="71"/>
  <c r="Q32" i="71"/>
  <c r="AB32" i="71"/>
  <c r="P32" i="71"/>
  <c r="O32" i="71"/>
  <c r="Y32" i="71"/>
  <c r="Z32" i="71"/>
  <c r="N32" i="71"/>
  <c r="F32" i="71"/>
  <c r="F33" i="71"/>
  <c r="F34" i="71"/>
  <c r="V34" i="71"/>
  <c r="Q31" i="71"/>
  <c r="P31" i="71"/>
  <c r="O31" i="71"/>
  <c r="N31" i="71"/>
  <c r="D31" i="71"/>
  <c r="Q30" i="71"/>
  <c r="AB30" i="71"/>
  <c r="P30" i="71"/>
  <c r="O30" i="71"/>
  <c r="Y30" i="71"/>
  <c r="Z30" i="71"/>
  <c r="N30" i="71"/>
  <c r="Q29" i="71"/>
  <c r="AB29" i="71"/>
  <c r="P29" i="71"/>
  <c r="O29" i="71"/>
  <c r="Y29" i="71"/>
  <c r="Z29" i="71"/>
  <c r="N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O22" i="71"/>
  <c r="N22" i="71"/>
  <c r="B24" i="71"/>
  <c r="B25" i="71"/>
  <c r="B26" i="71"/>
  <c r="S26" i="71"/>
  <c r="X23" i="71"/>
  <c r="E24" i="71"/>
  <c r="E25" i="71"/>
  <c r="E26" i="71"/>
  <c r="U26" i="71"/>
  <c r="AA23" i="71"/>
  <c r="B28" i="71"/>
  <c r="B29" i="71"/>
  <c r="B30" i="71"/>
  <c r="S30" i="71"/>
  <c r="X27" i="71"/>
  <c r="B32" i="71"/>
  <c r="B33" i="71"/>
  <c r="B34" i="71"/>
  <c r="S34" i="71"/>
  <c r="X31" i="71"/>
  <c r="E32" i="71"/>
  <c r="E33" i="71"/>
  <c r="E34" i="71"/>
  <c r="U34" i="71"/>
  <c r="AA31" i="71"/>
  <c r="N62" i="71"/>
  <c r="E28" i="71"/>
  <c r="E29" i="71"/>
  <c r="E30" i="71"/>
  <c r="U30" i="71"/>
  <c r="AA27" i="71"/>
  <c r="C24" i="71"/>
  <c r="Y23" i="71"/>
  <c r="Z23" i="71"/>
  <c r="AB23" i="71"/>
  <c r="X24" i="71"/>
  <c r="AA24" i="71"/>
  <c r="X25" i="71"/>
  <c r="AA25" i="71"/>
  <c r="X26" i="71"/>
  <c r="AA26" i="71"/>
  <c r="C28" i="71"/>
  <c r="C29" i="71"/>
  <c r="Y27" i="71"/>
  <c r="Z27" i="71"/>
  <c r="AB27" i="71"/>
  <c r="X28" i="71"/>
  <c r="AA28" i="71"/>
  <c r="X29" i="71"/>
  <c r="AA29" i="71"/>
  <c r="X30" i="71"/>
  <c r="AA30" i="71"/>
  <c r="C32" i="71"/>
  <c r="Y31" i="71"/>
  <c r="Z31" i="71"/>
  <c r="AB31" i="71"/>
  <c r="X32" i="71"/>
  <c r="AA32" i="71"/>
  <c r="F45" i="71"/>
  <c r="F46" i="71"/>
  <c r="V46" i="71"/>
  <c r="C22" i="71"/>
  <c r="Y19" i="71"/>
  <c r="Z19" i="71"/>
  <c r="Y20" i="71"/>
  <c r="Z20" i="71"/>
  <c r="Y21" i="71"/>
  <c r="Z21" i="71"/>
  <c r="Y22" i="71"/>
  <c r="Z22" i="71"/>
  <c r="B22" i="71"/>
  <c r="B21" i="71"/>
  <c r="B20" i="71"/>
  <c r="X19" i="71"/>
  <c r="X20" i="71"/>
  <c r="X21" i="71"/>
  <c r="X22" i="71"/>
  <c r="C25" i="71"/>
  <c r="D24" i="71"/>
  <c r="D28" i="71"/>
  <c r="C33" i="71"/>
  <c r="D32" i="71"/>
  <c r="C37" i="71"/>
  <c r="D36" i="71"/>
  <c r="C41" i="71"/>
  <c r="D41" i="71"/>
  <c r="D40" i="71"/>
  <c r="C45" i="71"/>
  <c r="D44" i="71"/>
  <c r="P22" i="71"/>
  <c r="E49" i="71"/>
  <c r="E50" i="71"/>
  <c r="U50" i="71"/>
  <c r="E53" i="71"/>
  <c r="E54" i="71"/>
  <c r="U54" i="71"/>
  <c r="E57" i="71"/>
  <c r="E58" i="71"/>
  <c r="U58" i="71"/>
  <c r="Q59" i="71"/>
  <c r="U62" i="71"/>
  <c r="E61" i="71"/>
  <c r="Q22" i="71"/>
  <c r="C49" i="71"/>
  <c r="D48" i="71"/>
  <c r="C53" i="71"/>
  <c r="D52" i="71"/>
  <c r="C57" i="71"/>
  <c r="D56" i="71"/>
  <c r="N61" i="71"/>
  <c r="B60" i="71"/>
  <c r="Q61" i="71"/>
  <c r="T62" i="71"/>
  <c r="O62" i="71"/>
  <c r="D62" i="71"/>
  <c r="C61" i="71"/>
  <c r="Q62" i="71"/>
  <c r="C65" i="71"/>
  <c r="E65" i="71"/>
  <c r="E64" i="71"/>
  <c r="D66" i="71"/>
  <c r="C69" i="71"/>
  <c r="E69" i="71"/>
  <c r="E68" i="71"/>
  <c r="D70" i="71"/>
  <c r="C73" i="71"/>
  <c r="E73" i="71"/>
  <c r="E72" i="71"/>
  <c r="D74" i="71"/>
  <c r="C77" i="71"/>
  <c r="C81" i="71"/>
  <c r="T22" i="71"/>
  <c r="C21" i="71"/>
  <c r="S22" i="71"/>
  <c r="F22" i="71"/>
  <c r="F21" i="71"/>
  <c r="F20" i="71"/>
  <c r="AB19" i="71"/>
  <c r="AB20" i="71"/>
  <c r="AB21" i="71"/>
  <c r="AB22" i="71"/>
  <c r="E22" i="71"/>
  <c r="E21" i="71"/>
  <c r="E20" i="71"/>
  <c r="AA3" i="71"/>
  <c r="AA19" i="71"/>
  <c r="AA20" i="71"/>
  <c r="AA21" i="71"/>
  <c r="AA22" i="71"/>
  <c r="D22" i="71"/>
  <c r="U22" i="71"/>
  <c r="C60" i="71"/>
  <c r="O61" i="71"/>
  <c r="D61" i="71"/>
  <c r="C58" i="71"/>
  <c r="D57" i="71"/>
  <c r="D77" i="71"/>
  <c r="C76" i="71"/>
  <c r="D76" i="71"/>
  <c r="D69" i="71"/>
  <c r="C68" i="71"/>
  <c r="D68" i="71"/>
  <c r="N59" i="71"/>
  <c r="N60" i="71"/>
  <c r="D81" i="71"/>
  <c r="C80" i="71"/>
  <c r="D80" i="71"/>
  <c r="D73" i="71"/>
  <c r="C72" i="71"/>
  <c r="D72" i="71"/>
  <c r="D65" i="71"/>
  <c r="C64" i="71"/>
  <c r="D64" i="71"/>
  <c r="C54" i="71"/>
  <c r="D53" i="71"/>
  <c r="C50" i="71"/>
  <c r="D49" i="71"/>
  <c r="P61" i="71"/>
  <c r="E60" i="71"/>
  <c r="C46" i="71"/>
  <c r="D45" i="71"/>
  <c r="C38" i="71"/>
  <c r="D37" i="71"/>
  <c r="C34" i="71"/>
  <c r="D33" i="71"/>
  <c r="C30" i="71"/>
  <c r="D29" i="71"/>
  <c r="C26" i="71"/>
  <c r="D25" i="71"/>
  <c r="C20" i="71"/>
  <c r="D20" i="71"/>
  <c r="D21" i="71"/>
  <c r="V22" i="71"/>
  <c r="P59" i="71"/>
  <c r="P60" i="71"/>
  <c r="O60" i="71"/>
  <c r="D60" i="71"/>
  <c r="O59" i="71"/>
  <c r="T26" i="71"/>
  <c r="D26" i="71"/>
  <c r="T30" i="71"/>
  <c r="D30" i="71"/>
  <c r="T34" i="71"/>
  <c r="D34" i="71"/>
  <c r="T38" i="71"/>
  <c r="D38" i="71"/>
  <c r="T46" i="71"/>
  <c r="D46" i="71"/>
  <c r="T50" i="71"/>
  <c r="D50" i="71"/>
  <c r="T54" i="71"/>
  <c r="D54" i="71"/>
  <c r="T58" i="71"/>
  <c r="D5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c r="F23" i="67"/>
  <c r="D24" i="67" s="1"/>
  <c r="F21" i="67"/>
  <c r="F20" i="67"/>
  <c r="M19" i="67"/>
  <c r="F18" i="67"/>
  <c r="F17" i="67"/>
  <c r="F15" i="67"/>
  <c r="D22" i="67"/>
  <c r="S2" i="4"/>
  <c r="C51" i="10" s="1"/>
  <c r="A13" i="5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L5" i="3" s="1"/>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s="1"/>
  <c r="H34" i="40"/>
  <c r="AB34" i="40" s="1"/>
  <c r="F34" i="40"/>
  <c r="AA34" i="40" s="1"/>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c r="J11" i="39"/>
  <c r="W11" i="39"/>
  <c r="F11" i="39"/>
  <c r="AA11" i="39"/>
  <c r="A12" i="52"/>
  <c r="B56" i="72" s="1"/>
  <c r="S11" i="39"/>
  <c r="G4" i="4"/>
  <c r="I4" i="4"/>
  <c r="K5" i="4" s="1"/>
  <c r="B47" i="48" s="1"/>
  <c r="A2" i="9"/>
  <c r="F59" i="43"/>
  <c r="H62"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s="1"/>
  <c r="AZ380" i="3"/>
  <c r="AZ384" i="3"/>
  <c r="AZ388" i="3"/>
  <c r="AZ392" i="3"/>
  <c r="AZ396" i="3"/>
  <c r="AZ394" i="3"/>
  <c r="AZ499" i="3"/>
  <c r="AZ509" i="3"/>
  <c r="E8" i="6"/>
  <c r="F27" i="6" s="1"/>
  <c r="F31" i="6" s="1"/>
  <c r="G509" i="3"/>
  <c r="BL493" i="3"/>
  <c r="AZ491" i="3"/>
  <c r="AZ376" i="3"/>
  <c r="AZ390" i="3"/>
  <c r="AZ382" i="3"/>
  <c r="AZ493" i="3"/>
  <c r="U36" i="40"/>
  <c r="F36" i="43"/>
  <c r="F81" i="43"/>
  <c r="H83" i="43"/>
  <c r="H113" i="43"/>
  <c r="F48" i="43"/>
  <c r="H52" i="43"/>
  <c r="F70" i="43"/>
  <c r="H73" i="43"/>
  <c r="M11" i="43"/>
  <c r="D17" i="43"/>
  <c r="F39" i="43"/>
  <c r="I17" i="43"/>
  <c r="F35" i="43"/>
  <c r="J17" i="43"/>
  <c r="F6" i="1"/>
  <c r="G6" i="1"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E12" i="6"/>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BA13" i="3"/>
  <c r="E10" i="6"/>
  <c r="E11" i="6"/>
  <c r="E61" i="39" s="1"/>
  <c r="BL17" i="3"/>
  <c r="AZ17" i="3" s="1"/>
  <c r="BL13" i="3"/>
  <c r="AZ13" i="3" s="1"/>
  <c r="E65" i="39"/>
  <c r="J56" i="9"/>
  <c r="J57" i="9" s="1"/>
  <c r="J59" i="9" s="1"/>
  <c r="J61" i="9" s="1"/>
  <c r="A24" i="51"/>
  <c r="B18" i="72"/>
  <c r="U29" i="34"/>
  <c r="E14" i="6"/>
  <c r="E64" i="39" s="1"/>
  <c r="E5" i="6"/>
  <c r="D9" i="11" s="1"/>
  <c r="C9" i="11" s="1"/>
  <c r="E32" i="6"/>
  <c r="L19" i="6"/>
  <c r="G1" i="68"/>
  <c r="K1" i="12"/>
  <c r="F30" i="6"/>
  <c r="E57" i="40"/>
  <c r="E56" i="40"/>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c r="C7" i="39"/>
  <c r="C68" i="39"/>
  <c r="C7" i="35"/>
  <c r="C7" i="33"/>
  <c r="C58" i="33" s="1"/>
  <c r="C7" i="21"/>
  <c r="C58" i="21" s="1"/>
  <c r="C7" i="40"/>
  <c r="C63" i="40" s="1"/>
  <c r="M47" i="9"/>
  <c r="G19" i="43"/>
  <c r="O19" i="43" s="1"/>
  <c r="C19" i="43" s="1"/>
  <c r="T35" i="4"/>
  <c r="A19" i="51"/>
  <c r="B14" i="72"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62" i="39"/>
  <c r="E56" i="39"/>
  <c r="E51" i="40"/>
  <c r="B6" i="1"/>
  <c r="E6" i="1" s="1"/>
  <c r="S8"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M6" i="1"/>
  <c r="O6" i="1" s="1"/>
  <c r="P6" i="1" s="1"/>
  <c r="F30" i="11"/>
  <c r="C48" i="11" s="1"/>
  <c r="E63" i="39"/>
  <c r="T11" i="1"/>
  <c r="D9" i="69"/>
  <c r="C9" i="69" s="1"/>
  <c r="D19" i="12"/>
  <c r="C19" i="12" s="1"/>
  <c r="AQ9" i="1"/>
  <c r="AR11" i="1"/>
  <c r="T9" i="1"/>
  <c r="T13" i="1"/>
  <c r="E503" i="3"/>
  <c r="E535" i="3"/>
  <c r="E302" i="3"/>
  <c r="D9" i="68"/>
  <c r="C9" i="68" s="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Q16" i="1"/>
  <c r="F27" i="69" s="1"/>
  <c r="AB45" i="21"/>
  <c r="AC33" i="21"/>
  <c r="W33" i="21"/>
  <c r="S33" i="21"/>
  <c r="AA33" i="21"/>
  <c r="W32" i="21"/>
  <c r="AC32" i="21"/>
  <c r="AB9" i="21"/>
  <c r="U9" i="21"/>
  <c r="AA32" i="21"/>
  <c r="S32" i="21"/>
  <c r="W9" i="21"/>
  <c r="AC9" i="21"/>
  <c r="AB32" i="21"/>
  <c r="U32" i="21"/>
  <c r="AA10" i="21"/>
  <c r="S10" i="21"/>
  <c r="T7" i="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H6" i="3"/>
  <c r="AC11" i="37"/>
  <c r="W11" i="37"/>
  <c r="W11" i="34"/>
  <c r="AC11" i="34"/>
  <c r="R7" i="1"/>
  <c r="F34" i="11"/>
  <c r="C36" i="11" s="1"/>
  <c r="F11" i="12"/>
  <c r="C23" i="12" s="1"/>
  <c r="F34" i="68"/>
  <c r="R8" i="1"/>
  <c r="E2" i="70"/>
  <c r="AE7"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D70" i="39" s="1"/>
  <c r="E46" i="36"/>
  <c r="F46" i="36" s="1"/>
  <c r="G46" i="36" s="1"/>
  <c r="H46" i="36" s="1"/>
  <c r="I46" i="36" s="1"/>
  <c r="C24" i="12"/>
  <c r="C16" i="71"/>
  <c r="D16" i="71"/>
  <c r="D17" i="71"/>
  <c r="D18" i="71"/>
  <c r="U18" i="71"/>
  <c r="S18" i="71"/>
  <c r="T18" i="71"/>
  <c r="AB16" i="71"/>
  <c r="X14" i="71"/>
  <c r="X13" i="71"/>
  <c r="AA14" i="71"/>
  <c r="AA13" i="71"/>
  <c r="X17" i="71"/>
  <c r="Z12" i="71"/>
  <c r="Y13" i="71"/>
  <c r="Z13" i="71" s="1"/>
  <c r="AB14" i="71"/>
  <c r="AB13" i="71"/>
  <c r="S14" i="71"/>
  <c r="F15" i="71"/>
  <c r="F14" i="71"/>
  <c r="Y14" i="71"/>
  <c r="Z14" i="71" s="1"/>
  <c r="X3" i="71"/>
  <c r="C15" i="71"/>
  <c r="E15" i="71"/>
  <c r="E14" i="71"/>
  <c r="G20" i="43"/>
  <c r="G17" i="43"/>
  <c r="C16" i="43"/>
  <c r="D5" i="43"/>
  <c r="C5" i="43"/>
  <c r="E68" i="39"/>
  <c r="F68" i="39" s="1"/>
  <c r="V14" i="71"/>
  <c r="C14" i="71"/>
  <c r="D15" i="71"/>
  <c r="E41" i="43"/>
  <c r="C41" i="43"/>
  <c r="C20" i="43"/>
  <c r="I59" i="34"/>
  <c r="J59" i="34" s="1"/>
  <c r="D12" i="71"/>
  <c r="T14" i="71"/>
  <c r="D13" i="71"/>
  <c r="D14" i="71"/>
  <c r="U14" i="71"/>
  <c r="AO12" i="1"/>
  <c r="D3" i="73"/>
  <c r="D4" i="73"/>
  <c r="AO11" i="1"/>
  <c r="F3" i="73"/>
  <c r="M22" i="15"/>
  <c r="M9" i="15"/>
  <c r="F16" i="15"/>
  <c r="F38" i="67"/>
  <c r="D7" i="73"/>
  <c r="D2" i="33"/>
  <c r="F37" i="67"/>
  <c r="E11" i="76"/>
  <c r="D2" i="34"/>
  <c r="E7" i="76"/>
  <c r="M27" i="67"/>
  <c r="M9" i="67"/>
  <c r="B8" i="76"/>
  <c r="C76" i="67"/>
  <c r="M22" i="67"/>
  <c r="F42" i="67"/>
  <c r="F7" i="73"/>
  <c r="F8" i="15"/>
  <c r="AO9" i="1"/>
  <c r="M29" i="67"/>
  <c r="M24" i="15"/>
  <c r="F36" i="15"/>
  <c r="F13" i="67"/>
  <c r="E2" i="68"/>
  <c r="F9" i="67"/>
  <c r="F40" i="15"/>
  <c r="E8" i="76"/>
  <c r="F35" i="67"/>
  <c r="F6" i="73"/>
  <c r="F20" i="31"/>
  <c r="C14" i="15"/>
  <c r="B13" i="76"/>
  <c r="B9" i="76"/>
  <c r="J15" i="15"/>
  <c r="L47" i="67"/>
  <c r="E10" i="76"/>
  <c r="D2" i="35"/>
  <c r="F38" i="15"/>
  <c r="D2" i="37"/>
  <c r="F36" i="67"/>
  <c r="F43" i="15"/>
  <c r="M26" i="15"/>
  <c r="E13" i="76"/>
  <c r="F4" i="73"/>
  <c r="D2" i="21"/>
  <c r="AO13" i="1"/>
  <c r="F16" i="67"/>
  <c r="D34" i="9"/>
  <c r="B11" i="76"/>
  <c r="F37" i="15"/>
  <c r="F26" i="67"/>
  <c r="M21" i="67"/>
  <c r="D35" i="9"/>
  <c r="M8" i="67"/>
  <c r="M23" i="15"/>
  <c r="AO7" i="1"/>
  <c r="E2" i="69"/>
  <c r="E12" i="76"/>
  <c r="F40" i="67"/>
  <c r="M8" i="15"/>
  <c r="F5" i="73"/>
  <c r="F7" i="15"/>
  <c r="J15" i="67"/>
  <c r="M27" i="15"/>
  <c r="F8" i="67"/>
  <c r="M29" i="15"/>
  <c r="B7" i="76"/>
  <c r="F13" i="15"/>
  <c r="L48" i="15"/>
  <c r="AO8" i="1"/>
  <c r="F41" i="67"/>
  <c r="C76" i="15"/>
  <c r="F7" i="67"/>
  <c r="M23" i="67"/>
  <c r="M6" i="67"/>
  <c r="D5" i="73"/>
  <c r="D6" i="73"/>
  <c r="B10" i="76"/>
  <c r="M26" i="67"/>
  <c r="F26" i="15"/>
  <c r="F9" i="15"/>
  <c r="L48" i="67"/>
  <c r="B12" i="76"/>
  <c r="F6" i="15"/>
  <c r="F42" i="15"/>
  <c r="M24" i="67"/>
  <c r="F43" i="67"/>
  <c r="L47" i="15"/>
  <c r="M28" i="15"/>
  <c r="D2" i="36"/>
  <c r="M28" i="67"/>
  <c r="F6" i="67"/>
  <c r="M6" i="15"/>
  <c r="E9" i="76"/>
  <c r="AO10" i="1"/>
  <c r="C40" i="68" l="1"/>
  <c r="C21" i="68"/>
  <c r="C40" i="69"/>
  <c r="C36" i="69"/>
  <c r="AC11" i="40"/>
  <c r="C94" i="9"/>
  <c r="C92" i="9"/>
  <c r="F30" i="69"/>
  <c r="F48" i="69" s="1"/>
  <c r="M18" i="15"/>
  <c r="F52" i="9"/>
  <c r="C30" i="11"/>
  <c r="F54" i="9"/>
  <c r="F32" i="15"/>
  <c r="F60" i="15" s="1"/>
  <c r="F32" i="67"/>
  <c r="F60" i="67" s="1"/>
  <c r="F28" i="67"/>
  <c r="C28" i="67" s="1"/>
  <c r="C77" i="9"/>
  <c r="C74" i="9" s="1"/>
  <c r="C13" i="12"/>
  <c r="D68" i="9"/>
  <c r="F28" i="15"/>
  <c r="C28" i="15" s="1"/>
  <c r="M18" i="67"/>
  <c r="F31" i="12"/>
  <c r="C31" i="12" s="1"/>
  <c r="F30" i="68"/>
  <c r="F53" i="9"/>
  <c r="C21" i="69"/>
  <c r="F27" i="11"/>
  <c r="F28" i="12"/>
  <c r="O7" i="1"/>
  <c r="P7" i="1" s="1"/>
  <c r="AR7" i="1"/>
  <c r="H16" i="1"/>
  <c r="E16" i="6"/>
  <c r="E59" i="40"/>
  <c r="G30" i="6"/>
  <c r="G31" i="6" s="1"/>
  <c r="E28" i="6"/>
  <c r="O12" i="1"/>
  <c r="P12" i="1" s="1"/>
  <c r="E66" i="39"/>
  <c r="F27" i="68"/>
  <c r="C29" i="68" s="1"/>
  <c r="D27" i="68" s="1"/>
  <c r="AZ15" i="3"/>
  <c r="F22" i="43"/>
  <c r="K101" i="43"/>
  <c r="F101" i="43"/>
  <c r="N101" i="43"/>
  <c r="E22" i="43"/>
  <c r="C101" i="43"/>
  <c r="N104" i="46"/>
  <c r="L101" i="43"/>
  <c r="D101" i="43"/>
  <c r="M101" i="43"/>
  <c r="I101" i="43"/>
  <c r="E101" i="43"/>
  <c r="AH11" i="43"/>
  <c r="AH13" i="43" s="1"/>
  <c r="AD11" i="43"/>
  <c r="AD13" i="43" s="1"/>
  <c r="Z11" i="43"/>
  <c r="Z13" i="43" s="1"/>
  <c r="AG11" i="43"/>
  <c r="AG13" i="43" s="1"/>
  <c r="AC11" i="43"/>
  <c r="AC13" i="43" s="1"/>
  <c r="Y11" i="43"/>
  <c r="Y13" i="43" s="1"/>
  <c r="J22" i="43"/>
  <c r="B113" i="43"/>
  <c r="G101" i="43"/>
  <c r="J101" i="43"/>
  <c r="H22" i="43"/>
  <c r="H101" i="43"/>
  <c r="G22" i="43"/>
  <c r="AJ11" i="43"/>
  <c r="AJ13" i="43" s="1"/>
  <c r="AF11" i="43"/>
  <c r="AF13" i="43" s="1"/>
  <c r="AB11" i="43"/>
  <c r="AB13" i="43" s="1"/>
  <c r="Z7" i="43"/>
  <c r="AI11" i="43"/>
  <c r="AI13" i="43" s="1"/>
  <c r="AE11" i="43"/>
  <c r="AE13" i="43" s="1"/>
  <c r="AA11" i="43"/>
  <c r="AA13" i="43" s="1"/>
  <c r="O11" i="1"/>
  <c r="P11" i="1" s="1"/>
  <c r="O9" i="1"/>
  <c r="P9" i="1" s="1"/>
  <c r="O8" i="1"/>
  <c r="P8" i="1" s="1"/>
  <c r="E69" i="3"/>
  <c r="E237" i="3"/>
  <c r="E114" i="3"/>
  <c r="E261" i="3"/>
  <c r="E278" i="3"/>
  <c r="E304" i="3"/>
  <c r="E415" i="3"/>
  <c r="E528" i="3"/>
  <c r="E563" i="3"/>
  <c r="E565" i="3"/>
  <c r="E395" i="3"/>
  <c r="E183" i="3"/>
  <c r="E172" i="3"/>
  <c r="E213" i="3"/>
  <c r="E260" i="3"/>
  <c r="E361" i="3"/>
  <c r="E445" i="3"/>
  <c r="E17" i="3"/>
  <c r="E550" i="3"/>
  <c r="E53" i="3"/>
  <c r="E125" i="3"/>
  <c r="E175" i="3"/>
  <c r="E217" i="3"/>
  <c r="E319" i="3"/>
  <c r="E366" i="3"/>
  <c r="E530" i="3"/>
  <c r="E526" i="3"/>
  <c r="E501" i="3"/>
  <c r="E553" i="3"/>
  <c r="E343" i="3"/>
  <c r="E268" i="3"/>
  <c r="E153" i="3"/>
  <c r="E282" i="3"/>
  <c r="E305" i="3"/>
  <c r="E322" i="3"/>
  <c r="E426" i="3"/>
  <c r="N6" i="3"/>
  <c r="E508" i="3"/>
  <c r="AJ6" i="3"/>
  <c r="AC6" i="3" s="1"/>
  <c r="E6" i="3" s="1"/>
  <c r="E328" i="3"/>
  <c r="AZ18" i="3"/>
  <c r="AZ5" i="3" s="1"/>
  <c r="BA5" i="3"/>
  <c r="E27" i="6" s="1"/>
  <c r="D12" i="52"/>
  <c r="D127" i="9"/>
  <c r="D13" i="52" s="1"/>
  <c r="T14" i="43"/>
  <c r="V14" i="43" s="1"/>
  <c r="E70" i="39"/>
  <c r="F70" i="39"/>
  <c r="G68" i="39"/>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C29" i="12"/>
  <c r="D28" i="12" s="1"/>
  <c r="F31" i="67"/>
  <c r="F31" i="15"/>
  <c r="K4" i="4"/>
  <c r="B46" i="48" s="1"/>
  <c r="B4" i="72" s="1"/>
  <c r="B4" i="62"/>
  <c r="B71" i="72" s="1"/>
  <c r="C47" i="69"/>
  <c r="D45" i="69" s="1"/>
  <c r="F45" i="69"/>
  <c r="D9" i="53"/>
  <c r="B25" i="72" s="1"/>
  <c r="B24" i="72"/>
  <c r="K120" i="9"/>
  <c r="A18" i="62" s="1"/>
  <c r="B64" i="72" s="1"/>
  <c r="D9" i="71"/>
  <c r="C8" i="71"/>
  <c r="T11" i="43"/>
  <c r="V11" i="43" s="1"/>
  <c r="T12" i="43"/>
  <c r="V12" i="43" s="1"/>
  <c r="Y10" i="71"/>
  <c r="Z10" i="71" s="1"/>
  <c r="Y9" i="71"/>
  <c r="AA10" i="71"/>
  <c r="AB3" i="71"/>
  <c r="C35" i="43"/>
  <c r="E35" i="43" s="1"/>
  <c r="C36" i="43"/>
  <c r="E36" i="43" s="1"/>
  <c r="T9" i="43"/>
  <c r="V9" i="43" s="1"/>
  <c r="C39" i="43"/>
  <c r="C29" i="69"/>
  <c r="D27" i="69" s="1"/>
  <c r="C37" i="43"/>
  <c r="E37" i="43" s="1"/>
  <c r="B10" i="71"/>
  <c r="B9" i="71" s="1"/>
  <c r="B8" i="71" s="1"/>
  <c r="B7" i="71" s="1"/>
  <c r="B6" i="71" s="1"/>
  <c r="B5" i="71" s="1"/>
  <c r="X10" i="71"/>
  <c r="AB10" i="71"/>
  <c r="T15" i="43"/>
  <c r="V15" i="43" s="1"/>
  <c r="Z9" i="71"/>
  <c r="Y3" i="71"/>
  <c r="Z3" i="71" s="1"/>
  <c r="D10" i="71"/>
  <c r="F10" i="71"/>
  <c r="F9" i="71" s="1"/>
  <c r="F8" i="71" s="1"/>
  <c r="F7" i="71" s="1"/>
  <c r="F6" i="71" s="1"/>
  <c r="F5" i="71" s="1"/>
  <c r="AF3" i="71"/>
  <c r="P22" i="43" s="1"/>
  <c r="C34" i="43"/>
  <c r="T10" i="43"/>
  <c r="V10" i="43" s="1"/>
  <c r="C33" i="43"/>
  <c r="T16" i="43"/>
  <c r="V16" i="43" s="1"/>
  <c r="T13" i="43"/>
  <c r="V13" i="43" s="1"/>
  <c r="T8" i="43"/>
  <c r="V8" i="43" s="1"/>
  <c r="C38" i="43"/>
  <c r="C36" i="68"/>
  <c r="C6" i="67"/>
  <c r="C15" i="15"/>
  <c r="C18" i="15"/>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7" i="67"/>
  <c r="C16" i="15"/>
  <c r="C16" i="67"/>
  <c r="G1" i="73"/>
  <c r="C17" i="15"/>
  <c r="C14" i="67"/>
  <c r="G36" i="43" l="1"/>
  <c r="I36" i="43" s="1"/>
  <c r="C48" i="69"/>
  <c r="C30" i="69"/>
  <c r="C47" i="68"/>
  <c r="D45" i="68" s="1"/>
  <c r="F45" i="68"/>
  <c r="F48" i="68"/>
  <c r="C30" i="68"/>
  <c r="C48" i="68"/>
  <c r="C47" i="11"/>
  <c r="D45" i="11" s="1"/>
  <c r="C29" i="11"/>
  <c r="D27" i="11" s="1"/>
  <c r="D22" i="43"/>
  <c r="E30" i="6"/>
  <c r="K14" i="1"/>
  <c r="G105" i="43"/>
  <c r="G102" i="43"/>
  <c r="G107" i="43"/>
  <c r="G104" i="43"/>
  <c r="G103" i="43"/>
  <c r="G106" i="43"/>
  <c r="G109" i="43"/>
  <c r="E102" i="43"/>
  <c r="E106" i="43"/>
  <c r="E103" i="43"/>
  <c r="E104" i="43"/>
  <c r="E107" i="43"/>
  <c r="E105" i="43"/>
  <c r="E109" i="43"/>
  <c r="M102" i="43"/>
  <c r="M106" i="43"/>
  <c r="M103" i="43"/>
  <c r="M109" i="43"/>
  <c r="M104" i="43"/>
  <c r="M107" i="43"/>
  <c r="M105" i="43"/>
  <c r="L109" i="43"/>
  <c r="L106" i="43"/>
  <c r="L107" i="43"/>
  <c r="L103" i="43"/>
  <c r="L102" i="43"/>
  <c r="L105" i="43"/>
  <c r="L104" i="43"/>
  <c r="C104" i="43"/>
  <c r="C107" i="43"/>
  <c r="C103" i="43"/>
  <c r="C102" i="43"/>
  <c r="C106" i="43"/>
  <c r="C105" i="43"/>
  <c r="C109" i="43"/>
  <c r="N105" i="43"/>
  <c r="N107" i="43"/>
  <c r="N109" i="43"/>
  <c r="N102" i="43"/>
  <c r="N103" i="43"/>
  <c r="N106" i="43"/>
  <c r="N104" i="43"/>
  <c r="K102" i="43"/>
  <c r="K106" i="43"/>
  <c r="K109" i="43"/>
  <c r="K103" i="43"/>
  <c r="K107" i="43"/>
  <c r="K104" i="43"/>
  <c r="K105" i="43"/>
  <c r="H102" i="43"/>
  <c r="H103" i="43"/>
  <c r="H104" i="43"/>
  <c r="H109" i="43"/>
  <c r="H107" i="43"/>
  <c r="H106" i="43"/>
  <c r="H105" i="43"/>
  <c r="J104" i="43"/>
  <c r="J105" i="43"/>
  <c r="J107" i="43"/>
  <c r="J102" i="43"/>
  <c r="J106" i="43"/>
  <c r="J109" i="43"/>
  <c r="J103" i="43"/>
  <c r="B115" i="43"/>
  <c r="D117" i="43"/>
  <c r="E117" i="43" s="1"/>
  <c r="F117" i="43" s="1"/>
  <c r="G117" i="43" s="1"/>
  <c r="H117" i="43" s="1"/>
  <c r="D118" i="43"/>
  <c r="E118" i="43" s="1"/>
  <c r="F118" i="43" s="1"/>
  <c r="G118" i="43"/>
  <c r="H118" i="43" s="1"/>
  <c r="B118" i="43"/>
  <c r="C118" i="43" s="1"/>
  <c r="I116" i="43"/>
  <c r="J116" i="43" s="1"/>
  <c r="K116" i="43" s="1"/>
  <c r="L116" i="43" s="1"/>
  <c r="M116" i="43" s="1"/>
  <c r="I115" i="43"/>
  <c r="J115" i="43" s="1"/>
  <c r="K115" i="43" s="1"/>
  <c r="L115" i="43" s="1"/>
  <c r="M115"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I104" i="43"/>
  <c r="I107" i="43"/>
  <c r="I105" i="43"/>
  <c r="I109" i="43"/>
  <c r="I102" i="43"/>
  <c r="I106" i="43"/>
  <c r="I103" i="43"/>
  <c r="D105" i="43"/>
  <c r="D106" i="43"/>
  <c r="D102" i="43"/>
  <c r="D109" i="43"/>
  <c r="D103" i="43"/>
  <c r="D104" i="43"/>
  <c r="D107" i="43"/>
  <c r="F102" i="43"/>
  <c r="F103" i="43"/>
  <c r="F109" i="43"/>
  <c r="F104" i="43"/>
  <c r="F107" i="43"/>
  <c r="F106" i="43"/>
  <c r="F105" i="43"/>
  <c r="K20" i="6"/>
  <c r="M20" i="6" s="1"/>
  <c r="I20" i="6" s="1"/>
  <c r="S20" i="6" s="1"/>
  <c r="E31" i="6"/>
  <c r="K21" i="6"/>
  <c r="M21" i="6" s="1"/>
  <c r="I21" i="6" s="1"/>
  <c r="S21" i="6" s="1"/>
  <c r="K22" i="6"/>
  <c r="M22" i="6" s="1"/>
  <c r="I22" i="6" s="1"/>
  <c r="S22" i="6" s="1"/>
  <c r="K25" i="6"/>
  <c r="M25" i="6" s="1"/>
  <c r="I25" i="6" s="1"/>
  <c r="S25" i="6" s="1"/>
  <c r="K23" i="6"/>
  <c r="M23" i="6" s="1"/>
  <c r="I23" i="6" s="1"/>
  <c r="S23" i="6" s="1"/>
  <c r="K24" i="6"/>
  <c r="M24" i="6" s="1"/>
  <c r="I24" i="6" s="1"/>
  <c r="S24" i="6" s="1"/>
  <c r="K26" i="6"/>
  <c r="M26" i="6" s="1"/>
  <c r="I26" i="6" s="1"/>
  <c r="S26" i="6" s="1"/>
  <c r="K19" i="6"/>
  <c r="S6" i="1" s="1"/>
  <c r="AY6" i="3"/>
  <c r="E3" i="6"/>
  <c r="J10" i="40"/>
  <c r="AC10" i="40" s="1"/>
  <c r="H10" i="39"/>
  <c r="AB10" i="39" s="1"/>
  <c r="F10" i="40"/>
  <c r="S10" i="40" s="1"/>
  <c r="J10" i="39"/>
  <c r="W10" i="39" s="1"/>
  <c r="H10" i="40"/>
  <c r="AB10" i="40" s="1"/>
  <c r="F59" i="67"/>
  <c r="G35" i="43"/>
  <c r="I35" i="43" s="1"/>
  <c r="G70" i="39"/>
  <c r="H68" i="39"/>
  <c r="H7" i="37"/>
  <c r="AB7" i="37" s="1"/>
  <c r="T42" i="37" s="1"/>
  <c r="G42" i="37" s="1"/>
  <c r="B40" i="1"/>
  <c r="AC10" i="39"/>
  <c r="U10" i="40"/>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AA10" i="40"/>
  <c r="F7" i="33"/>
  <c r="E58" i="21"/>
  <c r="AC7" i="36"/>
  <c r="V36" i="36" s="1"/>
  <c r="I36" i="36" s="1"/>
  <c r="W7" i="36"/>
  <c r="F7" i="37"/>
  <c r="W7" i="34"/>
  <c r="AC7" i="34"/>
  <c r="V49" i="34" s="1"/>
  <c r="I49" i="34" s="1"/>
  <c r="G37" i="43"/>
  <c r="I37" i="43" s="1"/>
  <c r="D8" i="71"/>
  <c r="C7" i="71"/>
  <c r="M17" i="67"/>
  <c r="M17" i="15"/>
  <c r="F59" i="15"/>
  <c r="P24" i="43"/>
  <c r="B66" i="40" s="1"/>
  <c r="P21" i="43"/>
  <c r="C49" i="67"/>
  <c r="E39" i="43"/>
  <c r="G39" i="43"/>
  <c r="I39" i="43" s="1"/>
  <c r="P25" i="43"/>
  <c r="P23" i="43"/>
  <c r="B71" i="39" s="1"/>
  <c r="E38" i="43"/>
  <c r="G38" i="43"/>
  <c r="I38" i="43" s="1"/>
  <c r="G34" i="43"/>
  <c r="I34" i="43" s="1"/>
  <c r="E34" i="43"/>
  <c r="G33" i="43"/>
  <c r="I33" i="43" s="1"/>
  <c r="E33" i="43"/>
  <c r="C49" i="15"/>
  <c r="C15" i="67"/>
  <c r="C18" i="67"/>
  <c r="C1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F41" i="15" s="1"/>
  <c r="F69" i="15" l="1"/>
  <c r="AQ6" i="1"/>
  <c r="AR6" i="1"/>
  <c r="T6" i="1"/>
  <c r="S16" i="1"/>
  <c r="W10" i="40"/>
  <c r="M14" i="1"/>
  <c r="C34" i="69"/>
  <c r="K16" i="1"/>
  <c r="C115" i="43"/>
  <c r="D113" i="43" s="1"/>
  <c r="S3" i="43"/>
  <c r="T3" i="43" s="1"/>
  <c r="V3" i="43" s="1"/>
  <c r="S2" i="43"/>
  <c r="T2" i="43" s="1"/>
  <c r="V2" i="43" s="1"/>
  <c r="C26" i="43" s="1"/>
  <c r="S6" i="43"/>
  <c r="T6" i="43" s="1"/>
  <c r="V6" i="43" s="1"/>
  <c r="S7" i="43"/>
  <c r="T7" i="43" s="1"/>
  <c r="V7" i="43" s="1"/>
  <c r="S5" i="43"/>
  <c r="T5" i="43" s="1"/>
  <c r="V5" i="43" s="1"/>
  <c r="C23" i="43"/>
  <c r="C21" i="43" s="1"/>
  <c r="C29" i="43" s="1"/>
  <c r="S4" i="43"/>
  <c r="T4" i="43" s="1"/>
  <c r="V4" i="43" s="1"/>
  <c r="D3" i="21"/>
  <c r="D19" i="11"/>
  <c r="C19" i="11" s="1"/>
  <c r="C17" i="4"/>
  <c r="B4" i="52" s="1"/>
  <c r="B43" i="72" s="1"/>
  <c r="L18" i="9"/>
  <c r="D3" i="37"/>
  <c r="D3" i="34"/>
  <c r="E6" i="6"/>
  <c r="D14" i="12"/>
  <c r="D3" i="33"/>
  <c r="D37" i="11"/>
  <c r="C37" i="11" s="1"/>
  <c r="M18" i="9"/>
  <c r="B118" i="9" s="1"/>
  <c r="B14" i="74" s="1"/>
  <c r="B1" i="74" s="1"/>
  <c r="M19" i="6"/>
  <c r="K27"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308" i="3"/>
  <c r="AY483" i="3"/>
  <c r="AY467" i="3"/>
  <c r="AY480" i="3"/>
  <c r="AY464" i="3"/>
  <c r="AY449" i="3"/>
  <c r="AY454" i="3"/>
  <c r="AY438"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7" i="71"/>
  <c r="C6" i="71"/>
  <c r="C5" i="71" s="1"/>
  <c r="D5" i="71" s="1"/>
  <c r="C19" i="67"/>
  <c r="C20" i="67" s="1"/>
  <c r="C26" i="67" s="1"/>
  <c r="J26" i="67"/>
  <c r="J29" i="67" s="1"/>
  <c r="J24" i="67"/>
  <c r="J24" i="15"/>
  <c r="J26" i="15"/>
  <c r="J29" i="15" s="1"/>
  <c r="C53" i="67"/>
  <c r="C48" i="67" s="1"/>
  <c r="C10" i="67"/>
  <c r="C5" i="67" s="1"/>
  <c r="C53" i="15"/>
  <c r="C48" i="15" s="1"/>
  <c r="C10" i="15"/>
  <c r="C5" i="15" s="1"/>
  <c r="F25" i="12"/>
  <c r="F22" i="69"/>
  <c r="F41" i="69" s="1"/>
  <c r="F24" i="67"/>
  <c r="C24" i="67" s="1"/>
  <c r="F22" i="11"/>
  <c r="F22" i="68"/>
  <c r="F24" i="15"/>
  <c r="C24" i="15" s="1"/>
  <c r="C20" i="15"/>
  <c r="C26" i="15" s="1"/>
  <c r="C35" i="69" l="1"/>
  <c r="C38" i="69"/>
  <c r="O14" i="1"/>
  <c r="T16" i="1"/>
  <c r="M16" i="1"/>
  <c r="N16" i="1" s="1"/>
  <c r="C30" i="43"/>
  <c r="E30" i="43" s="1"/>
  <c r="C27" i="43" s="1"/>
  <c r="E29" i="43"/>
  <c r="D17" i="12"/>
  <c r="C17" i="12" s="1"/>
  <c r="C14" i="12"/>
  <c r="C20" i="11"/>
  <c r="C28" i="11" s="1"/>
  <c r="C27" i="11" s="1"/>
  <c r="M19" i="9"/>
  <c r="C118" i="9" s="1"/>
  <c r="C14" i="74" s="1"/>
  <c r="B2" i="74" s="1"/>
  <c r="D19" i="6"/>
  <c r="D26" i="6"/>
  <c r="C18" i="4"/>
  <c r="D8" i="6"/>
  <c r="D23" i="6"/>
  <c r="D14" i="6"/>
  <c r="D5" i="6"/>
  <c r="D12" i="6"/>
  <c r="D11" i="6"/>
  <c r="D13" i="6"/>
  <c r="D28" i="6"/>
  <c r="E61" i="40"/>
  <c r="H23" i="6"/>
  <c r="H26" i="6"/>
  <c r="H20" i="6"/>
  <c r="D25" i="6"/>
  <c r="D15" i="6"/>
  <c r="D22" i="6"/>
  <c r="D21" i="6"/>
  <c r="D24" i="6"/>
  <c r="D20" i="6"/>
  <c r="R20" i="6" s="1"/>
  <c r="D6" i="6"/>
  <c r="D9" i="6"/>
  <c r="D10" i="6"/>
  <c r="L19" i="9"/>
  <c r="D29" i="6"/>
  <c r="H25" i="6"/>
  <c r="H22" i="6"/>
  <c r="H21" i="6"/>
  <c r="H24" i="6"/>
  <c r="I19" i="6"/>
  <c r="M27" i="6"/>
  <c r="C8" i="74"/>
  <c r="C7" i="74"/>
  <c r="D10" i="68"/>
  <c r="D10" i="69"/>
  <c r="D10" i="11"/>
  <c r="C10" i="11" s="1"/>
  <c r="D20" i="12"/>
  <c r="C20" i="12" s="1"/>
  <c r="C18" i="12" s="1"/>
  <c r="I70" i="39"/>
  <c r="J68"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6" i="71"/>
  <c r="M20" i="43"/>
  <c r="F41" i="68"/>
  <c r="B2" i="43"/>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E6" i="76"/>
  <c r="B6" i="76"/>
  <c r="D30" i="6" l="1"/>
  <c r="C34" i="11"/>
  <c r="L16" i="1"/>
  <c r="C34" i="68"/>
  <c r="P14" i="1"/>
  <c r="P16" i="1" s="1"/>
  <c r="C11" i="12" s="1"/>
  <c r="O16" i="1"/>
  <c r="D16" i="6"/>
  <c r="F50" i="11"/>
  <c r="F50" i="69"/>
  <c r="F50" i="68"/>
  <c r="E2" i="76"/>
  <c r="C10" i="69"/>
  <c r="C8" i="69" s="1"/>
  <c r="C5" i="69" s="1"/>
  <c r="D19" i="69"/>
  <c r="R21" i="6"/>
  <c r="R26" i="6"/>
  <c r="D8" i="74"/>
  <c r="D7" i="74"/>
  <c r="C10" i="68"/>
  <c r="D19" i="68"/>
  <c r="S19" i="6"/>
  <c r="S27" i="6" s="1"/>
  <c r="I27" i="6"/>
  <c r="R24" i="6"/>
  <c r="R22" i="6"/>
  <c r="R25" i="6"/>
  <c r="H19" i="6"/>
  <c r="H27" i="6" s="1"/>
  <c r="R23" i="6"/>
  <c r="A7" i="51"/>
  <c r="B7" i="72" s="1"/>
  <c r="C4" i="52"/>
  <c r="B45" i="72" s="1"/>
  <c r="A10" i="51"/>
  <c r="B9" i="72" s="1"/>
  <c r="D27" i="6"/>
  <c r="D31" i="6" s="1"/>
  <c r="R19" i="6"/>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B3" i="76" l="1"/>
  <c r="R27" i="6"/>
  <c r="R6" i="1"/>
  <c r="C38" i="68"/>
  <c r="C35" i="68"/>
  <c r="C38" i="11"/>
  <c r="C35" i="11"/>
  <c r="C12" i="12"/>
  <c r="C15" i="12"/>
  <c r="I6" i="6"/>
  <c r="I5" i="6"/>
  <c r="C19" i="69"/>
  <c r="C24" i="69" s="1"/>
  <c r="D37" i="69"/>
  <c r="C37" i="69" s="1"/>
  <c r="C33" i="69" s="1"/>
  <c r="C19" i="68"/>
  <c r="D37" i="68"/>
  <c r="C37" i="68" s="1"/>
  <c r="C20" i="69"/>
  <c r="C23" i="69"/>
  <c r="K70" i="39"/>
  <c r="L68" i="39"/>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F35" i="15"/>
  <c r="M21" i="15"/>
  <c r="L51" i="67"/>
  <c r="J20" i="15" l="1"/>
  <c r="J17" i="15" s="1"/>
  <c r="J16" i="15" s="1"/>
  <c r="J25" i="15" s="1"/>
  <c r="F63" i="15"/>
  <c r="C62" i="15" s="1"/>
  <c r="C59" i="15" s="1"/>
  <c r="C58" i="15" s="1"/>
  <c r="C67" i="15" s="1"/>
  <c r="C68" i="15" s="1"/>
  <c r="C71" i="15" s="1"/>
  <c r="C34" i="15"/>
  <c r="C31" i="15" s="1"/>
  <c r="C30" i="15" s="1"/>
  <c r="C39" i="15" s="1"/>
  <c r="R16" i="1"/>
  <c r="C33" i="11"/>
  <c r="C39" i="11" s="1"/>
  <c r="C33" i="68"/>
  <c r="C42" i="68" s="1"/>
  <c r="C16" i="12"/>
  <c r="C21" i="12" s="1"/>
  <c r="C22" i="12" s="1"/>
  <c r="C30" i="12" s="1"/>
  <c r="C28" i="12" s="1"/>
  <c r="C28" i="69"/>
  <c r="C27" i="69" s="1"/>
  <c r="C25" i="69"/>
  <c r="C22" i="69" s="1"/>
  <c r="C24" i="68"/>
  <c r="C39" i="69"/>
  <c r="C43" i="69" s="1"/>
  <c r="C42" i="69"/>
  <c r="L70" i="39"/>
  <c r="M68" i="39"/>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L51" i="15"/>
  <c r="C39" i="68" l="1"/>
  <c r="C46" i="68" s="1"/>
  <c r="C45" i="68" s="1"/>
  <c r="C40" i="15"/>
  <c r="Q65" i="15" s="1"/>
  <c r="C80" i="15"/>
  <c r="C79" i="15" s="1"/>
  <c r="Q69" i="15"/>
  <c r="Q68" i="15" s="1"/>
  <c r="C41" i="69"/>
  <c r="C31" i="69"/>
  <c r="C42" i="11"/>
  <c r="C27" i="12"/>
  <c r="C25" i="12" s="1"/>
  <c r="C32" i="12" s="1"/>
  <c r="B2" i="12" s="1"/>
  <c r="B3" i="12" s="1"/>
  <c r="C46" i="11"/>
  <c r="C45" i="11" s="1"/>
  <c r="C43" i="11"/>
  <c r="C46" i="69"/>
  <c r="C45" i="69" s="1"/>
  <c r="M70" i="39"/>
  <c r="N68" i="39"/>
  <c r="W7" i="35"/>
  <c r="AC7" i="35"/>
  <c r="V38" i="35" s="1"/>
  <c r="I38" i="35" s="1"/>
  <c r="J65" i="40"/>
  <c r="K63" i="40"/>
  <c r="I52" i="21"/>
  <c r="J52" i="21" s="1"/>
  <c r="U7" i="35"/>
  <c r="AB7" i="35"/>
  <c r="T38" i="35" s="1"/>
  <c r="G38" i="35" s="1"/>
  <c r="R49" i="21"/>
  <c r="E48" i="21"/>
  <c r="G52" i="21"/>
  <c r="H52" i="21" s="1"/>
  <c r="G53" i="21"/>
  <c r="H53" i="21" s="1"/>
  <c r="F7" i="35"/>
  <c r="Q67" i="15"/>
  <c r="L57" i="15"/>
  <c r="L60" i="15" s="1"/>
  <c r="L46" i="15" s="1"/>
  <c r="Q67" i="67"/>
  <c r="L57" i="67"/>
  <c r="L60" i="67" s="1"/>
  <c r="C45" i="67"/>
  <c r="C46" i="67" s="1"/>
  <c r="C71" i="67"/>
  <c r="Q56" i="15"/>
  <c r="C43" i="67"/>
  <c r="D2" i="67"/>
  <c r="Q47" i="67"/>
  <c r="Q53" i="67" s="1"/>
  <c r="Q56" i="67"/>
  <c r="Q65" i="67"/>
  <c r="C83" i="67"/>
  <c r="C82" i="67" s="1"/>
  <c r="C43" i="68" l="1"/>
  <c r="C41" i="68" s="1"/>
  <c r="C49" i="68" s="1"/>
  <c r="C51" i="68" s="1"/>
  <c r="C83" i="15"/>
  <c r="C82" i="15" s="1"/>
  <c r="C43" i="15"/>
  <c r="C46" i="15"/>
  <c r="Q47" i="15"/>
  <c r="Q53" i="15" s="1"/>
  <c r="B2" i="15"/>
  <c r="C49" i="69"/>
  <c r="C51" i="69" s="1"/>
  <c r="C52" i="69" s="1"/>
  <c r="B2" i="69" s="1"/>
  <c r="C41" i="11"/>
  <c r="C49" i="11" s="1"/>
  <c r="C51" i="11" s="1"/>
  <c r="C52" i="11" s="1"/>
  <c r="B2" i="11" s="1"/>
  <c r="B3" i="11" s="1"/>
  <c r="B3" i="15"/>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AO6" i="1"/>
  <c r="D19" i="9"/>
  <c r="D20" i="9"/>
  <c r="D21" i="9" l="1"/>
  <c r="D102" i="9"/>
  <c r="B6" i="70"/>
  <c r="B2" i="70" s="1"/>
  <c r="B3" i="70" s="1"/>
  <c r="D103" i="9"/>
  <c r="B3" i="69"/>
  <c r="C57" i="69"/>
  <c r="C56" i="69" s="1"/>
  <c r="C56" i="11"/>
  <c r="C57" i="11" s="1"/>
  <c r="H7" i="39"/>
  <c r="J7" i="39"/>
  <c r="AA7" i="39"/>
  <c r="R47" i="39" s="1"/>
  <c r="S7" i="39"/>
  <c r="R39" i="35"/>
  <c r="E38" i="35"/>
  <c r="M63" i="40"/>
  <c r="L65" i="40"/>
  <c r="E47" i="39" l="1"/>
  <c r="R48" i="39"/>
  <c r="W7" i="39"/>
  <c r="AC7" i="39"/>
  <c r="V47" i="39" s="1"/>
  <c r="I47" i="39" s="1"/>
  <c r="U7" i="39"/>
  <c r="AB7" i="39"/>
  <c r="T47" i="39" s="1"/>
  <c r="G47" i="39" s="1"/>
  <c r="C39" i="35"/>
  <c r="B2" i="35" s="1"/>
  <c r="B3" i="35" s="1"/>
  <c r="C38" i="35"/>
  <c r="N63" i="40"/>
  <c r="M65" i="40"/>
  <c r="E43" i="35"/>
  <c r="F43" i="35" s="1"/>
  <c r="E42" i="35"/>
  <c r="F42" i="35" s="1"/>
  <c r="I43" i="35"/>
  <c r="J43" i="35" s="1"/>
  <c r="E52" i="39" l="1"/>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l="1"/>
  <c r="C6" i="68"/>
  <c r="C7" i="68" s="1"/>
  <c r="C5" i="68" s="1"/>
  <c r="C23" i="68" l="1"/>
  <c r="C20" i="68"/>
  <c r="C25" i="68" s="1"/>
  <c r="C28" i="68"/>
  <c r="C27" i="68" s="1"/>
  <c r="C22" i="68" l="1"/>
  <c r="C31" i="68" s="1"/>
  <c r="C52" i="68" s="1"/>
  <c r="C57" i="68" s="1"/>
  <c r="C56" i="68" s="1"/>
  <c r="B2" i="68" l="1"/>
  <c r="C19" i="9"/>
  <c r="D22" i="9" l="1"/>
  <c r="G19" i="9"/>
  <c r="G21" i="9" s="1"/>
  <c r="C102" i="9"/>
  <c r="C21" i="9"/>
  <c r="B3" i="68"/>
  <c r="C20" i="9"/>
  <c r="C103" i="9" l="1"/>
  <c r="G20" i="9"/>
  <c r="C32" i="9" s="1"/>
  <c r="C35" i="9" s="1"/>
  <c r="C34" i="9" s="1"/>
  <c r="I4" i="52"/>
  <c r="C105" i="9"/>
  <c r="C5" i="74"/>
  <c r="D5" i="74"/>
  <c r="N58" i="9"/>
  <c r="P57" i="9"/>
  <c r="H4" i="52"/>
  <c r="C104" i="9"/>
  <c r="D52" i="9"/>
  <c r="D53" i="9"/>
  <c r="D6" i="74"/>
  <c r="C6" i="74"/>
  <c r="E14" i="74"/>
  <c r="F14" i="74"/>
  <c r="D14" i="74"/>
  <c r="B5" i="74"/>
  <c r="B53" i="72"/>
  <c r="M48" i="9"/>
  <c r="B51" i="72"/>
  <c r="M64" i="9"/>
  <c r="F4" i="52"/>
  <c r="B20" i="72"/>
  <c r="B6" i="74"/>
  <c r="B49" i="72"/>
  <c r="L64" i="9"/>
  <c r="L66" i="9"/>
  <c r="M66" i="9"/>
  <c r="D5" i="53"/>
  <c r="D6" i="53"/>
  <c r="B22" i="72"/>
  <c r="E97" i="9"/>
  <c r="C81" i="9"/>
  <c r="E81" i="9"/>
  <c r="B32" i="72"/>
  <c r="D8" i="52"/>
  <c r="G14" i="74"/>
  <c r="L65" i="9"/>
  <c r="M65" i="9"/>
  <c r="B21" i="72"/>
  <c r="D56" i="9"/>
  <c r="M54" i="9"/>
  <c r="D14" i="53"/>
  <c r="D13" i="53"/>
  <c r="B30" i="72"/>
  <c r="D122" i="9"/>
  <c r="D123" i="9"/>
  <c r="D9" i="52"/>
  <c r="D59" i="9"/>
  <c r="M55" i="9"/>
  <c r="N57" i="9"/>
  <c r="C93" i="9"/>
  <c r="C86" i="9"/>
  <c r="F119" i="9"/>
  <c r="F5" i="52"/>
  <c r="E4" i="52"/>
  <c r="B48" i="72"/>
  <c r="C68" i="9"/>
  <c r="D54" i="9"/>
  <c r="L68" i="9"/>
  <c r="M68" i="9"/>
  <c r="L63" i="9"/>
  <c r="M63" i="9"/>
  <c r="M69" i="9"/>
  <c r="N69" i="9"/>
  <c r="B31" i="72"/>
  <c r="H119" i="9"/>
  <c r="H5" i="52"/>
  <c r="C72" i="9"/>
  <c r="C79" i="9"/>
  <c r="C80" i="9"/>
  <c r="E80" i="9"/>
  <c r="N60" i="9"/>
  <c r="N59" i="9"/>
  <c r="N61" i="9"/>
  <c r="D119" i="9"/>
  <c r="D5" i="52"/>
  <c r="D55" i="9"/>
  <c r="M53" i="9"/>
  <c r="M49" i="9"/>
  <c r="L67" i="9"/>
  <c r="M67" i="9"/>
  <c r="C78" i="9"/>
  <c r="C73" i="9"/>
  <c r="F118" i="9"/>
  <c r="G118" i="9"/>
  <c r="G4" i="52"/>
  <c r="B52" i="72"/>
  <c r="C96" i="9"/>
  <c r="E96" i="9"/>
  <c r="E118" i="9"/>
  <c r="D118" i="9"/>
  <c r="D4" i="52"/>
  <c r="B47" i="72"/>
  <c r="C97" i="9"/>
  <c r="D58" i="9"/>
  <c r="C67" i="9"/>
  <c r="H107" i="9"/>
  <c r="H108" i="9"/>
  <c r="D15" i="53"/>
  <c r="C85" i="9"/>
  <c r="C95" i="9"/>
  <c r="H101" i="9"/>
  <c r="D45" i="9"/>
  <c r="C64" i="9"/>
  <c r="C63" i="9"/>
  <c r="H118" i="9"/>
  <c r="I118" i="9"/>
  <c r="H102" i="9"/>
  <c r="D7" i="5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<sst xmlns="http://schemas.openxmlformats.org/spreadsheetml/2006/main" count="9334" uniqueCount="3578">
  <si>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</si>
  <si>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</si>
  <si>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</si>
  <si>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</si>
  <si>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</si>
  <si>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</si>
  <si>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</si>
  <si>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</si>
  <si>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</si>
  <si>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</si>
  <si>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</si>
  <si>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</si>
  <si>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</si>
  <si>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</si>
  <si>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</si>
  <si>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</si>
  <si>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</si>
  <si>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</si>
  <si>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</si>
  <si>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</si>
  <si>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</si>
  <si>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</si>
  <si>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</si>
  <si>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</si>
  <si>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</si>
  <si>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</si>
  <si>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</si>
  <si>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</si>
  <si>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</si>
  <si>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</si>
  <si>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</si>
  <si>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</si>
  <si>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</si>
  <si>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</si>
  <si>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</si>
  <si>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</si>
  <si>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</si>
  <si>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</si>
  <si>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</si>
  <si>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</si>
  <si>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</si>
  <si>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</si>
  <si>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</si>
  <si>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</si>
  <si>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</si>
  <si>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</si>
  <si>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</si>
  <si>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</si>
  <si>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</si>
  <si>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</si>
  <si>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</si>
  <si>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</si>
  <si>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</si>
  <si>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</si>
  <si>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</si>
  <si>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</si>
  <si>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</si>
  <si>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</si>
  <si>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</si>
  <si>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</si>
  <si>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</si>
  <si>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</si>
  <si>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</si>
  <si>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</si>
  <si>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</si>
  <si>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</si>
  <si>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</si>
  <si>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</si>
  <si>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</si>
  <si>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</si>
  <si>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</si>
  <si>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</si>
  <si>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</si>
  <si>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</si>
  <si>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</si>
  <si>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</si>
  <si>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</si>
  <si>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</si>
  <si>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</si>
  <si>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</si>
  <si>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</si>
  <si>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</si>
  <si>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</si>
  <si>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</si>
  <si>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</si>
  <si>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</si>
  <si>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</si>
  <si>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</si>
  <si>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</si>
  <si>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</si>
  <si>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</si>
  <si>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</si>
  <si>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</si>
  <si>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</si>
  <si>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</si>
  <si>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</si>
  <si>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</si>
  <si>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</si>
  <si>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</si>
  <si>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</si>
  <si>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</si>
  <si>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</si>
  <si>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</si>
  <si>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</si>
  <si>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</si>
  <si>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</si>
  <si>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</si>
  <si>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</si>
  <si>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</si>
  <si>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</si>
  <si>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</si>
  <si>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</si>
  <si>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</si>
  <si>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</si>
  <si>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</si>
  <si>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</si>
  <si>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</si>
  <si>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</si>
  <si>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</si>
  <si>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</si>
  <si>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</si>
  <si>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</si>
  <si>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</si>
  <si>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</si>
  <si>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</si>
  <si>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</si>
  <si>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</si>
  <si>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</si>
  <si>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</si>
  <si>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</si>
  <si>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</si>
  <si>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</si>
  <si>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</si>
  <si>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</si>
  <si>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</si>
  <si>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</si>
  <si>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</si>
  <si>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</si>
  <si>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</si>
  <si>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</si>
  <si>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</si>
  <si>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</si>
  <si>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</si>
  <si>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</si>
  <si>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</si>
  <si>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</si>
  <si>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</si>
  <si>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</si>
  <si>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</si>
  <si>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</si>
  <si>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</si>
  <si>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</si>
  <si>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</si>
  <si>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</si>
  <si>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</si>
  <si>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</si>
  <si>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</si>
  <si>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</si>
  <si>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</si>
  <si>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</si>
  <si>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</si>
  <si>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</si>
  <si>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</si>
  <si>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</si>
  <si>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</si>
  <si>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</si>
  <si>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</si>
  <si>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</si>
  <si>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</si>
  <si>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</si>
  <si>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</si>
  <si>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</si>
  <si>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</si>
  <si>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</si>
  <si>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</si>
  <si>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</si>
  <si>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</si>
  <si>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</si>
  <si>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</si>
  <si>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</si>
  <si>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</si>
  <si>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</si>
  <si>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</si>
  <si>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</si>
  <si>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</si>
  <si>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</si>
  <si>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</si>
  <si>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</si>
  <si>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</si>
  <si>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</si>
  <si>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</si>
  <si>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</si>
  <si>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</si>
  <si>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</si>
  <si>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</si>
  <si>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</si>
  <si>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</si>
  <si>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</si>
  <si>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</si>
  <si>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</si>
  <si>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</si>
  <si>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</si>
  <si>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</si>
  <si>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</si>
  <si>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</si>
  <si>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</si>
  <si>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</si>
  <si>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</si>
  <si>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</si>
  <si>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</si>
  <si>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</si>
  <si>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</si>
  <si>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</si>
  <si>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</si>
  <si>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</si>
  <si>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</si>
  <si>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</si>
  <si>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</si>
  <si>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</si>
  <si>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</si>
  <si>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</si>
  <si>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</si>
  <si>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</si>
  <si>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</si>
  <si>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</si>
  <si>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</si>
  <si>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</si>
  <si>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</si>
  <si>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</si>
  <si>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</si>
  <si>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</si>
  <si>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</si>
  <si>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</si>
  <si>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</si>
  <si>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</si>
  <si>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</si>
  <si>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</si>
  <si>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</si>
  <si>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</si>
  <si>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</si>
  <si>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</si>
  <si>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</si>
  <si>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</si>
  <si>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</si>
  <si>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</si>
  <si>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</si>
  <si>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</si>
  <si>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</si>
  <si>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</si>
  <si>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</si>
  <si>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</si>
  <si>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</si>
  <si>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</si>
  <si>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</si>
  <si>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</si>
  <si>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</si>
  <si>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</si>
  <si>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</si>
  <si>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</si>
  <si>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</si>
  <si>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</si>
  <si>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</si>
  <si>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</si>
  <si>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</si>
  <si>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</si>
  <si>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</si>
  <si>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</si>
  <si>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</si>
  <si>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</si>
  <si>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</si>
  <si>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</si>
  <si>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</si>
  <si>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</si>
  <si>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</si>
  <si>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</si>
  <si>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</si>
  <si>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</si>
  <si>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</si>
  <si>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</si>
  <si>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</si>
  <si>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</si>
  <si>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</si>
  <si>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</si>
  <si>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</si>
  <si>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</si>
  <si>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</si>
  <si>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</si>
  <si>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</si>
  <si>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</si>
  <si>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</si>
  <si>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</si>
  <si>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</si>
  <si>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</si>
  <si>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</si>
  <si>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</si>
  <si>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</si>
  <si>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</si>
  <si>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</si>
  <si>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</si>
  <si>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</si>
  <si>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</si>
  <si>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</si>
  <si>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</si>
  <si>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</si>
  <si>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</si>
  <si>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</si>
  <si>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</si>
  <si>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</si>
  <si>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</si>
  <si>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</si>
  <si>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</si>
  <si>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</si>
  <si>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</si>
  <si>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</si>
  <si>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</si>
  <si>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</si>
  <si>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</si>
  <si>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</si>
  <si>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</si>
  <si>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</si>
  <si>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</si>
  <si>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</si>
  <si>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</si>
  <si>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</si>
  <si>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</si>
  <si>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</si>
  <si>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</si>
  <si>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</si>
  <si>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</si>
  <si>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</si>
  <si>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</si>
  <si>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</si>
  <si>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</si>
  <si>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</si>
  <si>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</si>
  <si>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</si>
  <si>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</si>
  <si>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</si>
  <si>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</si>
  <si>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</si>
  <si>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</si>
  <si>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</si>
  <si>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</si>
  <si>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</si>
  <si>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</si>
  <si>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</si>
  <si>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</si>
  <si>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</si>
  <si>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</si>
  <si>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</si>
  <si>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</si>
  <si>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</si>
  <si>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</si>
  <si>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</si>
  <si>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</si>
  <si>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</si>
  <si>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</si>
  <si>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</si>
  <si>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</si>
  <si>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</si>
  <si>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</si>
  <si>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</si>
  <si>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</si>
  <si>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</si>
  <si>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</si>
  <si>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</si>
  <si>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</si>
  <si>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</si>
  <si>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</si>
  <si>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</si>
  <si>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</si>
  <si>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</si>
  <si>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</si>
  <si>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</si>
  <si>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</si>
  <si>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</si>
  <si>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</si>
  <si>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</si>
  <si>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</si>
  <si>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</si>
  <si>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</si>
  <si>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</si>
  <si>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</si>
  <si>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</si>
  <si>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</si>
  <si>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</si>
  <si>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</si>
  <si>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</si>
  <si>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</si>
  <si>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</si>
  <si>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</si>
  <si>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</si>
  <si>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</si>
  <si>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</si>
  <si>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</si>
  <si>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</si>
  <si>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</si>
  <si>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</si>
  <si>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</si>
  <si>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</si>
  <si>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</si>
  <si>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</si>
  <si>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</si>
  <si>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</si>
  <si>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</si>
  <si>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</si>
  <si>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</si>
  <si>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</si>
  <si>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</si>
  <si>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</si>
  <si>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</si>
  <si>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</si>
  <si>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</si>
  <si>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</si>
  <si>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</si>
  <si>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</si>
  <si>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</si>
  <si>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</si>
  <si>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</si>
  <si>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</si>
  <si>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</si>
  <si>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</si>
  <si>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</si>
  <si>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</si>
  <si>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</si>
  <si>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</si>
  <si>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</si>
  <si>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</si>
  <si>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</si>
  <si>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</si>
  <si>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</si>
  <si>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</si>
  <si>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</si>
  <si>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</si>
  <si>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</si>
  <si>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</si>
  <si>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</si>
  <si>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</si>
  <si>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</si>
  <si>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</si>
  <si>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</si>
  <si>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</si>
  <si>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</si>
  <si>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</si>
  <si>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</si>
  <si>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</si>
  <si>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</si>
  <si>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</si>
  <si>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</si>
  <si>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</si>
  <si>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</si>
  <si>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</si>
  <si>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</si>
  <si>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</si>
  <si>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</si>
  <si>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</si>
  <si>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</si>
  <si>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</si>
  <si>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</si>
  <si>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</si>
  <si>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</si>
  <si>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</si>
  <si>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</si>
  <si>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</si>
  <si>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</si>
  <si>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</si>
  <si>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</si>
  <si>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</si>
  <si>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</si>
  <si>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</si>
  <si>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</si>
  <si>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</si>
  <si>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</si>
  <si>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</si>
  <si>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</si>
  <si>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</si>
  <si>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</si>
  <si>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</si>
  <si>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</si>
  <si>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</si>
  <si>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</si>
  <si>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</si>
  <si>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</si>
  <si>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</si>
  <si>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</si>
  <si>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</si>
  <si>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</si>
  <si>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</si>
  <si>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</si>
  <si>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</si>
  <si>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</si>
  <si>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</si>
  <si>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</si>
  <si>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</si>
  <si>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</si>
  <si>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</si>
  <si>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</si>
  <si>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</si>
  <si>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</si>
  <si>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</si>
  <si>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</si>
  <si>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</si>
  <si>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</si>
  <si>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</si>
  <si>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</si>
  <si>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</si>
  <si>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</si>
  <si>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</si>
  <si>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</si>
  <si>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</si>
  <si>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</si>
  <si>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</si>
  <si>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</si>
  <si>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</si>
  <si>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</si>
  <si>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</si>
  <si>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</si>
  <si>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</si>
  <si>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</si>
  <si>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</si>
  <si>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</si>
  <si>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</si>
  <si>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</si>
  <si>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</si>
  <si>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</si>
  <si>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</si>
  <si>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</si>
  <si>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</si>
  <si>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</si>
  <si>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</si>
  <si>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</si>
  <si>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</si>
  <si>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</si>
  <si>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</si>
  <si>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</si>
  <si>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</si>
  <si>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</si>
  <si>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</si>
  <si>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</si>
  <si>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</si>
  <si>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</si>
  <si>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</si>
  <si>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</si>
  <si>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</si>
  <si>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</si>
  <si>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</si>
  <si>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</si>
  <si>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</si>
  <si>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</si>
  <si>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</si>
  <si>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</si>
  <si>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</si>
  <si>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</si>
  <si>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</si>
  <si>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</si>
  <si>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</si>
  <si>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</si>
  <si>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</si>
  <si>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</si>
  <si>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</si>
  <si>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</si>
  <si>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</si>
  <si>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</si>
  <si>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</si>
  <si>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</si>
  <si>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</si>
  <si>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</si>
  <si>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</si>
  <si>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</si>
  <si>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</si>
  <si>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</si>
  <si>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</si>
  <si>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</si>
  <si>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</si>
  <si>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</si>
  <si>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</si>
  <si>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</si>
  <si>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</si>
  <si>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</si>
  <si>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</si>
  <si>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</si>
  <si>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</si>
  <si>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</si>
  <si>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</si>
  <si>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</si>
  <si>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</si>
  <si>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</si>
  <si>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</si>
  <si>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</si>
  <si>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</si>
  <si>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</si>
  <si>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</si>
  <si>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</si>
  <si>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</si>
  <si>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</si>
  <si>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</si>
  <si>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</si>
  <si>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</si>
  <si>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</si>
  <si>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</si>
  <si>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</si>
  <si>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</si>
  <si>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</si>
  <si>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</si>
  <si>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</si>
  <si>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</si>
  <si>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</si>
  <si>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</si>
  <si>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</si>
  <si>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</si>
  <si>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</si>
  <si>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</si>
  <si>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</si>
  <si>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</si>
  <si>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</si>
  <si>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</si>
  <si>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</si>
  <si>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</si>
  <si>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</si>
  <si>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</si>
  <si>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</si>
  <si>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</si>
  <si>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</si>
  <si>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</si>
  <si>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</si>
  <si>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</si>
  <si>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</si>
  <si>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</si>
  <si>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</si>
  <si>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</si>
  <si>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</si>
  <si>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</si>
  <si>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</si>
  <si>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</si>
  <si>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</si>
  <si>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</si>
  <si>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</si>
  <si>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</si>
  <si>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</si>
  <si>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</si>
  <si>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</si>
  <si>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</si>
  <si>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</si>
  <si>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</si>
  <si>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</si>
  <si>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</si>
  <si>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</si>
  <si>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</si>
  <si>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</si>
  <si>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</si>
  <si>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</si>
  <si>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</si>
  <si>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</si>
  <si>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</si>
  <si>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</si>
  <si>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</si>
  <si>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</si>
  <si>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</si>
  <si>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</si>
  <si>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</si>
  <si>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</si>
  <si>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</si>
  <si>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</si>
  <si>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</si>
  <si>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</si>
  <si>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</si>
  <si>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</si>
  <si>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</si>
  <si>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</si>
  <si>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</si>
  <si>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</si>
  <si>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</si>
  <si>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</si>
  <si>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</si>
  <si>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</si>
  <si>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</si>
  <si>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</si>
  <si>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</si>
  <si>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</si>
  <si>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</si>
  <si>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</si>
  <si>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</si>
  <si>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</si>
  <si>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</si>
  <si>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</si>
  <si>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</si>
  <si>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</si>
  <si>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</si>
  <si>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</si>
  <si>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</si>
  <si>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</si>
  <si>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</si>
  <si>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</si>
  <si>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</si>
  <si>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</si>
  <si>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</si>
  <si>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</si>
  <si>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</si>
  <si>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</si>
  <si>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</si>
  <si>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</si>
  <si>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</si>
  <si>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</si>
  <si>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</si>
  <si>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</si>
  <si>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</si>
  <si>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</si>
  <si>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</si>
  <si>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</si>
  <si>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</si>
  <si>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</si>
  <si>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</si>
  <si>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</si>
  <si>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</si>
  <si>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</si>
  <si>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</si>
  <si>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</si>
  <si>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</si>
  <si>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</si>
  <si>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</si>
  <si>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</si>
  <si>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</si>
  <si>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</si>
  <si>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</si>
  <si>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</si>
  <si>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</si>
  <si>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</si>
  <si>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</si>
  <si>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</si>
  <si>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</si>
  <si>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</si>
  <si>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</si>
  <si>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</si>
  <si>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</si>
  <si>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</si>
  <si>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</si>
  <si>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</si>
  <si>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</si>
  <si>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</si>
  <si>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</si>
  <si>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</si>
  <si>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</si>
  <si>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</si>
  <si>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</si>
  <si>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</si>
  <si>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</si>
  <si>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</si>
  <si>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</si>
  <si>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</si>
  <si>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</si>
  <si>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</si>
  <si>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</si>
  <si>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</si>
  <si>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</si>
  <si>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</si>
  <si>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</si>
  <si>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</si>
  <si>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</si>
  <si>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</si>
  <si>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</si>
  <si>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</si>
  <si>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</si>
  <si>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</si>
  <si>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</si>
  <si>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</si>
  <si>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</si>
  <si>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</si>
  <si>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</si>
  <si>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</si>
  <si>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</si>
  <si>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</si>
  <si>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</si>
  <si>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</si>
  <si>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</si>
  <si>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</si>
  <si>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</si>
  <si>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</si>
  <si>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</si>
  <si>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</si>
  <si>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</si>
  <si>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</si>
  <si>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</si>
  <si>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</si>
  <si>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</si>
  <si>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</si>
  <si>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</si>
  <si>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</si>
  <si>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</si>
  <si>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</si>
  <si>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</si>
  <si>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</si>
  <si>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</si>
  <si>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</si>
  <si>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</si>
  <si>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</si>
  <si>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</si>
  <si>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</si>
  <si>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</si>
  <si>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</si>
  <si>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</si>
  <si>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</si>
  <si>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</si>
  <si>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</si>
  <si>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</si>
  <si>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</si>
  <si>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</si>
  <si>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</si>
  <si>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</si>
  <si>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</si>
  <si>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</si>
  <si>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</si>
  <si>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</si>
  <si>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</si>
  <si>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</si>
  <si>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</si>
  <si>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</si>
  <si>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</si>
  <si>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</si>
  <si>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</si>
  <si>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</si>
  <si>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</si>
  <si>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</si>
  <si>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</si>
  <si>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</si>
  <si>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</si>
  <si>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</si>
  <si>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</si>
  <si>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</si>
  <si>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</si>
  <si>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</si>
  <si>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</si>
  <si>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</si>
  <si>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</si>
  <si>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</si>
  <si>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</si>
  <si>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</si>
  <si>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</si>
  <si>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</si>
  <si>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</si>
  <si>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</si>
  <si>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</si>
  <si>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</si>
  <si>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</si>
  <si>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</si>
  <si>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</si>
  <si>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</si>
  <si>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</si>
  <si>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</si>
  <si>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</si>
  <si>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</si>
  <si>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</si>
  <si>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</si>
  <si>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</si>
  <si>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</si>
  <si>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</si>
  <si>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</si>
  <si>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</si>
  <si>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</si>
  <si>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</si>
  <si>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</si>
  <si>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</si>
  <si>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</si>
  <si>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</si>
  <si>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</si>
  <si>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</si>
  <si>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</si>
  <si>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</si>
  <si>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</si>
  <si>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</si>
  <si>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</si>
  <si>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</si>
  <si>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</si>
  <si>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</si>
  <si>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</si>
  <si>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</si>
  <si>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</si>
  <si>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</si>
  <si>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</si>
  <si>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</si>
  <si>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</si>
  <si>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</si>
  <si>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</si>
  <si>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</si>
  <si>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</si>
  <si>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</si>
  <si>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</si>
  <si>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</si>
  <si>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</si>
  <si>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</si>
  <si>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</si>
  <si>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</si>
  <si>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</si>
  <si>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</si>
  <si>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</si>
  <si>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</si>
  <si>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</si>
  <si>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</si>
  <si>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</si>
  <si>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</si>
  <si>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</si>
  <si>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</si>
  <si>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</si>
  <si>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</si>
  <si>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</si>
  <si>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</si>
  <si>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</si>
  <si>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</si>
  <si>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</si>
  <si>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</si>
  <si>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</si>
  <si>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</si>
  <si>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</si>
  <si>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</si>
  <si>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</si>
  <si>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</si>
  <si>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</si>
  <si>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</si>
  <si>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</si>
  <si>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</si>
  <si>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</si>
  <si>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</si>
  <si>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</si>
  <si>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</si>
  <si>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</si>
  <si>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</si>
  <si>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</si>
  <si>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</si>
  <si>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</si>
  <si>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</si>
  <si>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</si>
  <si>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</si>
  <si>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</si>
  <si>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</si>
  <si>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</si>
  <si>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</si>
  <si>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</si>
  <si>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</si>
  <si>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</si>
  <si>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</si>
  <si>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</si>
  <si>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</si>
  <si>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</si>
  <si>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</si>
  <si>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</si>
  <si>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</si>
  <si>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</si>
  <si>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</si>
  <si>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</si>
  <si>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</si>
  <si>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</si>
  <si>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</si>
  <si>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</si>
  <si>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</si>
  <si>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</si>
  <si>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</si>
  <si>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</si>
  <si>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</si>
  <si>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</si>
  <si>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</si>
  <si>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</si>
  <si>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</si>
  <si>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</si>
  <si>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</si>
  <si>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</si>
  <si>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</si>
  <si>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</si>
  <si>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</si>
  <si>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</si>
  <si>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</si>
  <si>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</si>
  <si>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</si>
  <si>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</si>
  <si>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</si>
  <si>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</si>
  <si>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</si>
  <si>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</si>
  <si>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</si>
  <si>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</si>
  <si>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</si>
  <si>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</si>
  <si>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</si>
  <si>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</si>
  <si>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</si>
  <si>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</si>
  <si>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</si>
  <si>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</si>
  <si>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</si>
  <si>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</si>
  <si>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</si>
  <si>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</si>
  <si>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</si>
  <si>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</si>
  <si>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</si>
  <si>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</si>
  <si>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</si>
  <si>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</si>
  <si>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</si>
  <si>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</si>
  <si>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</si>
  <si>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</si>
  <si>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</si>
  <si>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</si>
  <si>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</si>
  <si>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</si>
  <si>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</si>
  <si>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</si>
  <si>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</si>
  <si>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</si>
  <si>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</si>
  <si>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</si>
  <si>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</si>
  <si>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</si>
  <si>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</si>
  <si>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</si>
  <si>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</si>
  <si>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</si>
  <si>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</si>
  <si>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</si>
  <si>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</si>
  <si>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</si>
  <si>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</si>
  <si>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</si>
  <si>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</si>
  <si>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</si>
  <si>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</si>
  <si>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</si>
  <si>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</si>
  <si>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</si>
  <si>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</si>
  <si>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</si>
  <si>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</si>
  <si>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</si>
  <si>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</si>
  <si>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</si>
  <si>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</si>
  <si>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</si>
  <si>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</si>
  <si>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</si>
  <si>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</si>
  <si>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</si>
  <si>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</si>
  <si>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</si>
  <si>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</si>
  <si>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</si>
  <si>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</si>
  <si>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</si>
  <si>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</si>
  <si>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</si>
  <si>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</si>
  <si>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</si>
  <si>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</si>
  <si>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</si>
  <si>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</si>
  <si>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</si>
  <si>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</si>
  <si>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</si>
  <si>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</si>
  <si>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</si>
  <si>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</si>
  <si>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</si>
  <si>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</si>
  <si>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</si>
  <si>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</si>
  <si>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</si>
  <si>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</si>
  <si>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</si>
  <si>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</si>
  <si>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</si>
  <si>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</si>
  <si>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</si>
  <si>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</si>
  <si>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</si>
  <si>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</si>
  <si>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</si>
  <si>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</si>
  <si>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</si>
  <si>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</si>
  <si>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</si>
  <si>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</si>
  <si>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</si>
  <si>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</si>
  <si>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</si>
  <si>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</si>
  <si>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</si>
  <si>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</si>
  <si>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</si>
  <si>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</si>
  <si>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</si>
  <si>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</si>
  <si>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</si>
  <si>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</si>
  <si>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</si>
  <si>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</si>
  <si>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</si>
  <si>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</si>
  <si>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</si>
  <si>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</si>
  <si>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</si>
  <si>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</si>
  <si>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</si>
  <si>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</si>
  <si>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</si>
  <si>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</si>
  <si>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</si>
  <si>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</si>
  <si>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</si>
  <si>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</si>
  <si>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</si>
  <si>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</si>
  <si>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</si>
  <si>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</si>
  <si>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</si>
  <si>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</si>
  <si>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</si>
  <si>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</si>
  <si>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</si>
  <si>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</si>
  <si>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</si>
  <si>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</si>
  <si>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</si>
  <si>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</si>
  <si>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</si>
  <si>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</si>
  <si>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</si>
  <si>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</si>
  <si>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</si>
  <si>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</si>
  <si>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</si>
  <si>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</si>
  <si>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</si>
  <si>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</si>
  <si>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</si>
  <si>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</si>
  <si>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</si>
  <si>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</si>
  <si>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</si>
  <si>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</si>
  <si>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</si>
  <si>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</si>
  <si>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</si>
  <si>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</si>
  <si>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</si>
  <si>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</si>
  <si>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</si>
  <si>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</si>
  <si>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</si>
  <si>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</si>
  <si>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</si>
  <si>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</si>
  <si>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</si>
  <si>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</si>
  <si>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</si>
  <si>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</si>
  <si>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</si>
  <si>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</si>
  <si>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</si>
  <si>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</si>
  <si>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</si>
  <si>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</si>
  <si>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</si>
  <si>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</si>
  <si>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</si>
  <si>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</si>
  <si>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</si>
  <si>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</si>
  <si>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</si>
  <si>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</si>
  <si>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</si>
  <si>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</si>
  <si>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</si>
  <si>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</si>
  <si>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</si>
  <si>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</si>
  <si>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</si>
  <si>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</si>
  <si>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</si>
  <si>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</si>
  <si>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</si>
  <si>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</si>
  <si>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</si>
  <si>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</si>
  <si>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</si>
  <si>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</si>
  <si>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</si>
  <si>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</si>
  <si>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</si>
  <si>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</si>
  <si>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</si>
  <si>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</si>
  <si>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</si>
  <si>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</si>
  <si>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</si>
  <si>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</si>
  <si>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</si>
  <si>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</si>
  <si>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</si>
  <si>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</si>
  <si>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</si>
  <si>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</si>
  <si>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</si>
  <si>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</si>
  <si>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</si>
  <si>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</si>
  <si>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</si>
  <si>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</si>
  <si>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</si>
  <si>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</si>
  <si>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</si>
  <si>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</si>
  <si>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</si>
  <si>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</si>
  <si>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</si>
  <si>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</si>
  <si>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</si>
  <si>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</si>
  <si>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</si>
  <si>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</si>
  <si>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</si>
  <si>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</si>
  <si>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</si>
  <si>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</si>
  <si>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</si>
  <si>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</si>
  <si>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</si>
  <si>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</si>
  <si>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</si>
  <si>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</si>
  <si>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</si>
  <si>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</si>
  <si>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</si>
  <si>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</si>
  <si>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</si>
  <si>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</si>
  <si>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</si>
  <si>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</si>
  <si>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</si>
  <si>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</si>
  <si>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</si>
  <si>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</si>
  <si>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</si>
  <si>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</si>
  <si>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</si>
  <si>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</si>
  <si>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</si>
  <si>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</si>
  <si>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</si>
  <si>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</si>
  <si>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</si>
  <si>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</si>
  <si>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</si>
  <si>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</si>
  <si>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</si>
  <si>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</si>
  <si>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</si>
  <si>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</si>
  <si>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</si>
  <si>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</si>
  <si>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</si>
  <si>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</si>
  <si>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</si>
  <si>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</si>
  <si>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</si>
  <si>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</si>
  <si>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</si>
  <si>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</si>
  <si>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</si>
  <si>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</si>
  <si>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</si>
  <si>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</si>
  <si>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</si>
  <si>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</si>
  <si>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</si>
  <si>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</si>
  <si>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</si>
  <si>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</si>
  <si>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</si>
  <si>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</si>
  <si>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</si>
  <si>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</si>
  <si>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</si>
  <si>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</si>
  <si>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</si>
  <si>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</si>
  <si>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</si>
  <si>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</si>
  <si>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</si>
  <si>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</si>
  <si>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</si>
  <si>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</si>
  <si>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</si>
  <si>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</si>
  <si>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</si>
  <si>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</si>
  <si>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</si>
  <si>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</si>
  <si>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</si>
  <si>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</si>
  <si>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</si>
  <si>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</si>
  <si>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</si>
  <si>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</si>
  <si>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</si>
  <si>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</si>
  <si>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</si>
  <si>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</si>
  <si>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</si>
  <si>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</si>
  <si>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</si>
  <si>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</si>
  <si>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</si>
  <si>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</si>
  <si>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</si>
  <si>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</si>
  <si>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</si>
  <si>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</si>
  <si>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</si>
  <si>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</si>
  <si>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</si>
  <si>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</si>
  <si>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</si>
  <si>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</si>
  <si>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</si>
  <si>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</si>
  <si>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</si>
  <si>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</si>
  <si>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</si>
  <si>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</si>
  <si>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</si>
  <si>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</si>
  <si>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</si>
  <si>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</si>
  <si>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</si>
  <si>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</si>
  <si>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</si>
  <si>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</si>
  <si>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</si>
  <si>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</si>
  <si>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</si>
  <si>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</si>
  <si>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</si>
  <si>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</si>
  <si>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</si>
  <si>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</si>
  <si>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</si>
  <si>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</si>
  <si>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</si>
  <si>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</si>
  <si>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</si>
  <si>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</si>
  <si>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</si>
  <si>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</si>
  <si>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</si>
  <si>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</si>
  <si>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</si>
  <si>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</si>
  <si>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</si>
  <si>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</si>
  <si>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</si>
  <si>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</si>
  <si>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</si>
  <si>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</si>
  <si>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</si>
  <si>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</si>
  <si>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</si>
  <si>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</si>
  <si>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</si>
  <si>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</si>
  <si>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</si>
  <si>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</si>
  <si>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</si>
  <si>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</si>
  <si>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</si>
  <si>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</si>
  <si>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</si>
  <si>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</si>
  <si>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</si>
  <si>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</si>
  <si>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</si>
  <si>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</si>
  <si>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</si>
  <si>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</si>
  <si>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</si>
  <si>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</si>
  <si>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</si>
  <si>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</si>
  <si>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</si>
  <si>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</si>
  <si>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</si>
  <si>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</si>
  <si>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</si>
  <si>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</si>
  <si>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</si>
  <si>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</si>
  <si>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</si>
  <si>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</si>
  <si>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</si>
  <si>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</si>
  <si>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</si>
  <si>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</si>
  <si>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</si>
  <si>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</si>
  <si>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</si>
  <si>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</si>
  <si>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</si>
  <si>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</si>
  <si>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</si>
  <si>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</si>
  <si>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</si>
  <si>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</si>
  <si>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</si>
  <si>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</si>
  <si>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</si>
  <si>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</si>
  <si>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</si>
  <si>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</si>
  <si>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</si>
  <si>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</si>
  <si>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</si>
  <si>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</si>
  <si>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</si>
  <si>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</si>
  <si>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</si>
  <si>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</si>
  <si>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</si>
  <si>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</si>
  <si>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</si>
  <si>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</si>
  <si>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</si>
  <si>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</si>
  <si>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</si>
  <si>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</si>
  <si>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</si>
  <si>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</si>
  <si>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</si>
  <si>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</si>
  <si>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</si>
  <si>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</si>
  <si>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</si>
  <si>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</si>
  <si>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</si>
  <si>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</si>
  <si>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</si>
  <si>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</si>
  <si>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</si>
  <si>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</si>
  <si>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</si>
  <si>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</si>
  <si>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</si>
  <si>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</si>
  <si>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</si>
  <si>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</si>
  <si>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</si>
  <si>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</si>
  <si>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</si>
  <si>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</si>
  <si>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</si>
  <si>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</si>
  <si>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</si>
  <si>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</si>
  <si>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</si>
  <si>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</si>
  <si>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</si>
  <si>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</si>
  <si>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</si>
  <si>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</si>
  <si>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</si>
  <si>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</si>
  <si>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</si>
  <si>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</si>
  <si>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</si>
  <si>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</si>
  <si>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</si>
  <si>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</si>
  <si>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</si>
  <si>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</si>
  <si>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</si>
  <si>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</si>
  <si>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</si>
  <si>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</si>
  <si>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</si>
  <si>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</si>
  <si>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</si>
  <si>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</si>
  <si>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</si>
  <si>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</si>
  <si>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</si>
  <si>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</si>
  <si>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</si>
  <si>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</si>
  <si>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</si>
  <si>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</si>
  <si>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</si>
  <si>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</si>
  <si>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</si>
  <si>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</si>
  <si>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</si>
  <si>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</si>
  <si>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</si>
  <si>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</si>
  <si>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</si>
  <si>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</si>
  <si>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</si>
  <si>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</si>
  <si>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</si>
  <si>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</si>
  <si>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</si>
  <si>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</si>
  <si>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</si>
  <si>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</si>
  <si>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</si>
  <si>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</si>
  <si>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</si>
  <si>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</si>
  <si>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</si>
  <si>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</si>
  <si>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</si>
  <si>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</si>
  <si>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</si>
  <si>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</si>
  <si>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</si>
  <si>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</si>
  <si>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</si>
  <si>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</si>
  <si>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</si>
  <si>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</si>
  <si>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</si>
  <si>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</si>
  <si>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</si>
  <si>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</si>
  <si>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</si>
  <si>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</si>
  <si>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</si>
  <si>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</si>
  <si>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</si>
  <si>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</si>
  <si>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</si>
  <si>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</si>
  <si>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</si>
  <si>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</si>
  <si>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</si>
  <si>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</si>
  <si>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</si>
  <si>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</si>
  <si>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</si>
  <si>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</si>
  <si>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</si>
  <si>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</si>
  <si>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</si>
  <si>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</si>
  <si>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</si>
  <si>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</si>
  <si>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</si>
  <si>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</si>
  <si>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</si>
  <si>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</si>
  <si>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</si>
  <si>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</si>
  <si>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</si>
  <si>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</si>
  <si>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</si>
  <si>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</si>
  <si>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</si>
  <si>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</si>
  <si>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</si>
  <si>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</si>
  <si>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</si>
  <si>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</si>
  <si>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</si>
  <si>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</si>
  <si>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</si>
  <si>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</si>
  <si>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</si>
  <si>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</si>
  <si>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</si>
  <si>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</si>
  <si>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</si>
  <si>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</si>
  <si>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</si>
  <si>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</si>
  <si>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</si>
  <si>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</si>
  <si>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</si>
  <si>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</si>
  <si>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</si>
  <si>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</si>
  <si>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</si>
  <si>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</si>
  <si>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</si>
  <si>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</si>
  <si>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</si>
  <si>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</si>
  <si>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</si>
  <si>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</si>
  <si>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</si>
  <si>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</si>
  <si>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</si>
  <si>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</si>
  <si>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</si>
  <si>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</si>
  <si>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</si>
  <si>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</si>
  <si>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</si>
  <si>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</si>
  <si>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</si>
  <si>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</si>
  <si>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</si>
  <si>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</si>
  <si>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</si>
  <si>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</si>
  <si>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</si>
  <si>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</si>
  <si>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</si>
  <si>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</si>
  <si>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</si>
  <si>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</si>
  <si>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</si>
  <si>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</si>
  <si>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</si>
  <si>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</si>
  <si>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</si>
  <si>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</si>
  <si>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</si>
  <si>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</si>
  <si>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</si>
  <si>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</si>
  <si>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</si>
  <si>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</si>
  <si>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</si>
  <si>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</si>
  <si>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</si>
  <si>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</si>
  <si>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</si>
  <si>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</si>
  <si>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</si>
  <si>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</si>
  <si>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</si>
  <si>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</si>
  <si>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</si>
  <si>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</si>
  <si>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</si>
  <si>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</si>
  <si>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</si>
  <si>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</si>
  <si>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</si>
  <si>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</si>
  <si>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</si>
  <si>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</si>
  <si>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</si>
  <si>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</si>
  <si>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</si>
  <si>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</si>
  <si>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</si>
  <si>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</si>
  <si>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</si>
  <si>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</si>
  <si>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</si>
  <si>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</si>
  <si>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</si>
  <si>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</si>
  <si>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</si>
  <si>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</si>
  <si>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</si>
  <si>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</si>
  <si>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</si>
  <si>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</si>
  <si>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</si>
  <si>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</si>
  <si>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</si>
  <si>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</si>
  <si>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</si>
  <si>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</si>
  <si>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</si>
  <si>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</si>
  <si>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</si>
  <si>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</si>
  <si>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</si>
  <si>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</si>
  <si>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</si>
  <si>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</si>
  <si>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</si>
  <si>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</si>
  <si>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</si>
  <si>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</si>
  <si>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</si>
  <si>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</si>
  <si>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</si>
  <si>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</si>
  <si>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</si>
  <si>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</si>
  <si>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</si>
  <si>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</si>
  <si>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</si>
  <si>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</si>
  <si>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</si>
  <si>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</si>
  <si>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</si>
  <si>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</si>
  <si>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</si>
  <si>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</si>
  <si>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</si>
  <si>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</si>
  <si>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</si>
  <si>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</si>
  <si>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</si>
  <si>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</si>
  <si>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</si>
  <si>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</si>
  <si>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</si>
  <si>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</si>
  <si>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</si>
  <si>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</si>
  <si>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</si>
  <si>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</si>
  <si>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</si>
  <si>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</si>
  <si>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</si>
  <si>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</si>
  <si>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</si>
  <si>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</si>
  <si>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</si>
  <si>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</si>
  <si>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</si>
  <si>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</si>
  <si>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</si>
  <si>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</si>
  <si>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</si>
  <si>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</si>
  <si>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</si>
  <si>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</si>
  <si>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</si>
  <si>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</si>
  <si>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</si>
  <si>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</si>
  <si>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</si>
  <si>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</si>
  <si>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</si>
  <si>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</si>
  <si>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</si>
  <si>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</si>
  <si>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</si>
  <si>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</si>
  <si>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</si>
  <si>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</si>
  <si>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</si>
  <si>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</si>
  <si>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</si>
  <si>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</si>
  <si>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</si>
  <si>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</si>
  <si>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</si>
  <si>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</si>
  <si>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</si>
  <si>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</si>
  <si>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</si>
  <si>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</si>
  <si>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</si>
  <si>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</si>
  <si>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</si>
  <si>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</si>
  <si>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</si>
  <si>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</si>
  <si>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</si>
  <si>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</si>
  <si>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</si>
  <si>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</si>
  <si>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</si>
  <si>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</si>
  <si>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</si>
  <si>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</si>
  <si>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</si>
  <si>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</si>
  <si>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</si>
  <si>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</si>
  <si>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</si>
  <si>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</si>
  <si>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</si>
  <si>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</si>
  <si>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</si>
  <si>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</si>
  <si>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</si>
  <si>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</si>
  <si>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</si>
  <si>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</si>
  <si>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</si>
  <si>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</si>
  <si>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</si>
  <si>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</si>
  <si>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</si>
  <si>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</si>
  <si>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</si>
  <si>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</si>
  <si>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</si>
  <si>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</si>
  <si>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</si>
  <si>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</si>
  <si>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</si>
  <si>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</si>
  <si>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</si>
  <si>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</si>
  <si>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</si>
  <si>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</si>
  <si>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</si>
  <si>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</si>
  <si>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</si>
  <si>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</si>
  <si>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</si>
  <si>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</si>
  <si>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</si>
  <si>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</si>
  <si>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</si>
  <si>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</si>
  <si>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</si>
  <si>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</si>
  <si>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</si>
  <si>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</si>
  <si>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</si>
  <si>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</si>
  <si>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</si>
  <si>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</si>
  <si>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</si>
  <si>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</si>
  <si>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</si>
  <si>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</si>
  <si>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</si>
  <si>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</si>
  <si>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</si>
  <si>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</si>
  <si>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</si>
  <si>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</si>
  <si>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</si>
  <si>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</si>
  <si>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</si>
  <si>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</si>
  <si>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</si>
  <si>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</si>
  <si>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</si>
  <si>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</si>
  <si>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</si>
  <si>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</si>
  <si>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</si>
  <si>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</si>
  <si>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</si>
  <si>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</si>
  <si>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</si>
  <si>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</si>
  <si>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</si>
  <si>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</si>
  <si>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</si>
  <si>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</si>
  <si>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</si>
  <si>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</si>
  <si>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</si>
  <si>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</si>
  <si>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</si>
  <si>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</si>
  <si>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</si>
  <si>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</si>
  <si>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</si>
  <si>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</si>
  <si>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</si>
  <si>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</si>
  <si>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</si>
  <si>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</si>
  <si>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</si>
  <si>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</si>
  <si>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</si>
  <si>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</si>
  <si>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</si>
  <si>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</si>
  <si>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</si>
  <si>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</si>
  <si>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</si>
  <si>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</si>
  <si>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</si>
  <si>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</si>
  <si>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</si>
  <si>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</si>
  <si>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</si>
  <si>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</si>
  <si>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</si>
  <si>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</si>
  <si>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</si>
  <si>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</si>
  <si>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</si>
  <si>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</si>
  <si>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</si>
  <si>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</si>
  <si>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</si>
  <si>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</si>
  <si>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</si>
  <si>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</si>
  <si>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</si>
  <si>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</si>
  <si>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</si>
  <si>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</si>
  <si>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</si>
  <si>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</si>
  <si>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</si>
  <si>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</si>
  <si>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</si>
  <si>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</si>
  <si>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</si>
  <si>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</si>
  <si>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</si>
  <si>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</si>
  <si>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</si>
  <si>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</si>
  <si>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</si>
  <si>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</si>
  <si>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</si>
  <si>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</si>
  <si>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</si>
  <si>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</si>
  <si>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</si>
  <si>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</si>
  <si>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</si>
  <si>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</si>
  <si>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</si>
  <si>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</si>
  <si>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</si>
  <si>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</si>
  <si>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</si>
  <si>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</si>
  <si>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</si>
  <si>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</si>
  <si>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</si>
  <si>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</si>
  <si>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</si>
  <si>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</si>
  <si>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</si>
  <si>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</si>
  <si>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</si>
  <si>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</si>
  <si>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</si>
  <si>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</si>
  <si>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</si>
  <si>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</si>
  <si>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</si>
  <si>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</si>
  <si>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</si>
  <si>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</si>
  <si>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</si>
  <si>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</si>
  <si>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</si>
  <si>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</si>
  <si>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</si>
  <si>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</si>
  <si>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</si>
  <si>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</si>
  <si>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</si>
  <si>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</si>
  <si>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</si>
  <si>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</si>
  <si>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</si>
  <si>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</si>
  <si>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</si>
  <si>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</si>
  <si>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</si>
  <si>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</si>
  <si>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</si>
  <si>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</si>
  <si>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</si>
  <si>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</si>
  <si>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</si>
  <si>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</si>
  <si>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</si>
  <si>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</si>
  <si>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</si>
  <si>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</si>
  <si>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</si>
  <si>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</si>
  <si>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</si>
  <si>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</si>
  <si>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</si>
  <si>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</si>
  <si>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</si>
  <si>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</si>
  <si>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</si>
  <si>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</si>
  <si>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</si>
  <si>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</si>
  <si>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</si>
  <si>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</si>
  <si>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</si>
  <si>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</si>
  <si>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</si>
  <si>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</si>
  <si>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</si>
  <si>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</si>
  <si>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</si>
  <si>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</si>
  <si>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</si>
  <si>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</si>
  <si>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</si>
  <si>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</si>
  <si>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</si>
  <si>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</si>
  <si>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</si>
  <si>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</si>
  <si>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</si>
  <si>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</si>
  <si>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</si>
  <si>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</si>
  <si>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</si>
  <si>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</si>
  <si>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</si>
  <si>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</si>
  <si>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</si>
  <si>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</si>
  <si>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</si>
  <si>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</si>
  <si>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</si>
  <si>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</si>
  <si>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</si>
  <si>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</si>
  <si>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</si>
  <si>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</si>
  <si>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</si>
  <si>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</si>
  <si>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</si>
  <si>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</si>
  <si>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</si>
  <si>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</si>
  <si>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</si>
  <si>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</si>
  <si>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</si>
  <si>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</si>
  <si>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</si>
  <si>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</si>
  <si>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</si>
  <si>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</si>
  <si>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</si>
  <si>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</si>
  <si>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</si>
  <si>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</si>
  <si>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</si>
  <si>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</si>
  <si>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</si>
  <si>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</si>
  <si>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</si>
  <si>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</si>
  <si>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</si>
  <si>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</si>
  <si>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</si>
  <si>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</si>
  <si>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</si>
  <si>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</si>
  <si>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</si>
  <si>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</si>
  <si>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</si>
  <si>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</si>
  <si>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</si>
  <si>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</si>
  <si>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</si>
  <si>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</si>
  <si>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</si>
  <si>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</si>
  <si>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</si>
  <si>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</si>
  <si>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</si>
  <si>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</si>
  <si>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</si>
  <si>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</si>
  <si>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</si>
  <si>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</si>
  <si>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</si>
  <si>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</si>
  <si>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</si>
  <si>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</si>
  <si>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</si>
  <si>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</si>
  <si>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</si>
  <si>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</si>
  <si>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</si>
  <si>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</si>
  <si>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</si>
  <si>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</si>
  <si>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</si>
  <si>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</si>
  <si>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</si>
  <si>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</si>
  <si>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</si>
  <si>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</si>
  <si>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</si>
  <si>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</si>
  <si>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</si>
  <si>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</si>
  <si>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</si>
  <si>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</si>
  <si>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</si>
  <si>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</si>
  <si>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</si>
  <si>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</si>
  <si>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</si>
  <si>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</si>
  <si>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</si>
  <si>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</si>
  <si>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</si>
  <si>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</si>
  <si>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</si>
  <si>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</si>
  <si>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</si>
  <si>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</si>
  <si>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</si>
  <si>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</si>
  <si>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</si>
  <si>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</si>
  <si>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</si>
  <si>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</si>
  <si>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</si>
  <si>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</si>
  <si>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</si>
  <si>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</si>
  <si>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</si>
  <si>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</si>
  <si>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</si>
  <si>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</si>
  <si>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</si>
  <si>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</si>
  <si>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</si>
  <si>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</si>
  <si>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</si>
  <si>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</si>
  <si>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</si>
  <si>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</si>
  <si>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</si>
  <si>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</si>
  <si>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</si>
  <si>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</si>
  <si>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</si>
  <si>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</si>
  <si>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</si>
  <si>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</si>
  <si>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</si>
  <si>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</si>
  <si>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</si>
  <si>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</si>
  <si>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</si>
  <si>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</si>
  <si>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</si>
  <si>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</si>
  <si>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</si>
  <si>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</si>
  <si>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</si>
  <si>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</si>
  <si>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</si>
  <si>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</si>
  <si>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</si>
  <si>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</si>
  <si>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</si>
  <si>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</si>
  <si>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</si>
  <si>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</si>
  <si>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</si>
  <si>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</si>
  <si>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</si>
  <si>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</si>
  <si>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</si>
  <si>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</si>
  <si>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</si>
  <si>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</si>
  <si>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</si>
  <si>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</si>
  <si>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</si>
  <si>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</si>
  <si>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</si>
  <si>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</si>
  <si>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</si>
  <si>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</si>
  <si>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</si>
  <si>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</si>
  <si>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</si>
  <si>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</si>
  <si>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</si>
  <si>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</si>
  <si>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</si>
  <si>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</si>
  <si>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</si>
  <si>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</si>
  <si>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</si>
  <si>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</si>
  <si>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</si>
  <si>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</si>
  <si>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</si>
  <si>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</si>
  <si>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</si>
  <si>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</si>
  <si>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</si>
  <si>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</si>
  <si>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</si>
  <si>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</si>
  <si>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</si>
  <si>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</si>
  <si>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</si>
  <si>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</si>
  <si>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</si>
  <si>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</si>
  <si>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</si>
  <si>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</si>
  <si>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</si>
  <si>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</si>
  <si>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</si>
  <si>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</si>
  <si>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</si>
  <si>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</si>
  <si>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</si>
  <si>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</si>
  <si>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</si>
  <si>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</si>
  <si>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</si>
  <si>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</si>
  <si>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</si>
  <si>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</si>
  <si>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</si>
  <si>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</si>
  <si>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</si>
  <si>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</si>
  <si>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</si>
  <si>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</si>
  <si>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</si>
  <si>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</si>
  <si>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</si>
  <si>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</si>
  <si>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</si>
  <si>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</si>
  <si>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</si>
  <si>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</si>
  <si>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</si>
  <si>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</si>
  <si>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</si>
  <si>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</si>
  <si>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</si>
  <si>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</si>
  <si>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</si>
  <si>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</si>
  <si>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</si>
  <si>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</si>
  <si>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</si>
  <si>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</si>
  <si>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</si>
  <si>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</si>
  <si>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</si>
  <si>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</si>
  <si>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</si>
  <si>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</si>
  <si>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</si>
  <si>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</si>
  <si>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</si>
  <si>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</si>
  <si>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</si>
  <si>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</si>
  <si>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</si>
  <si>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</si>
  <si>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</si>
  <si>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</si>
  <si>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</si>
  <si>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</si>
  <si>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</si>
  <si>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</si>
  <si>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</si>
  <si>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</si>
  <si>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</si>
  <si>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</si>
  <si>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</si>
  <si>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</si>
  <si>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</si>
  <si>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</si>
  <si>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</si>
  <si>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</si>
  <si>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</si>
  <si>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</si>
  <si>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</si>
  <si>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</si>
  <si>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</si>
  <si>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</si>
  <si>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</si>
  <si>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</si>
  <si>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</si>
  <si>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</si>
  <si>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</si>
  <si>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</si>
  <si>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</si>
  <si>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</si>
  <si>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</si>
  <si>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</si>
  <si>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</si>
  <si>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</si>
  <si>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</si>
  <si>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</si>
  <si>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</si>
  <si>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</si>
  <si>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</si>
  <si>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</si>
  <si>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</si>
  <si>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</si>
  <si>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</si>
  <si>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</si>
  <si>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</si>
  <si>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</si>
  <si>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</si>
  <si>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</si>
  <si>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</si>
  <si>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</si>
  <si>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</si>
  <si>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</si>
  <si>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</si>
  <si>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</si>
  <si>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</si>
  <si>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</si>
  <si>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</si>
  <si>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</si>
  <si>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</si>
  <si>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</si>
  <si>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</si>
  <si>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</si>
  <si>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</si>
  <si>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</si>
  <si>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</si>
  <si>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</si>
  <si>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</si>
  <si>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</si>
  <si>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</si>
  <si>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</si>
  <si>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</si>
  <si>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</si>
  <si>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</si>
  <si>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</si>
  <si>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</si>
  <si>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</si>
  <si>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</si>
  <si>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</si>
  <si>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</si>
  <si>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</si>
  <si>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</si>
  <si>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</si>
  <si>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</si>
  <si>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</si>
  <si>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</si>
  <si>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</si>
  <si>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</si>
  <si>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</si>
  <si>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</si>
  <si>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</si>
  <si>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</si>
  <si>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</si>
  <si>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</si>
  <si>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</si>
  <si>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</si>
  <si>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</si>
  <si>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</si>
  <si>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</si>
  <si>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</si>
  <si>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</si>
  <si>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</si>
  <si>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</si>
  <si>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</si>
  <si>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</si>
  <si>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</si>
  <si>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</si>
  <si>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</si>
  <si>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</si>
  <si>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</si>
  <si>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</si>
  <si>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</si>
  <si>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</si>
  <si>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</si>
  <si>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</si>
  <si>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</si>
  <si>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</si>
  <si>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</si>
  <si>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</si>
  <si>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</si>
  <si>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</si>
  <si>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</si>
  <si>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</si>
  <si>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</si>
  <si>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</si>
  <si>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</si>
  <si>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</si>
  <si>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</si>
  <si>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</si>
  <si>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</si>
  <si>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</si>
  <si>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</si>
  <si>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</si>
  <si>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</si>
  <si>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</si>
  <si>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</si>
  <si>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</si>
  <si>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</si>
  <si>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</si>
  <si>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</si>
  <si>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</si>
  <si>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</si>
  <si>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</si>
  <si>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</si>
  <si>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</si>
  <si>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</si>
  <si>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</si>
  <si>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</si>
  <si>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</si>
  <si>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</si>
  <si>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</si>
  <si>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</si>
  <si>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</si>
  <si>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</si>
  <si>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</si>
  <si>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</si>
  <si>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</si>
  <si>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</si>
  <si>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</si>
  <si>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</si>
  <si>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</si>
  <si>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</si>
  <si>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</si>
  <si>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</si>
  <si>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</si>
  <si>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</si>
  <si>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</si>
  <si>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</si>
  <si>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</si>
  <si>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</si>
  <si>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</si>
  <si>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</si>
  <si>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</si>
  <si>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</si>
  <si>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</si>
  <si>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</si>
  <si>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</si>
  <si>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</si>
  <si>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</si>
  <si>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</si>
  <si>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</si>
  <si>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</si>
  <si>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</si>
  <si>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</si>
  <si>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</si>
  <si>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</si>
  <si>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</si>
  <si>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</si>
  <si>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</si>
  <si>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</si>
  <si>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</si>
  <si>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</si>
  <si>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</si>
  <si>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</si>
  <si>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</si>
  <si>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</si>
  <si>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</si>
  <si>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</si>
  <si>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</si>
  <si>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</si>
  <si>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</si>
  <si>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</si>
  <si>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</si>
  <si>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</si>
  <si>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</si>
  <si>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</si>
  <si>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</si>
  <si>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</si>
  <si>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</si>
  <si>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</si>
  <si>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</si>
  <si>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</si>
  <si>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</si>
  <si>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</si>
  <si>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</si>
  <si>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</si>
  <si>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</si>
  <si>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</si>
  <si>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</si>
  <si>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</si>
  <si>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</si>
  <si>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</si>
  <si>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</si>
  <si>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</si>
  <si>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</si>
  <si>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</si>
  <si>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</si>
  <si>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</si>
  <si>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</si>
  <si>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</si>
  <si>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</si>
  <si>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</si>
  <si>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</si>
  <si>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</si>
  <si>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</si>
  <si>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</si>
  <si>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</si>
  <si>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</si>
  <si>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</si>
  <si>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</si>
  <si>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</si>
  <si>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</si>
  <si>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</si>
  <si>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</si>
  <si>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</si>
  <si>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</si>
  <si>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</si>
  <si>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</si>
  <si>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</si>
  <si>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</si>
  <si>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</si>
  <si>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</si>
  <si>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</si>
  <si>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</si>
  <si>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</si>
  <si>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</si>
  <si>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</si>
  <si>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</si>
  <si>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</si>
  <si>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</si>
  <si>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</si>
  <si>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</si>
  <si>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</si>
  <si>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</si>
  <si>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</si>
  <si>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</si>
  <si>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</si>
  <si>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</si>
  <si>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</si>
  <si>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</si>
  <si>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</si>
  <si>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</si>
  <si>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</si>
  <si>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</si>
  <si>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</si>
  <si>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</si>
  <si>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</si>
  <si>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</si>
  <si>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</si>
  <si>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</si>
  <si>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</si>
  <si>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</si>
  <si>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</si>
  <si>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</si>
  <si>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</si>
  <si>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</si>
  <si>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</si>
  <si>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</si>
  <si>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</si>
  <si>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</si>
  <si>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</si>
  <si>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</si>
  <si>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</si>
  <si>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</si>
  <si>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</si>
  <si>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</si>
  <si>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</si>
  <si>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</si>
  <si>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</si>
  <si>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</si>
  <si>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</si>
  <si>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</si>
  <si>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</si>
  <si>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</si>
  <si>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</si>
  <si>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</si>
  <si>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</si>
  <si>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</si>
  <si>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</si>
  <si>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</si>
  <si>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</si>
  <si>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</si>
  <si>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</si>
  <si>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</si>
  <si>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</si>
  <si>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</si>
  <si>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</si>
  <si>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</si>
  <si>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</si>
  <si>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</si>
  <si>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</si>
  <si>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</si>
  <si>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</si>
  <si>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</si>
  <si>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</si>
  <si>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</si>
  <si>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</si>
  <si>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</si>
  <si>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</si>
  <si>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</si>
  <si>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</si>
  <si>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</si>
  <si>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</si>
  <si>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</si>
  <si>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</si>
  <si>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</si>
  <si>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</si>
  <si>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</si>
  <si>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</si>
  <si>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</si>
  <si>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</si>
  <si>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</si>
  <si>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</si>
  <si>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</si>
  <si>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</si>
  <si>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</si>
  <si>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</si>
  <si>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</si>
  <si>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</si>
  <si>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</si>
  <si>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</si>
  <si>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</si>
  <si>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</si>
  <si>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</si>
  <si>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</si>
  <si>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</si>
  <si>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</si>
  <si>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</si>
  <si>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</si>
  <si>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</si>
  <si>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</si>
  <si>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</si>
  <si>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</si>
  <si>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</si>
  <si>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</si>
  <si>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</si>
  <si>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</si>
  <si>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</si>
  <si>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</si>
  <si>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</si>
  <si>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</si>
  <si>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</si>
  <si>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</si>
  <si>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</si>
  <si>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</si>
  <si>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</si>
  <si>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</si>
  <si>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</si>
  <si>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</si>
  <si>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</si>
  <si>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</si>
  <si>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</si>
  <si>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</si>
  <si>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</si>
  <si>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</si>
  <si>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</si>
  <si>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</si>
  <si>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</si>
  <si>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</si>
  <si>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</si>
  <si>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</si>
  <si>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</si>
  <si>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</si>
  <si>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</si>
  <si>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</si>
  <si>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</si>
  <si>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</si>
  <si>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</si>
  <si>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</si>
  <si>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</si>
  <si>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</si>
  <si>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</si>
  <si>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</si>
  <si>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</si>
  <si>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</si>
  <si>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</si>
  <si>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</si>
  <si>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</si>
  <si>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</si>
  <si>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</si>
  <si>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</si>
  <si>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</si>
  <si>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</si>
  <si>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</si>
  <si>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</si>
  <si>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</si>
  <si>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</si>
  <si>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</si>
  <si>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</si>
  <si>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</si>
  <si>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</si>
  <si>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</si>
  <si>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</si>
  <si>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</si>
  <si>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</si>
  <si>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</si>
  <si>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</si>
  <si>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</si>
  <si>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</si>
  <si>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</si>
  <si>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</si>
  <si>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</si>
  <si>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</si>
  <si>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</si>
  <si>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</si>
  <si>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</si>
  <si>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</si>
  <si>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</si>
  <si>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</si>
  <si>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</si>
  <si>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</si>
  <si>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</si>
  <si>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</si>
  <si>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</si>
  <si>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</si>
  <si>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</si>
  <si>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</si>
  <si>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</si>
  <si>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</si>
  <si>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</si>
  <si>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</si>
  <si>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</si>
  <si>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</si>
  <si>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</si>
  <si>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</si>
  <si>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</si>
  <si>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</si>
  <si>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</si>
  <si>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</si>
  <si>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</si>
  <si>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</si>
  <si>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</si>
  <si>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</si>
  <si>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</si>
  <si>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</si>
  <si>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</si>
  <si>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</si>
  <si>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</si>
  <si>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</si>
  <si>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</si>
  <si>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</si>
  <si>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</si>
  <si>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</si>
  <si>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</si>
  <si>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</si>
  <si>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</si>
  <si>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</si>
  <si>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</si>
  <si>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</si>
  <si>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</si>
  <si>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</si>
  <si>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</si>
  <si>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</si>
  <si>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</si>
  <si>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</si>
  <si>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</si>
  <si>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</si>
  <si>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</si>
  <si>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</si>
  <si>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</si>
  <si>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</si>
  <si>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</si>
  <si>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</si>
  <si>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</si>
  <si>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</si>
  <si>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</si>
  <si>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</si>
  <si>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</si>
  <si>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</si>
  <si>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</si>
  <si>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</si>
  <si>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</si>
  <si>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</si>
  <si>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</si>
  <si>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</si>
  <si>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</si>
  <si>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</si>
  <si>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</si>
  <si>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</si>
  <si>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</si>
  <si>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</si>
  <si>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</si>
  <si>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</si>
  <si>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</si>
  <si>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</si>
  <si>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</si>
  <si>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</si>
  <si>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</si>
  <si>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</si>
  <si>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</si>
  <si>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</si>
  <si>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</si>
  <si>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</si>
  <si>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</si>
  <si>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</si>
  <si>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</si>
  <si>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</si>
  <si>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</si>
  <si>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</si>
  <si>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</si>
  <si>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</si>
  <si>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</si>
  <si>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</si>
  <si>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</si>
  <si>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</si>
  <si>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</si>
  <si>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</si>
  <si>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</si>
  <si>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</si>
  <si>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</si>
  <si>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</si>
  <si>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</si>
  <si>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</si>
  <si>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</si>
  <si>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</si>
  <si>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</si>
  <si>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</si>
  <si>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</si>
  <si>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</si>
  <si>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</si>
  <si>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</si>
  <si>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</si>
  <si>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</si>
  <si>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</si>
  <si>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</si>
  <si>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</si>
  <si>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</si>
  <si>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</si>
  <si>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</si>
  <si>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</si>
  <si>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</si>
  <si>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</si>
  <si>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</si>
  <si>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</si>
  <si>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</si>
  <si>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</si>
  <si>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</si>
  <si>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</si>
  <si>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</si>
  <si>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</si>
  <si>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</si>
  <si>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</si>
  <si>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</si>
  <si>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</si>
  <si>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</si>
  <si>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</si>
  <si>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</si>
  <si>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</si>
  <si>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</si>
  <si>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</si>
  <si>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</si>
  <si>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</si>
  <si>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</si>
  <si>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</si>
  <si>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</si>
  <si>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</si>
  <si>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</si>
  <si>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</si>
  <si>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</si>
  <si>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</si>
  <si>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</si>
  <si>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</si>
  <si>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</si>
  <si>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</si>
  <si>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</si>
  <si>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</si>
  <si>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</si>
  <si>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</si>
  <si>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</si>
  <si>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</si>
  <si>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</si>
  <si>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</si>
  <si>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</si>
  <si>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</si>
  <si>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</si>
  <si>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</si>
  <si>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</si>
  <si>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</si>
  <si>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</si>
  <si>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</si>
  <si>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</si>
  <si>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</si>
  <si>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</si>
  <si>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</si>
  <si>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</si>
  <si>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</si>
  <si>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</si>
  <si>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</si>
  <si>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</si>
  <si>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</si>
  <si>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</si>
  <si>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</si>
  <si>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</si>
  <si>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</si>
  <si>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</si>
  <si>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</si>
  <si>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</si>
  <si>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</si>
  <si>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</si>
  <si>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</si>
  <si>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</si>
  <si>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</si>
  <si>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</si>
  <si>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</si>
  <si>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</si>
  <si>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</si>
  <si>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</si>
  <si>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</si>
  <si>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</si>
  <si>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</si>
  <si>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</si>
  <si>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</si>
  <si>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</si>
  <si>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</si>
  <si>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</si>
  <si>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</si>
  <si>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</si>
  <si>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</si>
  <si>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</si>
  <si>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</si>
  <si>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</si>
  <si>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</si>
  <si>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</si>
  <si>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</si>
  <si>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</si>
  <si>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</si>
  <si>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</si>
  <si>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</si>
  <si>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</si>
  <si>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</si>
  <si>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</si>
  <si>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</si>
  <si>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</si>
  <si>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</si>
  <si>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</si>
  <si>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</si>
  <si>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</si>
  <si>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</si>
  <si>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</si>
  <si>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</si>
  <si>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</si>
  <si>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</si>
  <si>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</si>
  <si>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</si>
  <si>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</si>
  <si>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</si>
  <si>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</si>
  <si>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</si>
  <si>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</si>
  <si>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</si>
  <si>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</si>
  <si>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</si>
  <si>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</si>
  <si>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</si>
  <si>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</si>
  <si>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</si>
  <si>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</si>
  <si>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</si>
  <si>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</si>
  <si>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</si>
  <si>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</si>
  <si>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</si>
  <si>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</si>
  <si>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</si>
  <si>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</si>
  <si>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</si>
  <si>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</si>
  <si>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</si>
  <si>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</si>
  <si>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</si>
  <si>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</si>
  <si>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</si>
  <si>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</si>
  <si>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</si>
  <si>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</si>
  <si>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</si>
  <si>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</si>
  <si>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</si>
  <si>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</si>
  <si>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</si>
  <si>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</si>
  <si>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</si>
  <si>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</si>
  <si>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</si>
  <si>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</si>
  <si>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</si>
  <si>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</si>
  <si>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</si>
  <si>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</si>
  <si>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</si>
  <si>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</si>
  <si>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</si>
  <si>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</si>
  <si>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</si>
  <si>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</si>
  <si>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</si>
  <si>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</si>
  <si>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</si>
  <si>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</si>
  <si>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</si>
  <si>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</si>
  <si>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</si>
  <si>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</si>
  <si>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</si>
  <si>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</si>
  <si>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</si>
  <si>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</si>
  <si>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</si>
  <si>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</si>
  <si>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</si>
  <si>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</si>
  <si>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</si>
  <si>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</si>
  <si>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</si>
  <si>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</si>
  <si>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</si>
  <si>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</si>
  <si>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</si>
  <si>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</si>
  <si>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</si>
  <si>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</si>
  <si>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</si>
  <si>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</si>
  <si>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</si>
  <si>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</si>
  <si>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</si>
  <si>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</si>
  <si>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</si>
  <si>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</si>
  <si>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</si>
  <si>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</si>
  <si>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</si>
  <si>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</si>
  <si>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</si>
  <si>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</si>
  <si>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</si>
  <si>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</si>
  <si>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</si>
  <si>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</si>
  <si>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</si>
  <si>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</si>
  <si>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</si>
  <si>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</si>
  <si>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</si>
  <si>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</si>
  <si>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</si>
  <si>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</si>
  <si>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</si>
  <si>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</si>
  <si>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</si>
  <si>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</si>
  <si>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</si>
  <si>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</si>
  <si>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</si>
  <si>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</si>
  <si>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</si>
  <si>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</si>
  <si>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</si>
  <si>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</si>
  <si>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</si>
  <si>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</si>
  <si>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</si>
  <si>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</si>
  <si>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</si>
  <si>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</si>
  <si>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</si>
  <si>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</si>
  <si>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</si>
  <si>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</si>
  <si>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</si>
  <si>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</si>
  <si>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</si>
  <si>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</si>
  <si>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</si>
  <si>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</si>
  <si>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</si>
  <si>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</si>
  <si>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</si>
  <si>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</si>
  <si>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</si>
  <si>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140" type="noConversion"/>
  </si>
  <si>
    <t>出让</t>
  </si>
  <si>
    <t>抵押</t>
  </si>
  <si>
    <t>房地产抵押价值</t>
  </si>
  <si>
    <t>1#</t>
    <phoneticPr fontId="3" type="noConversion"/>
  </si>
  <si>
    <t>2#</t>
    <phoneticPr fontId="3" type="noConversion"/>
  </si>
  <si>
    <t>3#</t>
  </si>
  <si>
    <t>4#</t>
  </si>
  <si>
    <t>5#-1</t>
    <phoneticPr fontId="3" type="noConversion"/>
  </si>
  <si>
    <t>5#-2</t>
    <phoneticPr fontId="3" type="noConversion"/>
  </si>
  <si>
    <t>6#</t>
    <phoneticPr fontId="3" type="noConversion"/>
  </si>
  <si>
    <t>7#</t>
    <phoneticPr fontId="3" type="noConversion"/>
  </si>
  <si>
    <t>8#</t>
    <phoneticPr fontId="3" type="noConversion"/>
  </si>
  <si>
    <t>9#</t>
    <phoneticPr fontId="3" type="noConversion"/>
  </si>
  <si>
    <t>是</t>
  </si>
  <si>
    <t>地上</t>
  </si>
  <si>
    <t>成新度</t>
  </si>
  <si>
    <t>收益法</t>
  </si>
  <si>
    <t>利息：取LPR加浮动点数</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</si>
  <si>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</si>
  <si>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</si>
  <si>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</si>
  <si>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</si>
  <si>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</si>
  <si>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</si>
  <si>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</si>
  <si>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</si>
  <si>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</si>
  <si>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</si>
  <si>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</si>
  <si>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</si>
  <si>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</si>
  <si>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</si>
  <si>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</si>
  <si>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</si>
  <si>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</si>
  <si>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天津港保税区临港区域渤海四十路以东、渭河道以北</t>
  </si>
  <si>
    <t>天津市</t>
  </si>
  <si>
    <t>工业用地</t>
  </si>
  <si>
    <t>≥1.0</t>
  </si>
  <si>
    <t>挂牌</t>
  </si>
  <si>
    <t>2021-06-23</t>
  </si>
  <si>
    <t>天津北合生物科技有限公司</t>
  </si>
  <si>
    <t>0星</t>
  </si>
  <si>
    <t>天津滨海高新区渤龙湖科技园</t>
  </si>
  <si>
    <t>2021-06-02</t>
  </si>
  <si>
    <t>海泰(天津)智能制造有限公司</t>
  </si>
  <si>
    <t>中新天津生态城(原中心渔港区域内)</t>
  </si>
  <si>
    <t>＞1.0,≤2.0</t>
  </si>
  <si>
    <t>仓储用地</t>
  </si>
  <si>
    <t>2021-05-26</t>
  </si>
  <si>
    <t>嘉成泰(天津)商业有限公司</t>
  </si>
  <si>
    <t>嘉盛泰(天津)商业有限公司</t>
  </si>
  <si>
    <t>嘉信泰(天津)商业有限公司</t>
  </si>
  <si>
    <t>滨海新区中塘工业区</t>
  </si>
  <si>
    <t>≥0.7,≤1.2</t>
  </si>
  <si>
    <t>2021-05-19</t>
  </si>
  <si>
    <t>天津启泰机电设备有限公司</t>
  </si>
  <si>
    <t>≥0.7,≤1.5</t>
  </si>
  <si>
    <t>天津青航科技发展有限公司</t>
  </si>
  <si>
    <t>空港经济区纬二道以北</t>
  </si>
  <si>
    <t>住宅用地</t>
  </si>
  <si>
    <t>＞1.0,≤1.5</t>
  </si>
  <si>
    <t>城镇住宅用地</t>
  </si>
  <si>
    <t>第一批</t>
  </si>
  <si>
    <t>2021-05-14</t>
  </si>
  <si>
    <t>天津熙铭供应链服务有限公司</t>
  </si>
  <si>
    <t>4星</t>
  </si>
  <si>
    <t>滨海新区塘沽新城镇津益道以北</t>
  </si>
  <si>
    <t>综合用地(含住宅)</t>
  </si>
  <si>
    <t>＞1.0,≤1.6</t>
  </si>
  <si>
    <t>天津滨悦房地产开发有限公司</t>
  </si>
  <si>
    <t>2星</t>
  </si>
  <si>
    <t>渤龙湖科技园</t>
  </si>
  <si>
    <t>城镇住宅、商服</t>
  </si>
  <si>
    <t>天津泽信正和房地产开发有限公司</t>
  </si>
  <si>
    <t>空港经济区东八道以西</t>
  </si>
  <si>
    <t>大连同岳投资管理有限公司</t>
  </si>
  <si>
    <t>3星</t>
  </si>
  <si>
    <t>天津经开区商务片区迎达路以东</t>
  </si>
  <si>
    <t>住1、2＞1.0,≤2.9;住3、5＞1.0,≤2.0;住4＞1.0,≤2.3</t>
  </si>
  <si>
    <t>天津海晶万创房地产开发有限公司</t>
  </si>
  <si>
    <t>天津经开区西区新柏路以东,康慧街以南</t>
  </si>
  <si>
    <t>商业/办公用地</t>
  </si>
  <si>
    <t>≤3</t>
  </si>
  <si>
    <t>商业服务业设施用地</t>
  </si>
  <si>
    <t>2021-05-12</t>
  </si>
  <si>
    <t>康希诺生物股份公司</t>
  </si>
  <si>
    <t>天津港保税区临港区域汉江道以北</t>
  </si>
  <si>
    <t>零售商业用地-加油加气站用地</t>
  </si>
  <si>
    <t>2021-04-28</t>
  </si>
  <si>
    <t>中石化瑞达(天津)能源科技有限公司</t>
  </si>
  <si>
    <t>1星</t>
  </si>
  <si>
    <t>天津开发区现代产业园</t>
  </si>
  <si>
    <t>2021-04-14</t>
  </si>
  <si>
    <t>天津开发区慧谷投资发展有限公司</t>
  </si>
  <si>
    <t>海世盛通冷链物流(天津)有限公司</t>
  </si>
  <si>
    <t>天津空港经济区西十四道以南</t>
  </si>
  <si>
    <t>加油加气站用地</t>
  </si>
  <si>
    <t>中新天津生态城(原旅游区区域内)</t>
  </si>
  <si>
    <t>2021-03-31</t>
  </si>
  <si>
    <t>天津美腾科技股份有限公司</t>
  </si>
  <si>
    <t>天津开发区东区</t>
  </si>
  <si>
    <t>天津开发区三发中拓模塑科技有限公司</t>
  </si>
  <si>
    <t>天津开发区西区</t>
  </si>
  <si>
    <t>天津雀巢普瑞纳宠物食品有限公司</t>
  </si>
  <si>
    <t>天津开发区南港工业区</t>
  </si>
  <si>
    <t>≥0.5,≤1.0</t>
  </si>
  <si>
    <t>仓储</t>
  </si>
  <si>
    <t>中国石化集团商业储备有限公司天津分公司</t>
  </si>
  <si>
    <t>天津港南疆港区东六路以西</t>
  </si>
  <si>
    <t>其它用地</t>
  </si>
  <si>
    <t>≥0.01,≤1.5</t>
  </si>
  <si>
    <t>港口码头用地</t>
  </si>
  <si>
    <t>国家管网集团天津液化天然气有限公司</t>
  </si>
  <si>
    <t>天津港保税区空港经济区津北路以北</t>
  </si>
  <si>
    <t>2021-03-24</t>
  </si>
  <si>
    <t>海天集团(天津)投资发展有限公司</t>
  </si>
  <si>
    <t>17号住宅、17号商业、17号幼儿园</t>
  </si>
  <si>
    <t>住宅＞1.0,≤2.0;商业≤1.0;幼儿园≤0.7</t>
  </si>
  <si>
    <t>城镇住宅用地、商服用地、教育用地</t>
  </si>
  <si>
    <t>金新城置业集团有限公司</t>
  </si>
  <si>
    <t>5星</t>
  </si>
  <si>
    <t>2021-03-10</t>
  </si>
  <si>
    <t>慧捷项目管理(天津)有限公司</t>
  </si>
  <si>
    <t>天津港保税区临港区域渤海四十路与渭河道交口</t>
  </si>
  <si>
    <t>≥0.5,≤1.5</t>
  </si>
  <si>
    <t>天津滨海新区金正阳物流有限公司</t>
  </si>
  <si>
    <t>天津经开区西区南大街以北、冬旭路以西</t>
  </si>
  <si>
    <t>a、b、c、d地块:＞1.0,≤1.5;e≤1.0</t>
  </si>
  <si>
    <t>城镇住宅用地、商服用地</t>
  </si>
  <si>
    <t>天津兴睿房地产开发有限公司</t>
  </si>
  <si>
    <t>天津飞旋科技股份有限公司</t>
  </si>
  <si>
    <t>天津开发区现代产业区</t>
  </si>
  <si>
    <t>≥0.5,≤2.0</t>
  </si>
  <si>
    <t>多隆(天津)国际物流有限公司</t>
  </si>
  <si>
    <t>天津凯莱英制药有限公司</t>
  </si>
  <si>
    <t>天津港保税区海港区域海滨十一路以东</t>
  </si>
  <si>
    <t>2021-03-03</t>
  </si>
  <si>
    <t>天津奥顺华懋冷链物流有限公司</t>
  </si>
  <si>
    <t>东疆港区北京道以北,澳洲路以西</t>
  </si>
  <si>
    <t>≥0.01,≤0.6</t>
  </si>
  <si>
    <t>天津港东疆建设开发有限公司</t>
  </si>
  <si>
    <t>天津泽通产业园发展有限公司</t>
  </si>
  <si>
    <t>天津开发区一汽大众华北生产基地</t>
  </si>
  <si>
    <t>2021-02-24</t>
  </si>
  <si>
    <t>天津奕力汽车装饰有限公司</t>
  </si>
  <si>
    <t>2021-02-10</t>
  </si>
  <si>
    <t>天津亿金房地产开发有限公司</t>
  </si>
  <si>
    <t>滨海新区塘沽欣展道以北、嘉丰路以西</t>
  </si>
  <si>
    <t>交通服务场站用地(社会停车场)</t>
  </si>
  <si>
    <t>2021-02-07</t>
  </si>
  <si>
    <t>钟荣</t>
  </si>
  <si>
    <t>天津滨海高新区京津合作示范区</t>
  </si>
  <si>
    <t>≥1.0,≤1.5</t>
  </si>
  <si>
    <t>2021-01-27</t>
  </si>
  <si>
    <t>碧家顺厨科技(天津)有限公司</t>
  </si>
  <si>
    <t>天津滨海高新区华苑科技园</t>
  </si>
  <si>
    <t>≥1.0,≤1.7</t>
  </si>
  <si>
    <t>三角科技(天津)有限公司</t>
  </si>
  <si>
    <t>恒大恒驰新能源汽车(天津)有限公司</t>
  </si>
  <si>
    <t>天津港北疆港区</t>
  </si>
  <si>
    <t>≤1.0</t>
  </si>
  <si>
    <t>2021-01-20</t>
  </si>
  <si>
    <t>天津克运国际物流集团有限公司</t>
  </si>
  <si>
    <t>天津港保税区临港区域渤海十二北路以北</t>
  </si>
  <si>
    <t>≥0.6</t>
  </si>
  <si>
    <t>2021-01-13</t>
  </si>
  <si>
    <t>液化空气天津滨海有限公司</t>
  </si>
  <si>
    <t>0.5-2.0</t>
  </si>
  <si>
    <t>2021-01-06</t>
  </si>
  <si>
    <t>中国石化集团石油商业储备有限公司天津分公司</t>
  </si>
  <si>
    <t>滨海新区胡家园街</t>
  </si>
  <si>
    <t>a地块＞1.0且≤2.7;b地块＞1.0且≤2.2;c地块≤0.8</t>
  </si>
  <si>
    <t>A、B地块土地用途为城镇住宅用地;C地块土地用途为科教用地</t>
  </si>
  <si>
    <t>2020-12-30</t>
  </si>
  <si>
    <t>天津万鸿达房地产开发有限公司</t>
  </si>
  <si>
    <t>滨海新区中部新城北起步区金岸六道以南、银河一路以西</t>
  </si>
  <si>
    <t>＞1.0且≤1.6</t>
  </si>
  <si>
    <t>天津云璟房地产开发有限公司</t>
  </si>
  <si>
    <t>滨海新区南片区大港中塘镇工业东区安港三路以西、板厂路以北</t>
  </si>
  <si>
    <t>0.7-1.2</t>
  </si>
  <si>
    <t>天津快乐门业有限公司</t>
  </si>
  <si>
    <t>天津滨海高新区华苑科技园内</t>
  </si>
  <si>
    <t>＞1.0且≤2.5</t>
  </si>
  <si>
    <t>天津波汇光电技术有限公司</t>
  </si>
  <si>
    <t>天津开发区西区</t>
    <phoneticPr fontId="140" type="noConversion"/>
  </si>
  <si>
    <t>a地块＞1.0且≤2.0;b地块＞1.0且≤2.0;c地块≤0.9</t>
  </si>
  <si>
    <t>A、B地块土地用途为城镇住宅用地;C地块土地用途为教育用地</t>
  </si>
  <si>
    <t>天津滨海高新区渤龙湖科技园内</t>
  </si>
  <si>
    <t>中国兵器工业第五九研究所</t>
  </si>
  <si>
    <t>天津东疆保税港区澳洲北路和拉萨路交口东南侧</t>
  </si>
  <si>
    <t>0.01-2.00</t>
  </si>
  <si>
    <t>天津万疆冷链仓储有限公司</t>
  </si>
  <si>
    <t>滨海新区大港港东新城港东七道以南、海景四路以东</t>
  </si>
  <si>
    <t>＞1.0且≤1.1</t>
  </si>
  <si>
    <t>2020-12-23</t>
  </si>
  <si>
    <t>天津本泰房地产开发有限公司</t>
  </si>
  <si>
    <t>滨海新区南片区港东新城海景六路以东,港东五道以北</t>
  </si>
  <si>
    <t>天津金石融拓房地产开发有限公司</t>
  </si>
  <si>
    <t>滨海高新区海洋科技园内</t>
  </si>
  <si>
    <t>≤0.2</t>
  </si>
  <si>
    <t>天津滨海新区渤油石化产品有限公司</t>
  </si>
  <si>
    <t>滨海新区大港振兴路南侧、凯旋苑幼儿园西侧</t>
  </si>
  <si>
    <t>≤2.0</t>
  </si>
  <si>
    <t>商服用地</t>
  </si>
  <si>
    <t>天津港联华商贸有限公司</t>
  </si>
  <si>
    <t>天津港保税区空港经济区津北路以南</t>
  </si>
  <si>
    <t>德新仓储服务(天津)有限公司</t>
  </si>
  <si>
    <t>滨海新区中部新城南起步区永明道以北,中吉路以东</t>
  </si>
  <si>
    <t>≥1.0且≤1.3</t>
  </si>
  <si>
    <t>2020-12-16</t>
  </si>
  <si>
    <t>天津海景新都置业有限公司</t>
  </si>
  <si>
    <t>汉沽瑞通路以东</t>
  </si>
  <si>
    <t>0.7-*1.5</t>
  </si>
  <si>
    <t>天津德丰利胜环保科技有限公司</t>
  </si>
  <si>
    <t>滨海新区塘沽区域</t>
  </si>
  <si>
    <t>c＞1.0且≤2.0;d≤0.8</t>
  </si>
  <si>
    <t>A公园与绿地;B交通服务场站用地;C城镇住宅用地;D教育用地;E公园与绿地;F城镇村道路用地;G城镇村道路用地;H公园与绿地;I公园与绿地;J水域及水利设施用地;K水域及水利设施用地</t>
  </si>
  <si>
    <t>天津港城房地产经营有限公司</t>
  </si>
  <si>
    <t>滨海中关村科技园</t>
  </si>
  <si>
    <t>＞1.0且≤1.7</t>
  </si>
  <si>
    <t>2020-12-11</t>
  </si>
  <si>
    <t>天津滨海新区建投房地产开发有限公司</t>
  </si>
  <si>
    <t>天津港保税区空港经济区西十一道以南、中心大道以西</t>
  </si>
  <si>
    <t>≥1.3</t>
  </si>
  <si>
    <t>2020-12-09</t>
  </si>
  <si>
    <t>上海复地真金实业发展有限公司</t>
  </si>
  <si>
    <t>滨海高新区渤龙湖科技园</t>
  </si>
  <si>
    <t>＞1.0且≤1.5</t>
  </si>
  <si>
    <t>城镇住宅、商服用地</t>
  </si>
  <si>
    <t>天津博广置业有限公司</t>
  </si>
  <si>
    <t>≤2.5</t>
  </si>
  <si>
    <t>天津海明置业有限公司</t>
  </si>
  <si>
    <t>天津万锦溪房地产开发有限公司</t>
  </si>
  <si>
    <t>滨海高新区渤龙湖科技园内</t>
  </si>
  <si>
    <t>a≤0.8;b＞1.0且≤1.5</t>
  </si>
  <si>
    <t>A教育用地;B城镇住宅、商服用地</t>
  </si>
  <si>
    <t>天津港保税区海港区域海滨十五路以西</t>
  </si>
  <si>
    <t>1.0-1.2</t>
  </si>
  <si>
    <t>2020-12-02</t>
  </si>
  <si>
    <t>益海嘉里食品工业(天津)有限公司</t>
  </si>
  <si>
    <t>天津空港经济区纬一路以南、经四路以东</t>
  </si>
  <si>
    <t>a＞1.0且≤1.4;b＞1.0且≤1.3;c＞1.0且≤1.5;e≤1.0</t>
  </si>
  <si>
    <t>A城镇住宅用地;B城镇住宅用地;C城镇住宅用地;D公园与绿地;E教育用地;F城镇村道路用地;G城镇村道路用地</t>
  </si>
  <si>
    <t>天津港保税区临港区域渤海三十二路与黄河道交口</t>
  </si>
  <si>
    <t>≥0.7</t>
  </si>
  <si>
    <t>深蓝(天津)智能制造有限责任公司</t>
  </si>
  <si>
    <t>滨海高新区华苑科技园内</t>
  </si>
  <si>
    <t>a＞1.0且≤2.0;b≤2.0;c≤1.0;d≤1.5</t>
  </si>
  <si>
    <t>A城镇住宅用地;B商服用地;C教育用地;D医疗卫生用地</t>
  </si>
  <si>
    <t>天津瑞明商业管理有限公司</t>
  </si>
  <si>
    <t>天津港保税区空港经济区航天路以东</t>
  </si>
  <si>
    <t>1.5-2.5</t>
  </si>
  <si>
    <t>天津天保建设发展有限公司</t>
  </si>
  <si>
    <t>滨海新区中部新城南起步区中天路以东,世纪大道以南</t>
  </si>
  <si>
    <t>≤0.4</t>
  </si>
  <si>
    <t>零售商业用地(加油加气站用地)</t>
  </si>
  <si>
    <t>天津长芦海晶集团有限公司</t>
  </si>
  <si>
    <t>滨海新区大港石化产业园区凯旋街西,园区供热中心北侧</t>
  </si>
  <si>
    <t>1.0﹣1.2</t>
  </si>
  <si>
    <t>天津洁诚洗涤科技有限公司</t>
  </si>
  <si>
    <t>中新天津生态城南部片区</t>
  </si>
  <si>
    <t>＞1.0且≤1.11</t>
  </si>
  <si>
    <t>2020-10-28</t>
  </si>
  <si>
    <t>天津市远拓置业有限公司</t>
  </si>
  <si>
    <t>生态城中部片区</t>
  </si>
  <si>
    <t>≤2.8</t>
  </si>
  <si>
    <t>教育用地</t>
  </si>
  <si>
    <t>中新生态城不动产登记中心</t>
  </si>
  <si>
    <t>天津经济技术开发区中区</t>
  </si>
  <si>
    <t>泰杏供应链管理(天津)有限公司</t>
  </si>
  <si>
    <t>华源瑞杰智能包装(天津)有限公司</t>
  </si>
  <si>
    <t>≤3.2</t>
  </si>
  <si>
    <t>中新天津生态城</t>
  </si>
  <si>
    <t>≤5.4</t>
  </si>
  <si>
    <t>商服用地、城镇住宅用地</t>
  </si>
  <si>
    <t>2020-10-21</t>
  </si>
  <si>
    <t>天津生态城投资开发有限公司</t>
  </si>
  <si>
    <t>≤0.7</t>
  </si>
  <si>
    <t>教育用地(宜建内容为幼儿园)</t>
  </si>
  <si>
    <t>纳通医用防护器材(天津)有限公司</t>
  </si>
  <si>
    <t>＞1.0且≤1.2</t>
  </si>
  <si>
    <t>商服用地(宜建内容为社区中心)</t>
  </si>
  <si>
    <t>天津联东金淇实业有限公司</t>
  </si>
  <si>
    <t>≤0.8</t>
  </si>
  <si>
    <t>教育用地(宜建内容为小学)</t>
  </si>
  <si>
    <t>2020-10-14</t>
  </si>
  <si>
    <t>滨海新区开发区中区纺一路以东、济荣街以南</t>
  </si>
  <si>
    <t>≤1.7</t>
  </si>
  <si>
    <t>其他商服用地</t>
  </si>
  <si>
    <t>华电国际电力股份有限公司天津开发区分公司</t>
  </si>
  <si>
    <t>天津港保税区空港经济区经一路以西</t>
    <phoneticPr fontId="140" type="noConversion"/>
  </si>
  <si>
    <t>0.7-1.5</t>
  </si>
  <si>
    <t>2020-09-30</t>
  </si>
  <si>
    <t>天津悦鸣腾宇通用机械设备有限公司</t>
  </si>
  <si>
    <t>天津滨海高新区海洋科技园内</t>
  </si>
  <si>
    <t>天津市海洋高新技术开发有限公司</t>
  </si>
  <si>
    <t>天津港保税区空港经济区西五道以南</t>
  </si>
  <si>
    <t>天津津航计算技术研究所</t>
  </si>
  <si>
    <t>a地块＞1.0,≤2.0;b地块＞1.0,≤2.0</t>
  </si>
  <si>
    <t>2020-09-16</t>
  </si>
  <si>
    <t>天津生态城产业园发展有限公司</t>
  </si>
  <si>
    <t>0.6-1.0</t>
  </si>
  <si>
    <t>天津滨海新区恩碧涂料制造有限公司</t>
  </si>
  <si>
    <t>0.6-1.5</t>
  </si>
  <si>
    <t>新丽华(天津)涂料有限公司</t>
  </si>
  <si>
    <t>＞1.0且≤2.0</t>
  </si>
  <si>
    <t>2020-09-09</t>
  </si>
  <si>
    <t>中农批(天津)冷链物流有限公司</t>
  </si>
  <si>
    <t>丹娜(天津)生物科技股份有限公司</t>
  </si>
  <si>
    <t>滨海新区大港万欣街东侧、金源路北侧</t>
  </si>
  <si>
    <t>2020-09-02</t>
  </si>
  <si>
    <t>中石化北化院(天津)科技发展有限公司</t>
  </si>
  <si>
    <t>天津港保税区空港经济区纬五道以南</t>
  </si>
  <si>
    <t>0.7-2.0</t>
  </si>
  <si>
    <t>天津红美供应链科技有限公司</t>
  </si>
  <si>
    <t>天津红居供应链科技有限公司</t>
  </si>
  <si>
    <t>天津滨海高新区滨海科技园内</t>
  </si>
  <si>
    <t>≥1.0且≤2.5</t>
  </si>
  <si>
    <t>2020-08-19</t>
  </si>
  <si>
    <t>天津滨海环泰科技发展有限公司</t>
  </si>
  <si>
    <t>≥1.0且≤2.0</t>
  </si>
  <si>
    <t>2020-08-12</t>
  </si>
  <si>
    <t>金三冷链物流(天津)有限公司</t>
  </si>
  <si>
    <t>0.5-1.5</t>
  </si>
  <si>
    <t>中石化润滑油(天津)有限公司</t>
  </si>
  <si>
    <t>天津未来科技城京津合作示范区内</t>
  </si>
  <si>
    <t>≥1.0且≤1.5</t>
  </si>
  <si>
    <t>佳晟(天津)金属制品有限公司</t>
  </si>
  <si>
    <t>中新天津生态城北部片区</t>
  </si>
  <si>
    <t>107-02地块＞1.5;107-05地块＞1.5</t>
  </si>
  <si>
    <t>2020-07-22</t>
  </si>
  <si>
    <t>天津普丰仓储服务有限公司</t>
  </si>
  <si>
    <t>首创经中(天津)投资有限公司</t>
  </si>
  <si>
    <t>天津港南疆港区南航东路以南</t>
  </si>
  <si>
    <t>0.01-0.35</t>
  </si>
  <si>
    <t>2020-07-15</t>
  </si>
  <si>
    <t>中海油天津液化天然气有限责任公司</t>
  </si>
  <si>
    <t>2020-07-01</t>
  </si>
  <si>
    <t>天津空港经济区环河南路与航海路交口</t>
  </si>
  <si>
    <t>天津奥源骏康医疗器械(集团)有限公司</t>
  </si>
  <si>
    <t>＞0.7且≤1.5</t>
  </si>
  <si>
    <t>天津一汽丰田汽车有限公司新能源分公司</t>
  </si>
  <si>
    <t>天津空港经济区中环西路以南</t>
  </si>
  <si>
    <t>天津鑫隆空港科技有限公司</t>
  </si>
  <si>
    <t>2020-06-24</t>
  </si>
  <si>
    <t>天津盛华汽车零部件制造有限公司</t>
  </si>
  <si>
    <t>天津港保税区海港区域东方大道以南、海滨八路以西</t>
  </si>
  <si>
    <t>2020-06-10</t>
  </si>
  <si>
    <t>悦达北方实业发展(天津)有限公司</t>
  </si>
  <si>
    <t>天津空港经济区经五路以西</t>
  </si>
  <si>
    <t>滨海高新区滨海科技园内</t>
  </si>
  <si>
    <t>2020-05-27</t>
  </si>
  <si>
    <t>天津腾讯网络技术有限公司</t>
  </si>
  <si>
    <t>天津津荣天宇精密机械股份有限公司</t>
  </si>
  <si>
    <t>滨海高新区滨海科技园</t>
  </si>
  <si>
    <t>滨海高新区未来科技城内</t>
  </si>
  <si>
    <t>≥1.0且≤1.7</t>
  </si>
  <si>
    <t>2020-05-20</t>
  </si>
  <si>
    <t>天津旗滨节能玻璃有限公司</t>
  </si>
  <si>
    <t>2020-05-13</t>
  </si>
  <si>
    <t>天津太平洋传动科技有限公司</t>
  </si>
  <si>
    <t>天津开发区逸仙园工业区</t>
  </si>
  <si>
    <t>0.8-2.0</t>
  </si>
  <si>
    <t>金山云(天津)科技发展有限公司</t>
  </si>
  <si>
    <t>滨海新区南片区中塘镇</t>
  </si>
  <si>
    <t>2020-04-29</t>
  </si>
  <si>
    <t>天津蓝标密封科技有限公司</t>
  </si>
  <si>
    <t>2020-04-22</t>
  </si>
  <si>
    <t>天津新鲲鹏化工有限公司</t>
  </si>
  <si>
    <t>2020-04-21</t>
  </si>
  <si>
    <t>天津宏安科技服务有限公司</t>
  </si>
  <si>
    <t>1.0-1.5</t>
  </si>
  <si>
    <t>2020-04-20</t>
  </si>
  <si>
    <t>明治乳业(天津)有限公司</t>
  </si>
  <si>
    <t>2020-04-17</t>
  </si>
  <si>
    <t>一汽模具(天津)有限公司</t>
  </si>
  <si>
    <t>≥0.7且≤2.5</t>
  </si>
  <si>
    <t>2020-04-16</t>
  </si>
  <si>
    <t>天津鼎盛嘉泰投资有限公司</t>
  </si>
  <si>
    <t>2020-04-13</t>
  </si>
  <si>
    <t>天津一汽综合环保科技有限公司</t>
  </si>
  <si>
    <t>天津空港经济区经三路以西</t>
  </si>
  <si>
    <t>2020-04-10</t>
  </si>
  <si>
    <t>天津华鸿科技股份有限公司</t>
  </si>
  <si>
    <t>2020-03-06</t>
  </si>
  <si>
    <t>天津博众汽车部件有限公司</t>
  </si>
  <si>
    <t>2020-03-05</t>
  </si>
  <si>
    <t>天津市滨海新区领达汽车零部件有限公司</t>
  </si>
  <si>
    <t>2020-03-04</t>
  </si>
  <si>
    <t>华达汽车科技(天津)有限公司</t>
  </si>
  <si>
    <t>2020-03-03</t>
  </si>
  <si>
    <t>天津金洪智造机械有限公司</t>
  </si>
  <si>
    <t>天津未来科技城京津合作示范区</t>
  </si>
  <si>
    <t>2020-03-02</t>
  </si>
  <si>
    <t>天津昌田鼎乘科技有限公司</t>
  </si>
  <si>
    <t>天津空港经济区西八道以北、航天路以东</t>
  </si>
  <si>
    <t>2020-02-28</t>
  </si>
  <si>
    <t>天津哈娜好医疗器械有限公司</t>
  </si>
  <si>
    <t>天津空港经济区中环西路以西</t>
  </si>
  <si>
    <t>2020-02-27</t>
  </si>
  <si>
    <t>天津高木汽车配件有限公司</t>
  </si>
  <si>
    <t>2020-01-15</t>
  </si>
  <si>
    <t>天津三星电机有限公司</t>
  </si>
  <si>
    <t>2019-12-25</t>
  </si>
  <si>
    <t>天津昌立鼎乘科技有限公司</t>
  </si>
  <si>
    <t>天津开发区一汽-大众华北生产基地</t>
  </si>
  <si>
    <t>天津开发区一汽大众基地开发建设有限公司</t>
  </si>
  <si>
    <t>天津金牛新材料有限责任公司</t>
  </si>
  <si>
    <t>东疆港区非洲路与山西道交口西北侧</t>
  </si>
  <si>
    <t>0.01-0.8</t>
  </si>
  <si>
    <t>2019-12-11</t>
  </si>
  <si>
    <t>中机科(天津)汽车检测服务有限公司</t>
  </si>
  <si>
    <t>天津民熙物联网科技有限公司</t>
  </si>
  <si>
    <t>天津港保税区空港经济区经二路以东</t>
  </si>
  <si>
    <t>0.5-1.9</t>
  </si>
  <si>
    <t>2019-11-20</t>
  </si>
  <si>
    <t>天津中快供应链管理服务有限责任公司</t>
  </si>
  <si>
    <t>2019-10-30</t>
  </si>
  <si>
    <t>天津滨海新区立邦涂料有限公司</t>
  </si>
  <si>
    <t>天津开发区</t>
  </si>
  <si>
    <t>1.0-2.5</t>
  </si>
  <si>
    <t>2019-10-09</t>
  </si>
  <si>
    <t>天津泰达科技发展集团有限公司</t>
  </si>
  <si>
    <t>零氪科技(天津)有限公司</t>
  </si>
  <si>
    <t>≥1</t>
  </si>
  <si>
    <t>2019-09-04</t>
  </si>
  <si>
    <t>立联信(天津)电子元件有限公司</t>
  </si>
  <si>
    <t>滨海新区汉沽营城工业园区</t>
  </si>
  <si>
    <t>0.8-1.0</t>
  </si>
  <si>
    <t>天津市津华化工有限公司</t>
  </si>
  <si>
    <t>≥1且≤2.5</t>
  </si>
  <si>
    <t>中国电建市政建设集团有限公司</t>
  </si>
  <si>
    <t>天津空港经济区环河西路以东、西六道以北</t>
  </si>
  <si>
    <t>2019-08-28</t>
  </si>
  <si>
    <t>天津空港经济区经二路以东</t>
  </si>
  <si>
    <t>≥1且≤1.5</t>
  </si>
  <si>
    <t>2019-08-14</t>
  </si>
  <si>
    <t>天津旻兴建设开发有限公司</t>
  </si>
  <si>
    <t>东疆港区澳洲路以西,邯郸道以南</t>
  </si>
  <si>
    <t>0.01-2.32</t>
  </si>
  <si>
    <t>2019-08-07</t>
  </si>
  <si>
    <t>天津东疆港大冷链商品交易市场有限公司</t>
  </si>
  <si>
    <t>2019-07-17</t>
  </si>
  <si>
    <t>中海油(天津)油田化工有限公司</t>
  </si>
  <si>
    <t>2019-07-10</t>
  </si>
  <si>
    <t>天津川丰电气设备有限公司</t>
  </si>
  <si>
    <t>1.0-2.0</t>
  </si>
  <si>
    <t>2019-06-19</t>
  </si>
  <si>
    <t>2019-05-29</t>
  </si>
  <si>
    <t>天津中能锂业有限公司</t>
  </si>
  <si>
    <t>天津绿菱气体有限公司</t>
  </si>
  <si>
    <t>一汽物流(天津)有限公司</t>
  </si>
  <si>
    <t>天津港保税区航空物流区通年路以东、广泽道以北</t>
  </si>
  <si>
    <t>0.5-1.0</t>
  </si>
  <si>
    <t>2019-05-22</t>
  </si>
  <si>
    <t>天津宝能供应链管理有限公司</t>
  </si>
  <si>
    <t>天津港保税区临港区域</t>
  </si>
  <si>
    <t>天津博迈科海洋工程有限公司</t>
  </si>
  <si>
    <t>天津空港经济区纬六道以北、经五路以西</t>
  </si>
  <si>
    <t>天津海河乳品有限公司</t>
  </si>
  <si>
    <t>天津港保税区航空物流区通年路以东、广成道以北</t>
  </si>
  <si>
    <t>天津经济技术开发区中区(原轻纺经济区)</t>
  </si>
  <si>
    <t>2019-05-15</t>
  </si>
  <si>
    <t>天津市唯天涂料包装器材有限公司</t>
  </si>
  <si>
    <t>2019-05-08</t>
  </si>
  <si>
    <t>长春一汽富维汽车零部件股份有限公司</t>
  </si>
  <si>
    <t>拓西(天津)传动技术有限公司</t>
  </si>
  <si>
    <t>2019-04-10</t>
  </si>
  <si>
    <t>天津市金桥焊材科技有限公司</t>
  </si>
  <si>
    <t>2019-03-27</t>
  </si>
  <si>
    <t>天津市德立汽车部件有限公司</t>
  </si>
  <si>
    <t>天津浙创实业有限公司</t>
  </si>
  <si>
    <t>0.8-1.5</t>
  </si>
  <si>
    <t>华熙生物科技(天津)有限公司</t>
  </si>
  <si>
    <t>天津空港经济区津北路以南、规划环东干道五以东</t>
  </si>
  <si>
    <t>天津市兴农资产管理有限公司</t>
  </si>
  <si>
    <t>2019-02-27</t>
  </si>
  <si>
    <t>亚普汽车部件股份有限公司</t>
  </si>
  <si>
    <t>天津保税区航空物流区广良道以北、通年路以西</t>
  </si>
  <si>
    <t>天津中远海运航空货运代理有限公司</t>
  </si>
  <si>
    <t>2019-02-20</t>
  </si>
  <si>
    <t>天津市程田新能源股份有限公司</t>
  </si>
  <si>
    <t>2019-02-13</t>
  </si>
  <si>
    <t>天津华瑞汽车零部件有限公司</t>
  </si>
  <si>
    <t>天津东大化工集团有限公司</t>
  </si>
  <si>
    <t>大众一汽平台零部件有限公司天津分公司</t>
  </si>
  <si>
    <t>天津华翔汽车顶棚系统有限公司</t>
  </si>
  <si>
    <t>天津市滨海新区天津经济技术开发区中区(原轻纺经济区)</t>
  </si>
  <si>
    <t>2019-01-30</t>
  </si>
  <si>
    <t>玛氏箭牌(欧洲)糖类有限公司</t>
  </si>
  <si>
    <t>2019-01-23</t>
  </si>
  <si>
    <t>帕尔普线路器材有限公司</t>
  </si>
  <si>
    <t>2019-01-16</t>
  </si>
  <si>
    <t>天津市天宇塑料包装材料有限公司</t>
  </si>
  <si>
    <t>2018-12-26</t>
  </si>
  <si>
    <t>PPG涂料(天津)有限公司</t>
  </si>
  <si>
    <t>天津空港经济区</t>
  </si>
  <si>
    <t>2018-12-05</t>
  </si>
  <si>
    <t>瑞幸咖啡(天津)有限公司</t>
  </si>
  <si>
    <t>2018-11-28</t>
  </si>
  <si>
    <t>天津富晟汽车部件有限公司</t>
  </si>
  <si>
    <t>2018-11-21</t>
  </si>
  <si>
    <t>天津市坤地海科技发展有限公司</t>
  </si>
  <si>
    <t>天津国通利铖汽车科技有限公司</t>
  </si>
  <si>
    <t>2018-10-31</t>
  </si>
  <si>
    <t>爱丽思生活用品(天津)有限公司</t>
  </si>
  <si>
    <t>楼面地价</t>
  </si>
  <si>
    <t>未包含在土地购买价格中</t>
  </si>
  <si>
    <t>全部缴纳</t>
  </si>
  <si>
    <t>已包含在土地取得成本中</t>
  </si>
  <si>
    <t>成本法</t>
  </si>
  <si>
    <t>按租金收入计税</t>
  </si>
  <si>
    <t>钢混</t>
  </si>
  <si>
    <t>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</si>
</sst>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79" fillId="0" borderId="1" xfId="0" applyFont="1" applyBorder="1" applyAlignment="1" applyProtection="1">
      <alignment vertical="center" wrapText="1"/>
      <protection locked="0"/>
    </xf>
    <xf numFmtId="0" fontId="46" fillId="0" borderId="2" xfId="0" applyFont="1" applyBorder="1" applyAlignment="1" applyProtection="1">
      <alignment vertical="center" wrapText="1"/>
      <protection locked="0"/>
    </xf>
    <xf numFmtId="0" fontId="0" fillId="5" borderId="0" xfId="0" applyFill="1" applyAlignment="1"/>
    <xf numFmtId="0" fontId="0" fillId="5" borderId="0" xfId="0" applyFill="1">
      <alignment vertical="center"/>
    </xf>
    <xf numFmtId="0" fontId="0" fillId="13" borderId="0" xfId="0" applyFill="1" applyAlignment="1"/>
    <xf numFmtId="0" fontId="0" fillId="13" borderId="0" xfId="0" applyFill="1">
      <alignment vertical="center"/>
    </xf>
    <xf numFmtId="0" fontId="98" fillId="0" borderId="0" xfId="0" applyFont="1" applyFill="1" applyAlignment="1"/>
    <xf numFmtId="0" fontId="0" fillId="0" borderId="0" xfId="0" applyFill="1" applyAlignment="1"/>
    <xf numFmtId="0" fontId="0" fillId="0" borderId="0" xfId="0" applyFill="1">
      <alignment vertic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受贵公司委托，我公司对房地产抵押价值进行了预评估。</v>
      </c>
    </row>
    <row r="7" spans="1:2" s="1365" customFormat="1">
      <c r="A7" s="1363" t="s">
        <v>1231</v>
      </c>
      <c r="B7" s="1364" t="str">
        <f>'预评函-1'!A7</f>
        <v>估价对象为房地产，为所有。根据《国有土地使用证》[]，估价对象（分摊）出让国有建设用地使用权面积为60655.3平方米，建筑面积为32069.72平方米。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估价对象为房地产,属开发建设的，该项目尚在开发建设中。根据《国有土地使用证》[]，估价对象（分摊）出让国有建设用地使用权面积为60655.3平方米，规划建筑面积为32069.72平方米。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2021年6月24日（评估专业人员实地查勘之日）</v>
      </c>
    </row>
    <row r="13" spans="1:2" s="1365" customFormat="1">
      <c r="A13" s="1363" t="s">
        <v>1194</v>
      </c>
      <c r="B13" s="1364" t="str">
        <f>'预评函-1'!A18</f>
        <v>本次估价的“房地产价值”是指在正常市场情况下，在价值时点2021年6月24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t="e">
        <f ca="1">'预评函-2'!D5</f>
        <v>#REF!</v>
      </c>
    </row>
    <row r="21" spans="1:2" s="1365" customFormat="1">
      <c r="A21" s="1363" t="s">
        <v>1202</v>
      </c>
      <c r="B21" s="1364" t="e">
        <f ca="1">'预评函-2'!D7</f>
        <v>#REF!</v>
      </c>
    </row>
    <row r="22" spans="1:2" s="1365" customFormat="1">
      <c r="A22" s="1363" t="s">
        <v>1203</v>
      </c>
      <c r="B22" s="1364" t="e">
        <f ca="1">'预评函-2'!D6</f>
        <v>#REF!</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t="e">
        <f ca="1">'预评函-2'!D13</f>
        <v>#REF!</v>
      </c>
    </row>
    <row r="31" spans="1:2" s="1365" customFormat="1">
      <c r="A31" s="1363" t="s">
        <v>1241</v>
      </c>
      <c r="B31" s="1364" t="e">
        <f ca="1">'预评函-2'!D15</f>
        <v>#REF!</v>
      </c>
    </row>
    <row r="32" spans="1:2" s="1365" customFormat="1">
      <c r="A32" s="1363" t="s">
        <v>1208</v>
      </c>
      <c r="B32" s="1364" t="e">
        <f ca="1">'预评函-2'!D14</f>
        <v>#REF!</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房地产</v>
      </c>
    </row>
    <row r="42" spans="1:2" s="1365" customFormat="1">
      <c r="A42" s="1363" t="s">
        <v>1255</v>
      </c>
      <c r="B42" s="1364" t="str">
        <f>'预评函-3'!B2</f>
        <v>建筑面积</v>
      </c>
    </row>
    <row r="43" spans="1:2" s="1365" customFormat="1">
      <c r="A43" s="1363" t="s">
        <v>1256</v>
      </c>
      <c r="B43" s="1364">
        <f>'预评函-3'!B4</f>
        <v>32069.72</v>
      </c>
    </row>
    <row r="44" spans="1:2" s="1365" customFormat="1">
      <c r="A44" s="1363" t="s">
        <v>1240</v>
      </c>
      <c r="B44" s="1364" t="str">
        <f>'预评函-3'!C2</f>
        <v>(分摊)土地面积</v>
      </c>
    </row>
    <row r="45" spans="1:2" s="1365" customFormat="1">
      <c r="A45" s="1363" t="s">
        <v>1212</v>
      </c>
      <c r="B45" s="1364">
        <f>'预评函-3'!C4</f>
        <v>60655.3</v>
      </c>
    </row>
    <row r="46" spans="1:2" s="1365" customFormat="1">
      <c r="A46" s="1363" t="s">
        <v>1238</v>
      </c>
      <c r="B46" s="1364" t="str">
        <f>'预评函-3'!D2</f>
        <v>出让国有建设用地使用权价值</v>
      </c>
    </row>
    <row r="47" spans="1:2" s="1365" customFormat="1">
      <c r="A47" s="1363" t="s">
        <v>1213</v>
      </c>
      <c r="B47" s="1364" t="e">
        <f ca="1">'预评函-3'!D4</f>
        <v>#REF!</v>
      </c>
    </row>
    <row r="48" spans="1:2" s="1365" customFormat="1">
      <c r="A48" s="1363" t="s">
        <v>1214</v>
      </c>
      <c r="B48" s="1364" t="e">
        <f ca="1">'预评函-3'!E4</f>
        <v>#REF!</v>
      </c>
    </row>
    <row r="49" spans="1:2" s="1365" customFormat="1">
      <c r="A49" s="1363" t="s">
        <v>1215</v>
      </c>
      <c r="B49" s="1364" t="e">
        <f ca="1">'预评函-3'!D5</f>
        <v>#REF!</v>
      </c>
    </row>
    <row r="50" spans="1:2" s="1365" customFormat="1">
      <c r="A50" s="1363" t="s">
        <v>1239</v>
      </c>
      <c r="B50" s="1364" t="str">
        <f>'预评函-3'!F2</f>
        <v>在建建筑物价值</v>
      </c>
    </row>
    <row r="51" spans="1:2" s="1365" customFormat="1">
      <c r="A51" s="1363" t="s">
        <v>1216</v>
      </c>
      <c r="B51" s="1364" t="e">
        <f ca="1">'预评函-3'!F4</f>
        <v>#REF!</v>
      </c>
    </row>
    <row r="52" spans="1:2" s="1365" customFormat="1">
      <c r="A52" s="1363" t="s">
        <v>1217</v>
      </c>
      <c r="B52" s="1364" t="e">
        <f ca="1">'预评函-3'!G4</f>
        <v>#REF!</v>
      </c>
    </row>
    <row r="53" spans="1:2" s="1365" customFormat="1">
      <c r="A53" s="1363" t="s">
        <v>1245</v>
      </c>
      <c r="B53" s="1364" t="e">
        <f ca="1">'预评函-3'!F5</f>
        <v>#REF!</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02"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2"/>
      <c r="B54" s="1739" t="s">
        <v>832</v>
      </c>
      <c r="C54" s="1736" t="s">
        <v>1248</v>
      </c>
    </row>
    <row r="55" spans="1:4">
      <c r="A55" s="3102"/>
      <c r="B55" s="1739" t="s">
        <v>833</v>
      </c>
      <c r="C55" s="1736" t="s">
        <v>1249</v>
      </c>
    </row>
    <row r="56" spans="1:4">
      <c r="A56" s="3102"/>
      <c r="B56" s="1739" t="s">
        <v>834</v>
      </c>
      <c r="C56" s="1736" t="s">
        <v>1253</v>
      </c>
    </row>
    <row r="57" spans="1:4">
      <c r="A57" s="3102"/>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22" sqref="G22"/>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11" t="str">
        <f>IF(B10="北京市","北京市",C10)&amp;F10&amp;IF(结果表!G1="在建","出让国有建设用地使用权及在建建筑物",IF(结果表!G1="土地","出让国有建设用地使用权",))&amp;B9&amp;"预评估"</f>
        <v>房地产抵押价值预评估</v>
      </c>
      <c r="C1" s="3112"/>
      <c r="D1" s="3112"/>
      <c r="E1" s="3112"/>
      <c r="F1" s="3112"/>
      <c r="G1" s="3112"/>
      <c r="H1" s="3112"/>
      <c r="I1" s="3113"/>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房地产抵押价值</v>
      </c>
      <c r="T1" s="1931"/>
      <c r="U1" s="1931"/>
      <c r="V1" s="1931"/>
      <c r="W1" s="1931"/>
      <c r="X1" s="1931"/>
      <c r="Y1" s="1931"/>
      <c r="Z1" s="1931"/>
      <c r="AA1" s="1931"/>
      <c r="AB1" s="1931"/>
    </row>
    <row r="2" spans="1:28">
      <c r="A2" s="2591" t="s">
        <v>2915</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房地产</v>
      </c>
      <c r="T2" s="1931"/>
      <c r="U2" s="1931"/>
      <c r="V2" s="1931"/>
      <c r="W2" s="1931"/>
      <c r="X2" s="1931"/>
      <c r="Y2" s="1931"/>
      <c r="Z2" s="1931"/>
      <c r="AA2" s="1931"/>
      <c r="AB2" s="1931"/>
    </row>
    <row r="3" spans="1:28">
      <c r="A3" s="308" t="s">
        <v>2916</v>
      </c>
      <c r="B3" s="2597">
        <f>D3</f>
        <v>44371</v>
      </c>
      <c r="C3" s="2598" t="s">
        <v>2917</v>
      </c>
      <c r="D3" s="2597">
        <v>44371</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50" t="s">
        <v>2918</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1"/>
      <c r="P4" s="2594"/>
      <c r="Q4" s="2594"/>
      <c r="R4" s="2594"/>
      <c r="S4" s="1868"/>
      <c r="T4" s="1931"/>
      <c r="U4" s="1931"/>
      <c r="V4" s="1931"/>
      <c r="W4" s="1931"/>
      <c r="X4" s="1931"/>
      <c r="Y4" s="1931"/>
      <c r="Z4" s="1931"/>
      <c r="AA4" s="1931"/>
      <c r="AB4" s="1931"/>
    </row>
    <row r="5" spans="1:28" ht="13.5" thickTop="1">
      <c r="A5" s="2603" t="s">
        <v>2919</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2920</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2921</v>
      </c>
      <c r="B7" s="2611"/>
      <c r="C7" s="2609"/>
      <c r="D7" s="2610"/>
      <c r="E7" s="2889"/>
      <c r="F7" s="2891"/>
      <c r="G7" s="2891"/>
      <c r="H7" s="2891"/>
      <c r="I7" s="2891"/>
      <c r="J7" s="2665"/>
      <c r="K7" s="2842"/>
      <c r="L7" s="2839"/>
      <c r="M7" s="2839"/>
      <c r="N7" s="2665"/>
      <c r="O7" s="2676"/>
      <c r="P7" s="2665"/>
      <c r="Q7" s="2665"/>
      <c r="R7" s="2665"/>
    </row>
    <row r="8" spans="1:28">
      <c r="A8" s="2612" t="s">
        <v>2922</v>
      </c>
      <c r="B8" s="2613" t="s">
        <v>3064</v>
      </c>
      <c r="C8" s="2614"/>
      <c r="D8" s="3114" t="s">
        <v>2923</v>
      </c>
      <c r="E8" s="2615" t="s">
        <v>3065</v>
      </c>
      <c r="F8" s="2616"/>
      <c r="G8" s="2890"/>
      <c r="H8" s="2890"/>
      <c r="I8" s="2890"/>
      <c r="J8" s="2665"/>
      <c r="K8" s="2840"/>
      <c r="L8" s="2839"/>
      <c r="M8" s="2839"/>
      <c r="N8" s="2665"/>
      <c r="O8" s="2676"/>
      <c r="P8" s="2665"/>
      <c r="Q8" s="2665"/>
      <c r="R8" s="2665"/>
    </row>
    <row r="9" spans="1:28" ht="13.5" thickBot="1">
      <c r="A9" s="2617" t="s">
        <v>2924</v>
      </c>
      <c r="B9" s="2618" t="s">
        <v>3065</v>
      </c>
      <c r="C9" s="2619"/>
      <c r="D9" s="3115"/>
      <c r="E9" s="2618"/>
      <c r="F9" s="2620"/>
      <c r="G9" s="2892"/>
      <c r="H9" s="2892"/>
      <c r="I9" s="2892"/>
      <c r="J9" s="2665"/>
      <c r="K9" s="2842"/>
      <c r="L9" s="2839"/>
      <c r="M9" s="2839"/>
      <c r="N9" s="2665"/>
      <c r="O9" s="2676"/>
      <c r="P9" s="2665"/>
      <c r="Q9" s="2665"/>
      <c r="R9" s="2665"/>
    </row>
    <row r="10" spans="1:28" ht="13.5" thickTop="1">
      <c r="A10" s="2621" t="s">
        <v>2925</v>
      </c>
      <c r="B10" s="2622"/>
      <c r="C10" s="2623"/>
      <c r="D10" s="2606"/>
      <c r="E10" s="2624" t="s">
        <v>2926</v>
      </c>
      <c r="F10" s="2893"/>
      <c r="G10" s="2894"/>
      <c r="H10" s="2895"/>
      <c r="I10" s="2896"/>
      <c r="J10" s="2665"/>
      <c r="K10" s="2842"/>
      <c r="L10" s="2839"/>
      <c r="M10" s="2839"/>
      <c r="N10" s="2665"/>
      <c r="O10" s="2676"/>
      <c r="P10" s="2665"/>
      <c r="Q10" s="2665"/>
      <c r="R10" s="2665"/>
    </row>
    <row r="11" spans="1:28">
      <c r="A11" s="2625" t="s">
        <v>2927</v>
      </c>
      <c r="B11" s="2626"/>
      <c r="C11" s="2627"/>
      <c r="D11" s="2628"/>
      <c r="E11" s="2594"/>
      <c r="F11" s="2594"/>
      <c r="G11" s="2594"/>
      <c r="H11" s="2594"/>
      <c r="I11" s="2594"/>
      <c r="J11" s="2665"/>
      <c r="K11" s="2842"/>
      <c r="L11" s="2839"/>
      <c r="M11" s="2839"/>
      <c r="N11" s="2665"/>
      <c r="O11" s="2676"/>
      <c r="P11" s="2665"/>
      <c r="Q11" s="2665"/>
      <c r="R11" s="2665"/>
    </row>
    <row r="12" spans="1:28">
      <c r="A12" s="2629" t="s">
        <v>2928</v>
      </c>
      <c r="B12" s="2626" t="s">
        <v>3063</v>
      </c>
      <c r="C12" s="329" t="s">
        <v>2929</v>
      </c>
      <c r="D12" s="2630" t="s">
        <v>2930</v>
      </c>
      <c r="E12" s="2630" t="s">
        <v>2931</v>
      </c>
      <c r="F12" s="2630" t="s">
        <v>2932</v>
      </c>
      <c r="G12" s="2630" t="s">
        <v>2933</v>
      </c>
      <c r="H12" s="2630" t="s">
        <v>2934</v>
      </c>
      <c r="I12" s="2630" t="s">
        <v>2935</v>
      </c>
      <c r="J12" s="2665"/>
      <c r="K12" s="2842"/>
      <c r="L12" s="2839"/>
      <c r="M12" s="2839"/>
      <c r="N12" s="2665"/>
      <c r="O12" s="2676"/>
      <c r="P12" s="2665"/>
      <c r="Q12" s="2665"/>
      <c r="R12" s="2665"/>
    </row>
    <row r="13" spans="1:28">
      <c r="A13" s="1241"/>
      <c r="B13" s="2631"/>
      <c r="C13" s="2632" t="s">
        <v>2936</v>
      </c>
      <c r="D13" s="965"/>
      <c r="E13" s="965"/>
      <c r="F13" s="965"/>
      <c r="G13" s="965"/>
      <c r="H13" s="965"/>
      <c r="I13" s="965">
        <v>59300</v>
      </c>
      <c r="J13" s="2665"/>
      <c r="K13" s="2842"/>
      <c r="L13" s="2839"/>
      <c r="M13" s="2839"/>
      <c r="N13" s="2665"/>
      <c r="O13" s="2676"/>
      <c r="P13" s="2665"/>
      <c r="Q13" s="2665"/>
      <c r="R13" s="2665"/>
    </row>
    <row r="14" spans="1:28">
      <c r="A14" s="1241"/>
      <c r="B14" s="2631"/>
      <c r="C14" s="2632" t="s">
        <v>2937</v>
      </c>
      <c r="D14" s="2633"/>
      <c r="E14" s="2633"/>
      <c r="F14" s="2633"/>
      <c r="G14" s="2633"/>
      <c r="H14" s="2633"/>
      <c r="I14" s="2633">
        <v>50</v>
      </c>
      <c r="J14" s="2665"/>
      <c r="K14" s="2843"/>
      <c r="L14" s="2839"/>
      <c r="M14" s="2839"/>
      <c r="N14" s="2665"/>
      <c r="O14" s="2676"/>
      <c r="P14" s="2665"/>
      <c r="Q14" s="2665"/>
      <c r="R14" s="2665"/>
    </row>
    <row r="15" spans="1:28">
      <c r="A15" s="326"/>
      <c r="B15" s="2634"/>
      <c r="C15" s="2635" t="s">
        <v>2938</v>
      </c>
      <c r="D15" s="2636" t="str">
        <f>IF(B12="出让",IF(D13="","",ROUNDDOWN(MIN((D13-$D$3)/365,D14),2)),D14)</f>
        <v/>
      </c>
      <c r="E15" s="2636" t="str">
        <f>IF(B12="出让",IF(E13="","",ROUNDDOWN(MIN((E13-$D$3)/365,E14),2)),E14)</f>
        <v/>
      </c>
      <c r="F15" s="2636" t="str">
        <f>IF(B12="出让",IF(F13="","",ROUNDDOWN(MIN((F13-$D$3)/365,F14),2)),F14)</f>
        <v/>
      </c>
      <c r="G15" s="2636" t="str">
        <f>IF(B12="出让",IF(G13="","",ROUNDDOWN(MIN((G13-$D$3)/365,G14),2)),G14)</f>
        <v/>
      </c>
      <c r="H15" s="2636" t="str">
        <f>IF(B12="出让",IF(H13="","",ROUNDDOWN(MIN((H13-$D$3)/365,H14),2)),H14)</f>
        <v/>
      </c>
      <c r="I15" s="2636">
        <f>IF(B12="出让",IF(I13="","",ROUNDDOWN(MIN((I13-$D$3)/365,I14),2)),I14)</f>
        <v>40.9</v>
      </c>
      <c r="J15" s="2665"/>
      <c r="K15" s="2844"/>
      <c r="L15" s="2677"/>
      <c r="M15" s="2677"/>
      <c r="N15" s="2735"/>
      <c r="O15" s="2677"/>
      <c r="P15" s="2735"/>
      <c r="Q15" s="2665"/>
      <c r="R15" s="2665"/>
    </row>
    <row r="16" spans="1:28">
      <c r="A16" s="2624" t="s">
        <v>2939</v>
      </c>
      <c r="B16" s="3121"/>
      <c r="C16" s="3122"/>
      <c r="D16" s="3123"/>
      <c r="E16" s="2639" t="s">
        <v>2940</v>
      </c>
      <c r="F16" s="3124"/>
      <c r="G16" s="3125"/>
      <c r="H16" s="3125"/>
      <c r="I16" s="3126"/>
      <c r="J16" s="2665"/>
      <c r="K16" s="2844"/>
      <c r="L16" s="2677"/>
      <c r="M16" s="2677"/>
      <c r="N16" s="2735"/>
      <c r="O16" s="2677"/>
      <c r="P16" s="2735"/>
      <c r="Q16" s="2665"/>
      <c r="R16" s="2665"/>
    </row>
    <row r="17" spans="1:28">
      <c r="A17" s="319" t="s">
        <v>2941</v>
      </c>
      <c r="B17" s="308" t="s">
        <v>2942</v>
      </c>
      <c r="C17" s="11">
        <f>'数据-汇总表'!E3</f>
        <v>32069.72</v>
      </c>
      <c r="D17" s="2545" t="s">
        <v>2943</v>
      </c>
      <c r="E17" s="3127" t="s">
        <v>2944</v>
      </c>
      <c r="F17" s="3128"/>
      <c r="G17" s="3128"/>
      <c r="H17" s="3128"/>
      <c r="I17" s="3129"/>
      <c r="J17" s="2665"/>
      <c r="K17" s="2845"/>
      <c r="L17" s="2677"/>
      <c r="M17" s="2677"/>
      <c r="N17" s="2735"/>
      <c r="O17" s="2677"/>
      <c r="P17" s="2735"/>
      <c r="Q17" s="2665"/>
      <c r="R17" s="2665"/>
      <c r="S17" s="2665"/>
      <c r="T17" s="2665"/>
      <c r="U17" s="2665"/>
      <c r="V17" s="2665"/>
    </row>
    <row r="18" spans="1:28" ht="24.75" thickBot="1">
      <c r="A18" s="2640" t="s">
        <v>2945</v>
      </c>
      <c r="B18" s="1250" t="s">
        <v>2946</v>
      </c>
      <c r="C18" s="2641">
        <f>'数据-汇总表'!D3</f>
        <v>60655.3</v>
      </c>
      <c r="D18" s="1252" t="s">
        <v>2947</v>
      </c>
      <c r="E18" s="3130" t="s">
        <v>2948</v>
      </c>
      <c r="F18" s="3131"/>
      <c r="G18" s="3131"/>
      <c r="H18" s="3131"/>
      <c r="I18" s="3132"/>
      <c r="J18" s="2665"/>
      <c r="K18" s="2845"/>
      <c r="L18" s="2677"/>
      <c r="M18" s="2677"/>
      <c r="N18" s="2735"/>
      <c r="O18" s="2677"/>
      <c r="P18" s="2735"/>
      <c r="Q18" s="2665"/>
      <c r="R18" s="2665"/>
      <c r="S18" s="2665"/>
      <c r="T18" s="2665"/>
      <c r="U18" s="2665"/>
      <c r="V18" s="2665"/>
    </row>
    <row r="19" spans="1:28" ht="37.5" thickTop="1" thickBot="1">
      <c r="A19" s="333" t="s">
        <v>1741</v>
      </c>
      <c r="B19" s="313" t="s">
        <v>2949</v>
      </c>
      <c r="C19" s="1748"/>
      <c r="D19" s="1749" t="s">
        <v>2950</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2951</v>
      </c>
      <c r="B20" s="3117" t="s">
        <v>2952</v>
      </c>
      <c r="C20" s="3118"/>
      <c r="D20" s="3119" t="s">
        <v>2953</v>
      </c>
      <c r="E20" s="3120"/>
      <c r="F20" s="2874" t="s">
        <v>1742</v>
      </c>
      <c r="G20" s="2891"/>
      <c r="H20" s="2891"/>
      <c r="I20" s="2891"/>
      <c r="J20" s="2665"/>
      <c r="K20" s="3116"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2955</v>
      </c>
      <c r="C21" s="2861" t="s">
        <v>1743</v>
      </c>
      <c r="D21" s="1753" t="s">
        <v>2956</v>
      </c>
      <c r="E21" s="2862" t="s">
        <v>1743</v>
      </c>
      <c r="F21" s="2875"/>
      <c r="G21" s="2891"/>
      <c r="H21" s="2891"/>
      <c r="I21" s="2891"/>
      <c r="J21" s="2665"/>
      <c r="K21" s="311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2957</v>
      </c>
      <c r="C22" s="2861" t="s">
        <v>1744</v>
      </c>
      <c r="D22" s="2890"/>
      <c r="E22" s="2890"/>
      <c r="F22" s="2890"/>
      <c r="G22" s="2891"/>
      <c r="H22" s="2891"/>
      <c r="I22" s="2891"/>
      <c r="J22" s="2665"/>
      <c r="K22" s="311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2958</v>
      </c>
      <c r="B23" s="2728" t="s">
        <v>2959</v>
      </c>
      <c r="C23" s="2865"/>
      <c r="D23" s="2866" t="s">
        <v>2959</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04" t="s">
        <v>2960</v>
      </c>
      <c r="B27" s="326" t="s">
        <v>2961</v>
      </c>
      <c r="C27" s="2642"/>
      <c r="D27" s="2643"/>
      <c r="E27" s="2891"/>
      <c r="F27" s="2891"/>
      <c r="G27" s="2891"/>
      <c r="H27" s="2891"/>
      <c r="I27" s="2891"/>
      <c r="J27" s="2665"/>
      <c r="K27" s="2844"/>
      <c r="L27" s="2677"/>
      <c r="M27" s="2677"/>
      <c r="N27" s="2735"/>
      <c r="O27" s="2677"/>
      <c r="P27" s="2735"/>
      <c r="Q27" s="2665"/>
      <c r="R27" s="2665"/>
      <c r="S27" s="2665"/>
      <c r="T27" s="2665"/>
      <c r="U27" s="2665"/>
      <c r="V27" s="2665"/>
    </row>
    <row r="28" spans="1:28">
      <c r="A28" s="3104"/>
      <c r="B28" s="308" t="s">
        <v>2962</v>
      </c>
      <c r="C28" s="2644"/>
      <c r="D28" s="2645"/>
      <c r="E28" s="2891"/>
      <c r="F28" s="2891"/>
      <c r="G28" s="2891"/>
      <c r="H28" s="2891"/>
      <c r="I28" s="2891"/>
      <c r="J28" s="2665"/>
      <c r="K28" s="2842"/>
      <c r="L28" s="2839"/>
      <c r="M28" s="2839"/>
      <c r="N28" s="2665"/>
      <c r="O28" s="2676"/>
      <c r="P28" s="2665"/>
      <c r="Q28" s="2665"/>
      <c r="R28" s="2665"/>
      <c r="S28" s="2665"/>
      <c r="T28" s="2665"/>
      <c r="U28" s="2665"/>
      <c r="V28" s="2665"/>
    </row>
    <row r="29" spans="1:28">
      <c r="A29" s="3104"/>
      <c r="B29" s="308" t="s">
        <v>2963</v>
      </c>
      <c r="C29" s="2646"/>
      <c r="D29" s="2647"/>
      <c r="E29" s="2891"/>
      <c r="F29" s="2891"/>
      <c r="G29" s="2891"/>
      <c r="H29" s="2891"/>
      <c r="I29" s="2891"/>
      <c r="J29" s="2665"/>
      <c r="K29" s="2842"/>
      <c r="L29" s="2839"/>
      <c r="M29" s="2839"/>
      <c r="N29" s="2665"/>
      <c r="O29" s="2676"/>
      <c r="P29" s="2665"/>
      <c r="Q29" s="2665"/>
      <c r="R29" s="2665"/>
      <c r="S29" s="2665"/>
      <c r="T29" s="2665"/>
      <c r="U29" s="2665"/>
      <c r="V29" s="2665"/>
    </row>
    <row r="30" spans="1:28">
      <c r="A30" s="3105"/>
      <c r="B30" s="308" t="s">
        <v>2964</v>
      </c>
      <c r="C30" s="3106"/>
      <c r="D30" s="3107"/>
      <c r="E30" s="2891"/>
      <c r="F30" s="2891"/>
      <c r="G30" s="2891"/>
      <c r="H30" s="2891"/>
      <c r="I30" s="2891"/>
      <c r="J30" s="2665"/>
      <c r="K30" s="2842"/>
      <c r="L30" s="2839"/>
      <c r="M30" s="2839"/>
      <c r="N30" s="2665"/>
      <c r="O30" s="2676"/>
      <c r="P30" s="2665"/>
      <c r="Q30" s="2665"/>
      <c r="R30" s="2665"/>
      <c r="S30" s="2665"/>
      <c r="T30" s="2665"/>
      <c r="U30" s="2665"/>
      <c r="V30" s="2665"/>
    </row>
    <row r="31" spans="1:28">
      <c r="A31" s="3108" t="s">
        <v>2965</v>
      </c>
      <c r="B31" s="2648"/>
      <c r="C31" s="2546" t="str">
        <f>IF(B31="现房","成新及维护状况正常否",IF(B31="在建","工程状态是否正常",IF(B31="土地","是否闲置","-")))</f>
        <v>-</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109"/>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109"/>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8" t="s">
        <v>2966</v>
      </c>
      <c r="B34" s="2214"/>
      <c r="C34" s="2214"/>
      <c r="D34" s="2214"/>
      <c r="E34" s="2214"/>
      <c r="F34" s="2214"/>
      <c r="G34" s="2214"/>
      <c r="H34" s="2214"/>
      <c r="I34" s="2891"/>
      <c r="J34" s="2665"/>
      <c r="K34" s="2653">
        <f>COUNTIF(B34:H34,"——")</f>
        <v>0</v>
      </c>
      <c r="L34" s="329" t="s">
        <v>2967</v>
      </c>
      <c r="M34" s="329" t="s">
        <v>2968</v>
      </c>
      <c r="N34" s="329" t="s">
        <v>2969</v>
      </c>
      <c r="O34" s="329" t="s">
        <v>2970</v>
      </c>
      <c r="P34" s="329" t="s">
        <v>2971</v>
      </c>
      <c r="Q34" s="329" t="s">
        <v>2972</v>
      </c>
      <c r="R34" s="329" t="s">
        <v>2973</v>
      </c>
      <c r="S34" s="3103" t="s">
        <v>2974</v>
      </c>
      <c r="T34" s="2654" t="str">
        <f>NUMBERSTRING(7-K34,1)&amp;"通"</f>
        <v>七通</v>
      </c>
      <c r="U34" s="2665"/>
      <c r="V34" s="2665"/>
    </row>
    <row r="35" spans="1:30">
      <c r="A35" s="2655"/>
      <c r="B35" s="3110" t="s">
        <v>2975</v>
      </c>
      <c r="C35" s="3110"/>
      <c r="D35" s="3110"/>
      <c r="E35" s="3110"/>
      <c r="F35" s="673">
        <f>C10</f>
        <v>0</v>
      </c>
      <c r="G35" s="2891"/>
      <c r="H35" s="2891"/>
      <c r="I35" s="2891"/>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03"/>
      <c r="T35" s="335" t="str">
        <f>IF(T34="一通",L35,IF(T34="二通",M35,IF(T34="三通",N35,IF(T34="四通",O35,IF(T34="五通",P35,IF(T34="六通",Q35,R35))))))</f>
        <v>、、、、、、</v>
      </c>
      <c r="U35" s="2665"/>
      <c r="V35" s="2665"/>
    </row>
    <row r="36" spans="1:30">
      <c r="A36" s="2656"/>
      <c r="B36" s="673" t="s">
        <v>2931</v>
      </c>
      <c r="C36" s="673" t="s">
        <v>2932</v>
      </c>
      <c r="D36" s="673" t="s">
        <v>2930</v>
      </c>
      <c r="E36" s="673" t="s">
        <v>2935</v>
      </c>
      <c r="F36" s="2897"/>
      <c r="G36" s="2891"/>
      <c r="H36" s="2891"/>
      <c r="I36" s="2891"/>
      <c r="J36" s="2665"/>
      <c r="K36" s="2842"/>
      <c r="L36" s="2839"/>
      <c r="M36" s="2839"/>
      <c r="N36" s="2665"/>
      <c r="O36" s="2676"/>
      <c r="P36" s="2665"/>
      <c r="Q36" s="2665"/>
      <c r="R36" s="2665"/>
      <c r="S36" s="2665"/>
      <c r="T36" s="2665"/>
      <c r="U36" s="2665"/>
      <c r="V36" s="2665"/>
    </row>
    <row r="37" spans="1:30">
      <c r="A37" s="2857" t="s">
        <v>2976</v>
      </c>
      <c r="B37" s="2657"/>
      <c r="C37" s="2657"/>
      <c r="D37" s="2657"/>
      <c r="E37" s="2657"/>
      <c r="F37" s="2897"/>
      <c r="G37" s="2891"/>
      <c r="H37" s="2891"/>
      <c r="I37" s="2891"/>
      <c r="J37" s="2665"/>
      <c r="K37" s="2842"/>
      <c r="L37" s="2839"/>
      <c r="M37" s="2839"/>
      <c r="N37" s="2665"/>
      <c r="O37" s="2676"/>
      <c r="P37" s="2665"/>
      <c r="Q37" s="2665"/>
      <c r="R37" s="2665"/>
      <c r="S37" s="2665"/>
      <c r="T37" s="2665"/>
      <c r="U37" s="2665"/>
      <c r="V37" s="2665"/>
    </row>
    <row r="38" spans="1:30" ht="13.5" thickBot="1">
      <c r="A38" s="2858" t="s">
        <v>2977</v>
      </c>
      <c r="B38" s="2658"/>
      <c r="C38" s="2658"/>
      <c r="D38" s="2658"/>
      <c r="E38" s="2658"/>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2978</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2979</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9" t="s">
        <v>2980</v>
      </c>
      <c r="B42" s="11" t="s">
        <v>2981</v>
      </c>
      <c r="C42" s="11" t="s">
        <v>2982</v>
      </c>
      <c r="D42" s="11" t="s">
        <v>2983</v>
      </c>
      <c r="E42" s="11" t="s">
        <v>2984</v>
      </c>
      <c r="F42" s="11" t="s">
        <v>2985</v>
      </c>
      <c r="G42" s="11" t="s">
        <v>2986</v>
      </c>
      <c r="H42" s="11" t="s">
        <v>2987</v>
      </c>
      <c r="I42" s="11" t="s">
        <v>2988</v>
      </c>
      <c r="J42" s="2853" t="s">
        <v>2989</v>
      </c>
      <c r="K42" s="2854" t="s">
        <v>2990</v>
      </c>
      <c r="L42" s="2854" t="s">
        <v>2991</v>
      </c>
      <c r="M42" s="2854" t="s">
        <v>2992</v>
      </c>
      <c r="N42" s="2847" t="s">
        <v>2993</v>
      </c>
      <c r="O42" s="2847" t="s">
        <v>2994</v>
      </c>
      <c r="P42" s="2847" t="s">
        <v>2995</v>
      </c>
      <c r="Q42" s="2848" t="s">
        <v>2996</v>
      </c>
      <c r="R42" s="2848" t="s">
        <v>2997</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8" sqref="K18"/>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60655.3</v>
      </c>
      <c r="B3" s="14">
        <f>IF(C3="否",G5-AT5,G5)</f>
        <v>32069.72</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32069.72</v>
      </c>
      <c r="H5" s="16">
        <f t="shared" ref="H5:AT5" si="0">SUM(H13:H656)</f>
        <v>32069.72</v>
      </c>
      <c r="I5" s="16">
        <f t="shared" si="0"/>
        <v>20.72</v>
      </c>
      <c r="J5" s="16">
        <f t="shared" si="0"/>
        <v>0</v>
      </c>
      <c r="K5" s="16">
        <f t="shared" si="0"/>
        <v>14644.17</v>
      </c>
      <c r="L5" s="16">
        <f t="shared" si="0"/>
        <v>0</v>
      </c>
      <c r="M5" s="16">
        <f t="shared" si="0"/>
        <v>17404.830000000002</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32069.72</v>
      </c>
      <c r="BA5" s="18">
        <f t="shared" si="1"/>
        <v>32069.72</v>
      </c>
      <c r="BB5" s="18">
        <f t="shared" si="1"/>
        <v>20.72</v>
      </c>
      <c r="BC5" s="18">
        <f t="shared" si="1"/>
        <v>14644.17</v>
      </c>
      <c r="BD5" s="18">
        <f t="shared" si="1"/>
        <v>17404.830000000002</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60655.3</v>
      </c>
      <c r="F6" s="16" t="s">
        <v>1</v>
      </c>
      <c r="G6" s="16" t="s">
        <v>2</v>
      </c>
      <c r="H6" s="20">
        <f>SUMIF(I$12:AB$12,"总值",I6:AB6)</f>
        <v>60655.3</v>
      </c>
      <c r="I6" s="16">
        <f t="shared" ref="I6:AB6" si="2">ROUND($A$3*I5/$B$3,2)</f>
        <v>39.19</v>
      </c>
      <c r="J6" s="16">
        <f t="shared" si="2"/>
        <v>0</v>
      </c>
      <c r="K6" s="16">
        <f t="shared" si="2"/>
        <v>27697.360000000001</v>
      </c>
      <c r="L6" s="16">
        <f t="shared" si="2"/>
        <v>0</v>
      </c>
      <c r="M6" s="16">
        <f t="shared" si="2"/>
        <v>32918.75</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60655.3</v>
      </c>
      <c r="AZ6" s="16" t="s">
        <v>3</v>
      </c>
      <c r="BA6" s="16">
        <f>ROUND($AY$6*BA5/$AZ$5,2)</f>
        <v>60655.3</v>
      </c>
      <c r="BB6" s="16">
        <f>ROUND($AY$6*BB5/$AZ$5,2)</f>
        <v>39.19</v>
      </c>
      <c r="BC6" s="16">
        <f t="shared" ref="BC6:BH6" si="4">ROUND($AY$6*BC5/$AZ$5,2)</f>
        <v>27697.360000000001</v>
      </c>
      <c r="BD6" s="16">
        <f t="shared" si="4"/>
        <v>32918.75</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8" t="s">
        <v>1772</v>
      </c>
      <c r="AD8" s="1785"/>
      <c r="AE8" s="1777"/>
      <c r="AF8" s="1544"/>
      <c r="AG8" s="1544"/>
      <c r="AH8" s="1544"/>
      <c r="AI8" s="1544"/>
      <c r="AJ8" s="1544"/>
      <c r="AK8" s="1544"/>
      <c r="AL8" s="1544"/>
      <c r="AM8" s="1544"/>
      <c r="AN8" s="1544"/>
      <c r="AO8" s="1544"/>
      <c r="AP8" s="1544"/>
      <c r="AQ8" s="1544"/>
      <c r="AR8" s="1544"/>
      <c r="AS8" s="1544"/>
      <c r="AT8" s="1202" t="s">
        <v>1773</v>
      </c>
      <c r="AU8" s="1779" t="s">
        <v>1774</v>
      </c>
      <c r="AV8" s="1202"/>
      <c r="AW8" s="1762"/>
      <c r="AX8" s="1202"/>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1777</v>
      </c>
      <c r="I9" s="1788" t="s">
        <v>3077</v>
      </c>
      <c r="J9" s="918"/>
      <c r="K9" s="1788" t="s">
        <v>3077</v>
      </c>
      <c r="L9" s="918"/>
      <c r="M9" s="1788" t="s">
        <v>3077</v>
      </c>
      <c r="N9" s="918"/>
      <c r="O9" s="1788"/>
      <c r="P9" s="918"/>
      <c r="Q9" s="1788"/>
      <c r="R9" s="918"/>
      <c r="S9" s="1788"/>
      <c r="T9" s="918"/>
      <c r="U9" s="1788"/>
      <c r="V9" s="918"/>
      <c r="W9" s="1788"/>
      <c r="X9" s="1789"/>
      <c r="Y9" s="1788"/>
      <c r="Z9" s="918"/>
      <c r="AA9" s="1788"/>
      <c r="AB9" s="918"/>
      <c r="AC9" s="1780"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0"/>
      <c r="AT9" s="1779"/>
      <c r="AU9" s="1779" t="s">
        <v>1780</v>
      </c>
      <c r="AV9" s="1202"/>
      <c r="AW9" s="1762"/>
      <c r="AX9" s="1202"/>
      <c r="AY9" s="28"/>
      <c r="AZ9" s="28" t="s">
        <v>1770</v>
      </c>
      <c r="BA9" s="1791" t="s">
        <v>1781</v>
      </c>
      <c r="BB9" s="1792"/>
      <c r="BC9" s="1248"/>
      <c r="BD9" s="1248"/>
      <c r="BE9" s="1248"/>
      <c r="BF9" s="1248"/>
      <c r="BG9" s="1248"/>
      <c r="BH9" s="1248"/>
      <c r="BI9" s="1248"/>
      <c r="BJ9" s="1248"/>
      <c r="BK9" s="1793"/>
      <c r="BL9" s="15" t="s">
        <v>1782</v>
      </c>
      <c r="BM9" s="1544"/>
      <c r="BN9" s="1782"/>
      <c r="BO9" s="1544"/>
      <c r="BP9" s="1544"/>
      <c r="BQ9" s="1544"/>
      <c r="BR9" s="1544"/>
      <c r="BS9" s="1544"/>
      <c r="BT9" s="26"/>
    </row>
    <row r="10" spans="1:72" s="1786" customFormat="1" ht="12.75">
      <c r="A10" s="1779"/>
      <c r="B10" s="1779"/>
      <c r="C10" s="1779"/>
      <c r="D10" s="1779"/>
      <c r="E10" s="1779"/>
      <c r="F10" s="1779"/>
      <c r="G10" s="1202"/>
      <c r="H10" s="28"/>
      <c r="I10" s="1788" t="s">
        <v>6</v>
      </c>
      <c r="J10" s="918"/>
      <c r="K10" s="1794" t="s">
        <v>6</v>
      </c>
      <c r="L10" s="918"/>
      <c r="M10" s="1794" t="s">
        <v>6</v>
      </c>
      <c r="N10" s="918"/>
      <c r="O10" s="1794"/>
      <c r="P10" s="918"/>
      <c r="Q10" s="1794"/>
      <c r="R10" s="918"/>
      <c r="S10" s="1794"/>
      <c r="T10" s="918"/>
      <c r="U10" s="1794"/>
      <c r="V10" s="918"/>
      <c r="W10" s="1794"/>
      <c r="X10" s="918"/>
      <c r="Y10" s="1794"/>
      <c r="Z10" s="918"/>
      <c r="AA10" s="1794"/>
      <c r="AB10" s="918"/>
      <c r="AC10" s="1202"/>
      <c r="AD10" s="15" t="s">
        <v>1783</v>
      </c>
      <c r="AE10" s="1795"/>
      <c r="AF10" s="15" t="s">
        <v>1783</v>
      </c>
      <c r="AG10" s="1795"/>
      <c r="AH10" s="15" t="s">
        <v>1784</v>
      </c>
      <c r="AI10" s="1795"/>
      <c r="AJ10" s="15" t="s">
        <v>1784</v>
      </c>
      <c r="AK10" s="1795"/>
      <c r="AL10" s="15" t="s">
        <v>1785</v>
      </c>
      <c r="AM10" s="1208"/>
      <c r="AN10" s="15" t="s">
        <v>1785</v>
      </c>
      <c r="AO10" s="1208"/>
      <c r="AP10" s="15" t="s">
        <v>1786</v>
      </c>
      <c r="AQ10" s="1208"/>
      <c r="AR10" s="15" t="s">
        <v>1786</v>
      </c>
      <c r="AS10" s="1208"/>
      <c r="AT10" s="1779"/>
      <c r="AU10" s="1779"/>
      <c r="AV10" s="1202"/>
      <c r="AW10" s="1762"/>
      <c r="AX10" s="1202"/>
      <c r="AY10" s="28"/>
      <c r="AZ10" s="28"/>
      <c r="BA10" s="1796" t="s">
        <v>1777</v>
      </c>
      <c r="BB10" s="1797" t="str">
        <f>I9</f>
        <v>地上</v>
      </c>
      <c r="BC10" s="29" t="str">
        <f>K9</f>
        <v>地上</v>
      </c>
      <c r="BD10" s="29" t="str">
        <f>M9</f>
        <v>地上</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2"/>
      <c r="AW11" s="1762"/>
      <c r="AX11" s="1202"/>
      <c r="AY11" s="28"/>
      <c r="AZ11" s="28"/>
      <c r="BA11" s="28"/>
      <c r="BB11" s="1784" t="str">
        <f>I10</f>
        <v>工业</v>
      </c>
      <c r="BC11" s="1784" t="str">
        <f>K10</f>
        <v>工业</v>
      </c>
      <c r="BD11" s="1784" t="str">
        <f>M10</f>
        <v>工业</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3399" t="s">
        <v>3066</v>
      </c>
      <c r="D13" s="1810" t="s">
        <v>3076</v>
      </c>
      <c r="E13" s="16">
        <f>IF($C$3="是",ROUND($A$3*G13/$B$3,2),ROUND($A$3*(G13-AT13)/$B$3,2))</f>
        <v>39.19</v>
      </c>
      <c r="F13" s="32"/>
      <c r="G13" s="33">
        <f>H13+AC13+AT13</f>
        <v>20.72</v>
      </c>
      <c r="H13" s="20">
        <f>SUMIF(I$12:AB$12,"总值",I13:AB13)</f>
        <v>20.72</v>
      </c>
      <c r="I13" s="1811">
        <v>20.72</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t="str">
        <f t="shared" si="6"/>
        <v>1#</v>
      </c>
      <c r="AY13" s="1533">
        <f>ROUND($AY$6*AZ13/$AZ$5,2)</f>
        <v>39.19</v>
      </c>
      <c r="AZ13" s="16">
        <f>BA13+BL13</f>
        <v>20.72</v>
      </c>
      <c r="BA13" s="16">
        <f>SUM(BB13:BK13)</f>
        <v>20.72</v>
      </c>
      <c r="BB13" s="16">
        <f>IF($D13="是",I13-J13,0)</f>
        <v>20.72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3399" t="s">
        <v>3067</v>
      </c>
      <c r="D14" s="1810" t="s">
        <v>3076</v>
      </c>
      <c r="E14" s="16">
        <f>IF($C$3="是",ROUND($A$3*G14/$B$3,2),ROUND($A$3*(G14-AT14)/$B$3,2))</f>
        <v>82.9</v>
      </c>
      <c r="F14" s="32"/>
      <c r="G14" s="33">
        <f>H14+AC14+AT14</f>
        <v>43.83</v>
      </c>
      <c r="H14" s="20">
        <f>SUMIF(I$12:AB$12,"总值",I14:AB14)</f>
        <v>43.83</v>
      </c>
      <c r="I14" s="1811"/>
      <c r="J14" s="1811"/>
      <c r="K14" s="1811">
        <v>43.83</v>
      </c>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t="str">
        <f t="shared" si="6"/>
        <v>2#</v>
      </c>
      <c r="AY14" s="1533">
        <f>ROUND($AY$6*AZ14/$AZ$5,2)</f>
        <v>82.9</v>
      </c>
      <c r="AZ14" s="16">
        <f>BA14+BL14</f>
        <v>43.83</v>
      </c>
      <c r="BA14" s="16">
        <f>SUM(BB14:BK14)</f>
        <v>43.83</v>
      </c>
      <c r="BB14" s="16">
        <f>IF($D14="是",I14-J14,0)</f>
        <v>0</v>
      </c>
      <c r="BC14" s="16">
        <f>IF($D14="是",K14-L14,0)</f>
        <v>43.83</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3399" t="s">
        <v>3068</v>
      </c>
      <c r="D15" s="1810" t="s">
        <v>3076</v>
      </c>
      <c r="E15" s="16">
        <f>IF($C$3="是",ROUND($A$3*G15/$B$3,2),ROUND($A$3*(G15-AT15)/$B$3,2))</f>
        <v>19061.78</v>
      </c>
      <c r="F15" s="32"/>
      <c r="G15" s="33">
        <f>H15+AC15+AT15</f>
        <v>10078.36</v>
      </c>
      <c r="H15" s="20">
        <f>SUMIF(I$12:AB$12,"总值",I15:AB15)</f>
        <v>10078.36</v>
      </c>
      <c r="I15" s="1811"/>
      <c r="J15" s="1811"/>
      <c r="K15" s="1811"/>
      <c r="L15" s="1811"/>
      <c r="M15" s="1811">
        <v>10078.36</v>
      </c>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t="str">
        <f t="shared" si="6"/>
        <v>3#</v>
      </c>
      <c r="AY15" s="1533">
        <f>ROUND($AY$6*AZ15/$AZ$5,2)</f>
        <v>19061.78</v>
      </c>
      <c r="AZ15" s="16">
        <f>BA15+BL15</f>
        <v>10078.36</v>
      </c>
      <c r="BA15" s="16">
        <f>SUM(BB15:BK15)</f>
        <v>10078.36</v>
      </c>
      <c r="BB15" s="16">
        <f>IF($D15="是",I15-J15,0)</f>
        <v>0</v>
      </c>
      <c r="BC15" s="16">
        <f>IF($D15="是",K15-L15,0)</f>
        <v>0</v>
      </c>
      <c r="BD15" s="16">
        <f>IF($D15="是",M15-N15,0)</f>
        <v>10078.36</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3399" t="s">
        <v>3069</v>
      </c>
      <c r="D16" s="1810" t="s">
        <v>3076</v>
      </c>
      <c r="E16" s="16">
        <f>IF($C$3="是",ROUND($A$3*G16/$B$3,2),ROUND($A$3*(G16-AT16)/$B$3,2))</f>
        <v>7248.49</v>
      </c>
      <c r="F16" s="32"/>
      <c r="G16" s="33">
        <f>H16+AC16+AT16</f>
        <v>3832.43</v>
      </c>
      <c r="H16" s="20">
        <f>SUMIF(I$12:AB$12,"总值",I16:AB16)</f>
        <v>3832.43</v>
      </c>
      <c r="I16" s="1811"/>
      <c r="J16" s="1811"/>
      <c r="K16" s="1811"/>
      <c r="L16" s="1811"/>
      <c r="M16" s="1811">
        <v>3832.43</v>
      </c>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t="str">
        <f t="shared" si="6"/>
        <v>4#</v>
      </c>
      <c r="AY16" s="1533">
        <f>ROUND($AY$6*AZ16/$AZ$5,2)</f>
        <v>7248.49</v>
      </c>
      <c r="AZ16" s="16">
        <f>BA16+BL16</f>
        <v>3832.43</v>
      </c>
      <c r="BA16" s="16">
        <f>SUM(BB16:BK16)</f>
        <v>3832.43</v>
      </c>
      <c r="BB16" s="16">
        <f>IF($D16="是",I16-J16,0)</f>
        <v>0</v>
      </c>
      <c r="BC16" s="16">
        <f>IF($D16="是",K16-L16,0)</f>
        <v>0</v>
      </c>
      <c r="BD16" s="16">
        <f>IF($D16="是",M16-N16,0)</f>
        <v>3832.43</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3399" t="s">
        <v>3070</v>
      </c>
      <c r="D17" s="1810" t="s">
        <v>3076</v>
      </c>
      <c r="E17" s="16">
        <f>IF($C$3="是",ROUND($A$3*G17/$B$3,2),ROUND($A$3*(G17-AT17)/$B$3,2))</f>
        <v>1272.33</v>
      </c>
      <c r="F17" s="32"/>
      <c r="G17" s="33">
        <f>H17+AC17+AT17</f>
        <v>672.71</v>
      </c>
      <c r="H17" s="20">
        <f>SUMIF(I$12:AB$12,"总值",I17:AB17)</f>
        <v>672.71</v>
      </c>
      <c r="I17" s="1811"/>
      <c r="J17" s="1811"/>
      <c r="K17" s="1811">
        <v>672.71</v>
      </c>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t="str">
        <f t="shared" si="6"/>
        <v>5#-1</v>
      </c>
      <c r="AY17" s="1533">
        <f>ROUND($AY$6*AZ17/$AZ$5,2)</f>
        <v>1272.33</v>
      </c>
      <c r="AZ17" s="16">
        <f>BA17+BL17</f>
        <v>672.71</v>
      </c>
      <c r="BA17" s="16">
        <f>SUM(BB17:BK17)</f>
        <v>672.71</v>
      </c>
      <c r="BB17" s="16">
        <f>IF($D17="是",I17-J17,0)</f>
        <v>0</v>
      </c>
      <c r="BC17" s="16">
        <f>IF($D17="是",K17-L17,0)</f>
        <v>672.71</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399" t="s">
        <v>3071</v>
      </c>
      <c r="D18" s="1815" t="s">
        <v>3076</v>
      </c>
      <c r="E18" s="35">
        <f t="shared" ref="E18:E112" si="7">IF($C$3="是",ROUND($A$3*G18/$B$3,2),ROUND($A$3*(G18-AT18)/$B$3,2))</f>
        <v>6608.48</v>
      </c>
      <c r="F18" s="36"/>
      <c r="G18" s="37">
        <f t="shared" ref="G18:G109" si="8">H18+AC18+AT18</f>
        <v>3494.04</v>
      </c>
      <c r="H18" s="38">
        <f t="shared" ref="H18:H109" si="9">SUMIF(I$12:AB$12,"总值",I18:AB18)</f>
        <v>3494.04</v>
      </c>
      <c r="I18" s="39"/>
      <c r="J18" s="39"/>
      <c r="K18" s="39"/>
      <c r="L18" s="39"/>
      <c r="M18" s="39">
        <v>3494.04</v>
      </c>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t="str">
        <f t="shared" ref="AX18:AX112" si="13">C18</f>
        <v>5#-2</v>
      </c>
      <c r="AY18" s="42">
        <f t="shared" ref="AY18:AY109" si="14">ROUND($AY$6*AZ18/$AZ$5,2)</f>
        <v>6608.48</v>
      </c>
      <c r="AZ18" s="35">
        <f t="shared" ref="AZ18:AZ109" si="15">BA18+BL18</f>
        <v>3494.04</v>
      </c>
      <c r="BA18" s="35">
        <f t="shared" ref="BA18:BA109" si="16">SUM(BB18:BK18)</f>
        <v>3494.04</v>
      </c>
      <c r="BB18" s="35">
        <f t="shared" ref="BB18:BB109" si="17">IF($D18="是",I18-J18,0)</f>
        <v>0</v>
      </c>
      <c r="BC18" s="35">
        <f t="shared" ref="BC18:BC109" si="18">IF($D18="是",K18-L18,0)</f>
        <v>0</v>
      </c>
      <c r="BD18" s="35">
        <f t="shared" ref="BD18:BD109" si="19">IF($D18="是",M18-N18,0)</f>
        <v>3494.04</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399" t="s">
        <v>3072</v>
      </c>
      <c r="D19" s="1815" t="s">
        <v>3076</v>
      </c>
      <c r="E19" s="35">
        <f t="shared" si="7"/>
        <v>9063.7999999999993</v>
      </c>
      <c r="F19" s="36"/>
      <c r="G19" s="37">
        <f t="shared" si="8"/>
        <v>4792.22</v>
      </c>
      <c r="H19" s="38">
        <f t="shared" si="9"/>
        <v>4792.22</v>
      </c>
      <c r="I19" s="39"/>
      <c r="J19" s="39"/>
      <c r="K19" s="39">
        <v>4792.22</v>
      </c>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t="str">
        <f t="shared" si="13"/>
        <v>6#</v>
      </c>
      <c r="AY19" s="42">
        <f t="shared" si="14"/>
        <v>9063.7999999999993</v>
      </c>
      <c r="AZ19" s="35">
        <f t="shared" si="15"/>
        <v>4792.22</v>
      </c>
      <c r="BA19" s="35">
        <f t="shared" si="16"/>
        <v>4792.22</v>
      </c>
      <c r="BB19" s="35">
        <f t="shared" si="17"/>
        <v>0</v>
      </c>
      <c r="BC19" s="35">
        <f t="shared" si="18"/>
        <v>4792.22</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399" t="s">
        <v>3073</v>
      </c>
      <c r="D20" s="1815" t="s">
        <v>3076</v>
      </c>
      <c r="E20" s="35">
        <f t="shared" si="7"/>
        <v>6924.86</v>
      </c>
      <c r="F20" s="36"/>
      <c r="G20" s="37">
        <f t="shared" si="8"/>
        <v>3661.32</v>
      </c>
      <c r="H20" s="38">
        <f t="shared" si="9"/>
        <v>3661.32</v>
      </c>
      <c r="I20" s="39"/>
      <c r="J20" s="39"/>
      <c r="K20" s="39">
        <v>3661.32</v>
      </c>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t="str">
        <f t="shared" si="13"/>
        <v>7#</v>
      </c>
      <c r="AY20" s="42">
        <f t="shared" si="14"/>
        <v>6924.86</v>
      </c>
      <c r="AZ20" s="35">
        <f t="shared" si="15"/>
        <v>3661.32</v>
      </c>
      <c r="BA20" s="35">
        <f t="shared" si="16"/>
        <v>3661.32</v>
      </c>
      <c r="BB20" s="35">
        <f t="shared" si="17"/>
        <v>0</v>
      </c>
      <c r="BC20" s="35">
        <f t="shared" si="18"/>
        <v>3661.32</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399" t="s">
        <v>3074</v>
      </c>
      <c r="D21" s="1815" t="s">
        <v>3076</v>
      </c>
      <c r="E21" s="35">
        <f t="shared" si="7"/>
        <v>6135.7</v>
      </c>
      <c r="F21" s="36"/>
      <c r="G21" s="37">
        <f t="shared" si="8"/>
        <v>3244.07</v>
      </c>
      <c r="H21" s="38">
        <f t="shared" si="9"/>
        <v>3244.07</v>
      </c>
      <c r="I21" s="39"/>
      <c r="J21" s="39"/>
      <c r="K21" s="39">
        <v>3244.07</v>
      </c>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t="str">
        <f t="shared" si="13"/>
        <v>8#</v>
      </c>
      <c r="AY21" s="42">
        <f t="shared" si="14"/>
        <v>6135.7</v>
      </c>
      <c r="AZ21" s="35">
        <f t="shared" si="15"/>
        <v>3244.07</v>
      </c>
      <c r="BA21" s="35">
        <f t="shared" si="16"/>
        <v>3244.07</v>
      </c>
      <c r="BB21" s="35">
        <f t="shared" si="17"/>
        <v>0</v>
      </c>
      <c r="BC21" s="35">
        <f t="shared" si="18"/>
        <v>3244.07</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00" t="s">
        <v>3075</v>
      </c>
      <c r="D22" s="1815" t="s">
        <v>3076</v>
      </c>
      <c r="E22" s="35">
        <f t="shared" si="7"/>
        <v>4217.76</v>
      </c>
      <c r="F22" s="36"/>
      <c r="G22" s="37">
        <f t="shared" si="8"/>
        <v>2230.02</v>
      </c>
      <c r="H22" s="38">
        <f t="shared" si="9"/>
        <v>2230.02</v>
      </c>
      <c r="I22" s="39"/>
      <c r="J22" s="39"/>
      <c r="K22" s="39">
        <v>2230.02</v>
      </c>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t="str">
        <f t="shared" si="13"/>
        <v>9#</v>
      </c>
      <c r="AY22" s="42">
        <f t="shared" si="14"/>
        <v>4217.76</v>
      </c>
      <c r="AZ22" s="35">
        <f t="shared" si="15"/>
        <v>2230.02</v>
      </c>
      <c r="BA22" s="35">
        <f t="shared" si="16"/>
        <v>2230.02</v>
      </c>
      <c r="BB22" s="35">
        <f t="shared" si="17"/>
        <v>0</v>
      </c>
      <c r="BC22" s="35">
        <f t="shared" si="18"/>
        <v>2230.02</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3" t="s">
        <v>0</v>
      </c>
      <c r="B1" s="3133" t="s">
        <v>4</v>
      </c>
      <c r="C1" s="3133" t="s">
        <v>5</v>
      </c>
      <c r="D1" s="3134" t="s">
        <v>53</v>
      </c>
      <c r="E1" s="3134" t="s">
        <v>54</v>
      </c>
      <c r="F1" s="3134"/>
      <c r="G1" s="3134"/>
      <c r="H1" s="3134"/>
      <c r="I1" s="3134"/>
      <c r="J1" s="3134"/>
      <c r="K1" s="3134"/>
      <c r="L1" s="3134"/>
      <c r="M1" s="3134"/>
    </row>
    <row r="2" spans="1:13" ht="27" customHeight="1">
      <c r="A2" s="3133"/>
      <c r="B2" s="3133"/>
      <c r="C2" s="3133"/>
      <c r="D2" s="3134"/>
      <c r="E2" s="3134" t="s">
        <v>37</v>
      </c>
      <c r="F2" s="3134" t="s">
        <v>38</v>
      </c>
      <c r="G2" s="3134"/>
      <c r="H2" s="3134"/>
      <c r="I2" s="3134"/>
      <c r="J2" s="3134" t="s">
        <v>39</v>
      </c>
      <c r="K2" s="3134"/>
      <c r="L2" s="3134"/>
      <c r="M2" s="3134"/>
    </row>
    <row r="3" spans="1:13" ht="28.5">
      <c r="A3" s="3133"/>
      <c r="B3" s="3133"/>
      <c r="C3" s="3133"/>
      <c r="D3" s="3134"/>
      <c r="E3" s="313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4" t="s">
        <v>55</v>
      </c>
      <c r="B9" s="3134"/>
      <c r="C9" s="31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2" sqref="F42"/>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301"/>
      <c r="C1" s="1301"/>
      <c r="D1" s="1301"/>
      <c r="E1" s="1301"/>
      <c r="F1" s="1301"/>
      <c r="G1" s="1301"/>
      <c r="H1" s="1301"/>
      <c r="I1" s="1301"/>
      <c r="J1" s="1301"/>
      <c r="K1" s="1301"/>
      <c r="L1" s="1301"/>
      <c r="M1" s="1301"/>
      <c r="N1" s="1301"/>
      <c r="O1" s="1301"/>
      <c r="P1" s="1301"/>
    </row>
    <row r="2" spans="1:16" ht="15">
      <c r="A2" s="3144" t="s">
        <v>1817</v>
      </c>
      <c r="B2" s="3144"/>
      <c r="C2" s="3144"/>
      <c r="D2" s="904" t="s">
        <v>1793</v>
      </c>
      <c r="E2" s="1824" t="s">
        <v>1794</v>
      </c>
      <c r="F2" s="2886"/>
      <c r="G2" s="2877"/>
      <c r="H2" s="2878"/>
      <c r="I2" s="2548" t="s">
        <v>1818</v>
      </c>
      <c r="J2" s="2886"/>
      <c r="K2" s="2886"/>
      <c r="L2" s="2886"/>
      <c r="M2" s="2886"/>
      <c r="N2" s="2888"/>
      <c r="O2" s="2886"/>
      <c r="P2" s="2886"/>
    </row>
    <row r="3" spans="1:16" ht="15.75" thickBot="1">
      <c r="A3" s="3145" t="s">
        <v>1791</v>
      </c>
      <c r="B3" s="3145"/>
      <c r="C3" s="3145"/>
      <c r="D3" s="46">
        <f>'数据-基础表'!AY6</f>
        <v>60655.3</v>
      </c>
      <c r="E3" s="46">
        <f>'数据-基础表'!AZ5</f>
        <v>32069.72</v>
      </c>
      <c r="F3" s="2886"/>
      <c r="G3" s="1307"/>
      <c r="H3" s="1157" t="s">
        <v>1792</v>
      </c>
      <c r="I3" s="964">
        <f>ROUND('数据-基础表'!B3/'数据-基础表'!A3,2)</f>
        <v>0.53</v>
      </c>
      <c r="J3" s="2886"/>
      <c r="K3" s="2886"/>
      <c r="L3" s="2886"/>
      <c r="M3" s="2886"/>
      <c r="N3" s="2888"/>
      <c r="O3" s="2886"/>
      <c r="P3" s="2886"/>
    </row>
    <row r="4" spans="1:16" ht="15">
      <c r="A4" s="3146"/>
      <c r="B4" s="3147"/>
      <c r="C4" s="3148"/>
      <c r="D4" s="1826" t="s">
        <v>1793</v>
      </c>
      <c r="E4" s="1827" t="s">
        <v>1794</v>
      </c>
      <c r="F4" s="2886"/>
      <c r="G4" s="2879" t="s">
        <v>1819</v>
      </c>
      <c r="H4" s="1157" t="s">
        <v>1799</v>
      </c>
      <c r="I4" s="964">
        <f>ROUND(SUMIF('数据-基础表'!I9:AS9,"地上",'数据-基础表'!I5:AS5)/'数据-基础表'!A3,2)</f>
        <v>0.53</v>
      </c>
      <c r="J4" s="2886"/>
      <c r="K4" s="2886"/>
      <c r="L4" s="2886"/>
      <c r="M4" s="2886"/>
      <c r="N4" s="2888"/>
      <c r="O4" s="2886"/>
      <c r="P4" s="2886"/>
    </row>
    <row r="5" spans="1:16">
      <c r="A5" s="47" t="s">
        <v>1795</v>
      </c>
      <c r="B5" s="3149" t="s">
        <v>1796</v>
      </c>
      <c r="C5" s="3149"/>
      <c r="D5" s="48">
        <f>ROUND($D$3*E5/$E$3,2)</f>
        <v>0</v>
      </c>
      <c r="E5" s="49">
        <f>SUMIF('数据-基础表'!$11:$11,"住宅",'数据-基础表'!$5:$5)</f>
        <v>0</v>
      </c>
      <c r="F5" s="2886"/>
      <c r="G5" s="1307"/>
      <c r="H5" s="1157" t="s">
        <v>1792</v>
      </c>
      <c r="I5" s="964">
        <f>ROUND(E31/D31,2)</f>
        <v>0.53</v>
      </c>
      <c r="J5" s="2886"/>
      <c r="K5" s="2886"/>
      <c r="L5" s="2886"/>
      <c r="M5" s="2886"/>
      <c r="N5" s="2886"/>
      <c r="O5" s="2886"/>
      <c r="P5" s="2886"/>
    </row>
    <row r="6" spans="1:16" ht="15" thickBot="1">
      <c r="A6" s="1829"/>
      <c r="B6" s="3149" t="s">
        <v>1797</v>
      </c>
      <c r="C6" s="3149"/>
      <c r="D6" s="48">
        <f>ROUND($D$3*E6/$E$3,2)</f>
        <v>60655.3</v>
      </c>
      <c r="E6" s="49">
        <f>E3-E5</f>
        <v>32069.72</v>
      </c>
      <c r="F6" s="2886"/>
      <c r="G6" s="2880" t="s">
        <v>1798</v>
      </c>
      <c r="H6" s="1308" t="s">
        <v>1799</v>
      </c>
      <c r="I6" s="2881">
        <f>ROUND(F31/D31,2)</f>
        <v>0.53</v>
      </c>
      <c r="J6" s="2886"/>
      <c r="K6" s="2886"/>
      <c r="L6" s="2886"/>
      <c r="M6" s="2886"/>
      <c r="N6" s="2886"/>
      <c r="O6" s="2886"/>
      <c r="P6" s="2886"/>
    </row>
    <row r="7" spans="1:16" ht="15.75" thickBot="1">
      <c r="A7" s="3141"/>
      <c r="B7" s="3142"/>
      <c r="C7" s="3143"/>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60655.3</v>
      </c>
      <c r="E8" s="51">
        <f>SUMIF('数据-基础表'!BB10:BK10,"地上",'数据-基础表'!BB5:BK5)</f>
        <v>32069.72</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0</v>
      </c>
      <c r="E10" s="51">
        <f>SUMPRODUCT(('数据-基础表'!BB10:BK10="地下")*('数据-基础表'!BB11:BK11="商业")*('数据-基础表'!BB5:BK5))</f>
        <v>0</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60655.3</v>
      </c>
      <c r="E16" s="53">
        <f>SUM(E8:E15)</f>
        <v>32069.72</v>
      </c>
      <c r="F16" s="2886"/>
      <c r="G16" s="2887"/>
      <c r="H16" s="1833" t="s">
        <v>1821</v>
      </c>
      <c r="I16" s="1834"/>
      <c r="J16" s="1301"/>
      <c r="K16" s="3138" t="s">
        <v>1821</v>
      </c>
      <c r="L16" s="3139"/>
      <c r="M16" s="3139"/>
      <c r="N16" s="3139"/>
      <c r="O16" s="3139"/>
      <c r="P16" s="3140"/>
    </row>
    <row r="17" spans="1:19" ht="15">
      <c r="A17" s="1835" t="s">
        <v>1822</v>
      </c>
      <c r="B17" s="1836" t="s">
        <v>1823</v>
      </c>
      <c r="C17" s="1837" t="s">
        <v>1824</v>
      </c>
      <c r="D17" s="1838" t="s">
        <v>1812</v>
      </c>
      <c r="E17" s="1839" t="s">
        <v>1813</v>
      </c>
      <c r="F17" s="1840"/>
      <c r="G17" s="1841"/>
      <c r="H17" s="1842" t="s">
        <v>1825</v>
      </c>
      <c r="I17" s="1843" t="s">
        <v>1810</v>
      </c>
      <c r="J17" s="1301"/>
      <c r="K17" s="3135" t="s">
        <v>1826</v>
      </c>
      <c r="L17" s="3136"/>
      <c r="M17" s="3137"/>
      <c r="N17" s="3135" t="s">
        <v>1827</v>
      </c>
      <c r="O17" s="3136"/>
      <c r="P17" s="3137"/>
      <c r="R17" s="1825" t="s">
        <v>1828</v>
      </c>
      <c r="S17" s="60"/>
    </row>
    <row r="18" spans="1:19" ht="15">
      <c r="A18" s="1831"/>
      <c r="B18" s="1844"/>
      <c r="C18" s="1845"/>
      <c r="D18" s="1846"/>
      <c r="E18" s="1847" t="s">
        <v>1829</v>
      </c>
      <c r="F18" s="1848" t="s">
        <v>1830</v>
      </c>
      <c r="G18" s="1849" t="s">
        <v>1831</v>
      </c>
      <c r="H18" s="1172" t="s">
        <v>1832</v>
      </c>
      <c r="I18" s="1850" t="s">
        <v>1833</v>
      </c>
      <c r="J18" s="1301"/>
      <c r="K18" s="1172" t="s">
        <v>1834</v>
      </c>
      <c r="L18" s="1851" t="s">
        <v>1835</v>
      </c>
      <c r="M18" s="964" t="s">
        <v>1836</v>
      </c>
      <c r="N18" s="1172" t="s">
        <v>1834</v>
      </c>
      <c r="O18" s="1851" t="s">
        <v>1835</v>
      </c>
      <c r="P18" s="964" t="s">
        <v>1836</v>
      </c>
      <c r="R18" s="1157" t="s">
        <v>1837</v>
      </c>
      <c r="S18" s="1157" t="s">
        <v>1838</v>
      </c>
    </row>
    <row r="19" spans="1:19">
      <c r="A19" s="1852"/>
      <c r="B19" s="50" t="s">
        <v>1811</v>
      </c>
      <c r="C19" s="1853" t="s">
        <v>6</v>
      </c>
      <c r="D19" s="48">
        <f>ROUND($D$3*E19/$E$3,2)</f>
        <v>60655.3</v>
      </c>
      <c r="E19" s="56">
        <f t="shared" ref="E19:E26" si="1">SUM(F19:G19)</f>
        <v>32069.72</v>
      </c>
      <c r="F19" s="3026">
        <f>'数据-基础表'!B3</f>
        <v>32069.72</v>
      </c>
      <c r="G19" s="3027"/>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60655.3</v>
      </c>
      <c r="S19" s="1158">
        <f t="shared" si="5"/>
        <v>32069.72</v>
      </c>
    </row>
    <row r="20" spans="1:19">
      <c r="A20" s="1856"/>
      <c r="B20" s="50" t="s">
        <v>1839</v>
      </c>
      <c r="C20" s="1853"/>
      <c r="D20" s="48">
        <f t="shared" ref="D20:D26" si="6">ROUND($D$3*E20/$E$3,2)</f>
        <v>0</v>
      </c>
      <c r="E20" s="56">
        <f t="shared" si="1"/>
        <v>0</v>
      </c>
      <c r="F20" s="3026"/>
      <c r="G20" s="3027"/>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1839</v>
      </c>
      <c r="C21" s="1853"/>
      <c r="D21" s="48">
        <f t="shared" si="6"/>
        <v>0</v>
      </c>
      <c r="E21" s="56">
        <f t="shared" si="1"/>
        <v>0</v>
      </c>
      <c r="F21" s="3026"/>
      <c r="G21" s="3027"/>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1839</v>
      </c>
      <c r="C22" s="58"/>
      <c r="D22" s="48">
        <f t="shared" si="6"/>
        <v>0</v>
      </c>
      <c r="E22" s="56">
        <f t="shared" si="1"/>
        <v>0</v>
      </c>
      <c r="F22" s="3028"/>
      <c r="G22" s="3029"/>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8"/>
      <c r="G23" s="3029"/>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8"/>
      <c r="G24" s="3029"/>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8"/>
      <c r="G25" s="3029"/>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8"/>
      <c r="G26" s="3029"/>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60655.3</v>
      </c>
      <c r="E27" s="1303">
        <f>IF(SUM(E19:E26)='数据-基础表'!BA5,SUM(E19:E26),IF(F27="地上面积有误","面积有误","地下面积有误"))</f>
        <v>32069.72</v>
      </c>
      <c r="F27" s="1302">
        <f>IF(SUM(F19:F26)=E8,SUM(F19:F26),"地上面积有误")</f>
        <v>32069.72</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60655.3</v>
      </c>
      <c r="S27" s="1157">
        <f>IF(SUM(S19:S26)=$E$3,SUM(S19:S26),SUM(S19:S26)&amp;"误差"&amp;ROUND(SUM(S19:S26)-E3,2))</f>
        <v>32069.72</v>
      </c>
    </row>
    <row r="28" spans="1:19">
      <c r="A28" s="1856"/>
      <c r="B28" s="50" t="s">
        <v>1841</v>
      </c>
      <c r="C28" s="1169" t="s">
        <v>1842</v>
      </c>
      <c r="D28" s="48">
        <f>ROUND($D$3*E28/$E$3,2)</f>
        <v>0</v>
      </c>
      <c r="E28" s="56">
        <f>SUM(F28:G28)</f>
        <v>0</v>
      </c>
      <c r="F28" s="60">
        <f>'数据-基础表'!BQ5+'数据-基础表'!BS5</f>
        <v>0</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2">
        <f>SUM(D28:D29)</f>
        <v>0</v>
      </c>
      <c r="E30" s="1302">
        <f>SUM(E28:E29)</f>
        <v>0</v>
      </c>
      <c r="F30" s="1302">
        <f>SUM(F28:F29)</f>
        <v>0</v>
      </c>
      <c r="G30" s="1304">
        <f>SUM(G28:G29)</f>
        <v>0</v>
      </c>
      <c r="H30" s="2886"/>
      <c r="I30" s="2886"/>
      <c r="J30" s="2886"/>
      <c r="K30" s="2886"/>
      <c r="L30" s="2886"/>
      <c r="M30" s="2886"/>
      <c r="N30" s="2886"/>
      <c r="O30" s="2886"/>
      <c r="P30" s="2886"/>
    </row>
    <row r="31" spans="1:19" ht="15.75" thickBot="1">
      <c r="A31" s="1862"/>
      <c r="B31" s="1863"/>
      <c r="C31" s="944" t="s">
        <v>1844</v>
      </c>
      <c r="D31" s="685">
        <f>D27+D30</f>
        <v>60655.3</v>
      </c>
      <c r="E31" s="685">
        <f>E27+E30</f>
        <v>32069.72</v>
      </c>
      <c r="F31" s="686">
        <f>F27+F30</f>
        <v>32069.72</v>
      </c>
      <c r="G31" s="687">
        <f>G27+G30</f>
        <v>0</v>
      </c>
      <c r="H31" s="2886"/>
      <c r="I31" s="2886"/>
      <c r="J31" s="2886"/>
      <c r="K31" s="2886"/>
      <c r="L31" s="2886"/>
      <c r="M31" s="2886"/>
      <c r="N31" s="2886"/>
      <c r="O31" s="2886"/>
      <c r="P31" s="2886"/>
    </row>
    <row r="32" spans="1:19">
      <c r="A32" s="1828"/>
      <c r="B32" s="1828" t="s">
        <v>1845</v>
      </c>
      <c r="C32" s="1828"/>
      <c r="D32" s="1828"/>
      <c r="E32" s="1184">
        <f>SUMIF(C19:C26,"*住宅*",E19:E26)</f>
        <v>0</v>
      </c>
      <c r="F32" s="1828"/>
      <c r="G32" s="1828"/>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J24" activePane="bottomRight" state="frozen"/>
      <selection activeCell="C50" sqref="C50"/>
      <selection pane="topRight" activeCell="C50" sqref="C50"/>
      <selection pane="bottomLeft" activeCell="C50" sqref="C50"/>
      <selection pane="bottomRight" activeCell="K40" sqref="K40"/>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0"/>
      <c r="AO1" s="2900"/>
      <c r="AP1" s="2900"/>
      <c r="AQ1" s="2900"/>
      <c r="AR1" s="2900"/>
    </row>
    <row r="2" spans="1:67" s="1744" customFormat="1" ht="15.75" thickBot="1">
      <c r="A2" s="1869" t="s">
        <v>1847</v>
      </c>
      <c r="B2" s="1176">
        <f>项目基本情况!D3</f>
        <v>44371</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3078</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工业</v>
      </c>
      <c r="B6" s="1899" t="str">
        <f>IF(A6=0,"","经营性")</f>
        <v>经营性</v>
      </c>
      <c r="C6" s="1900" t="s">
        <v>6</v>
      </c>
      <c r="D6" s="967">
        <f>SUMIF(项目基本情况!D$12:I$12,C6,项目基本情况!D$14:I$14)</f>
        <v>50</v>
      </c>
      <c r="E6" s="966">
        <f>IF(B6="","",SUMIF(项目基本情况!D$12:I$12,C6,项目基本情况!D$13:I$13))</f>
        <v>59300</v>
      </c>
      <c r="F6" s="68">
        <f>SUMIF(项目基本情况!D$12:I$12,C6,项目基本情况!D$15:I$15)</f>
        <v>40.9</v>
      </c>
      <c r="G6" s="69">
        <f>IF(ISERROR(ROUND(POWER(1+H6,D6-F6)*(POWER(1+H6,F6)-1)/(POWER(1+H6,D6)-1),3)),0,ROUND(POWER(1+H6,D6-F6)*(POWER(1+H6,F6)-1)/(POWER(1+H6,D6)-1),3))</f>
        <v>0.93899999999999995</v>
      </c>
      <c r="H6" s="741">
        <v>4.4999999999999998E-2</v>
      </c>
      <c r="I6" s="741">
        <v>0.05</v>
      </c>
      <c r="J6" s="70">
        <v>8.5000000000000006E-2</v>
      </c>
      <c r="K6" s="1161">
        <f>SUMIF('数据-汇总表'!C$19:C$33,A6,'数据-汇总表'!E$19:E$33)</f>
        <v>32069.72</v>
      </c>
      <c r="L6" s="742">
        <v>2800</v>
      </c>
      <c r="M6" s="71">
        <f t="shared" ref="M6:M14" si="0">ROUND(K6*L6/10000,0)</f>
        <v>8980</v>
      </c>
      <c r="N6" s="740">
        <f>ROUND((1-(2021-2014)/收益法!J64),2)</f>
        <v>0.86</v>
      </c>
      <c r="O6" s="71" t="str">
        <f>IF($N$5="成新度","——",ROUND(M6*N6,0))</f>
        <v>——</v>
      </c>
      <c r="P6" s="72" t="str">
        <f>IF($N$5="成新度","——",M6-O6)</f>
        <v>——</v>
      </c>
      <c r="Q6" s="743">
        <v>0.08</v>
      </c>
      <c r="R6" s="73">
        <f ca="1">SUMIF('数据-汇总表'!C$19:C$33,A6,'数据-汇总表'!R$19:R$27)</f>
        <v>60655.3</v>
      </c>
      <c r="S6" s="54">
        <f>IF('数据-汇总表'!$I$17="按面积比例",SUMIF('数据-汇总表'!C$19:C$33,A6,'数据-汇总表'!K$19:K$33),SUMIF('数据-汇总表'!C$19:C$33,A6,'数据-汇总表'!N$19:N$33))</f>
        <v>0</v>
      </c>
      <c r="T6" s="1334">
        <f>ROUND($L$14*S6/10000,0)</f>
        <v>0</v>
      </c>
      <c r="U6" s="74">
        <v>0.8</v>
      </c>
      <c r="V6" s="75">
        <v>0.03</v>
      </c>
      <c r="W6" s="75">
        <v>0.1</v>
      </c>
      <c r="X6" s="1171"/>
      <c r="Y6" s="76">
        <f>N6</f>
        <v>0.86</v>
      </c>
      <c r="Z6" s="77"/>
      <c r="AA6" s="70"/>
      <c r="AB6" s="70"/>
      <c r="AC6" s="1171"/>
      <c r="AD6" s="78"/>
      <c r="AE6" s="1172">
        <f ca="1">IF(AN6="",0,SUMIF(INDIRECT("'"&amp;AN6&amp;"'"&amp;"!E:E"),$AE$5,INDIRECT("'"&amp;AN6&amp;"'"&amp;"!F:F")))</f>
        <v>40.9</v>
      </c>
      <c r="AF6" s="1532"/>
      <c r="AG6" s="143">
        <f>IF(AF6="",0,AE6-AF6)</f>
        <v>0</v>
      </c>
      <c r="AH6" s="79">
        <f>'数据-基础表'!B3-'数据-基础表'!K22</f>
        <v>29839.7</v>
      </c>
      <c r="AI6" s="81">
        <v>365</v>
      </c>
      <c r="AJ6" s="82"/>
      <c r="AK6" s="83">
        <v>0.01</v>
      </c>
      <c r="AL6" s="84">
        <v>1.5E-3</v>
      </c>
      <c r="AM6" s="85">
        <v>0.01</v>
      </c>
      <c r="AN6" s="1901" t="s">
        <v>3079</v>
      </c>
      <c r="AO6" s="55">
        <f ca="1">SUMIF(INDIRECT("'"&amp;AN6&amp;"'"&amp;"!A:A"),"总价",INDIRECT("'"&amp;AN6&amp;"'"&amp;"!B:B"))</f>
        <v>13479</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2"/>
      <c r="D16" s="1906"/>
      <c r="E16" s="93"/>
      <c r="F16" s="93"/>
      <c r="G16" s="94">
        <f>ROUND(SUMPRODUCT(G6:G13,K6:K13)/SUMPRODUCT((G6:G13&gt;0)*(K6:K13)),3)</f>
        <v>0.93899999999999995</v>
      </c>
      <c r="H16" s="95">
        <f>ROUND(SUMPRODUCT(H6:H13,K6:K13)/SUMPRODUCT((H6:H13&gt;0)*(K6:K13)),3)</f>
        <v>4.4999999999999998E-2</v>
      </c>
      <c r="I16" s="96"/>
      <c r="J16" s="96"/>
      <c r="K16" s="97">
        <f>SUM(K6:K15)</f>
        <v>32069.72</v>
      </c>
      <c r="L16" s="98">
        <f>ROUND(M16*10000/SUM(K6:K14),0)</f>
        <v>2800</v>
      </c>
      <c r="M16" s="98">
        <f>SUM(M6:M14)</f>
        <v>8980</v>
      </c>
      <c r="N16" s="99">
        <f>ROUND(SUMPRODUCT(M6:M14,N6:N14)/M16,3)</f>
        <v>0.86</v>
      </c>
      <c r="O16" s="98">
        <f>SUM(O6:O14)</f>
        <v>0</v>
      </c>
      <c r="P16" s="98">
        <f>SUM(P6:P14)</f>
        <v>0</v>
      </c>
      <c r="Q16" s="100">
        <f>ROUND(SUMPRODUCT(Q6:Q13,K6:K13)/SUMPRODUCT((Q6:Q13&gt;0)*(K6:K13)),2)</f>
        <v>0.08</v>
      </c>
      <c r="R16" s="1165">
        <f ca="1">SUM(R6:R13)</f>
        <v>60655.3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c r="C19" s="3030" t="s">
        <v>3051</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1.5</v>
      </c>
      <c r="C20" s="3031" t="s">
        <v>3049</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1.5</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1.5</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1.5</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1906</v>
      </c>
      <c r="B27" s="112"/>
      <c r="C27" s="3032" t="s">
        <v>3053</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c r="C29" s="3033" t="s">
        <v>3040</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0.03</v>
      </c>
      <c r="C33" s="3034" t="s">
        <v>3041</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v>0</v>
      </c>
      <c r="C34" s="3034" t="s">
        <v>3042</v>
      </c>
      <c r="D34" s="2913" t="s">
        <v>3050</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200</v>
      </c>
      <c r="C35" s="3034" t="s">
        <v>3043</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4" t="s">
        <v>3044</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120">
        <v>2.5000000000000001E-2</v>
      </c>
      <c r="C37" s="3034" t="s">
        <v>3045</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2.5000000000000001E-2</v>
      </c>
      <c r="C38" s="3034" t="s">
        <v>3045</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3">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29.25" thickBot="1">
      <c r="A40" s="3046" t="s">
        <v>3080</v>
      </c>
      <c r="B40" s="1210">
        <f ca="1">IF(A40="利息：取LPR",存贷款利率!G1,存贷款利率!G1+C40)</f>
        <v>4.3499999999999997E-2</v>
      </c>
      <c r="C40" s="3045">
        <v>5.0000000000000001E-3</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1919</v>
      </c>
      <c r="B41" s="121">
        <f>B42+B43</f>
        <v>5.6000000000000001E-2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1920</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1921</v>
      </c>
      <c r="B43" s="123">
        <f>B42*(B44+B45+B46)+B47</f>
        <v>6.000000000000001E-3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1922</v>
      </c>
      <c r="B44" s="124">
        <v>7.0000000000000007E-2</v>
      </c>
      <c r="C44" s="3034" t="s">
        <v>3054</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1923</v>
      </c>
      <c r="B45" s="122">
        <v>0.03</v>
      </c>
      <c r="C45" s="3033" t="s">
        <v>3046</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1924</v>
      </c>
      <c r="B46" s="122">
        <v>0.02</v>
      </c>
      <c r="C46" s="3033" t="s">
        <v>3047</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1925</v>
      </c>
      <c r="B47" s="125"/>
      <c r="C47" s="3036" t="s">
        <v>3055</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1926</v>
      </c>
      <c r="B48" s="126">
        <v>0.03</v>
      </c>
      <c r="C48" s="3033" t="s">
        <v>3046</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1927</v>
      </c>
      <c r="B49" s="122">
        <v>5.0000000000000001E-4</v>
      </c>
      <c r="C49" s="3033" t="s">
        <v>3048</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1928</v>
      </c>
      <c r="B50" s="127">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1929</v>
      </c>
      <c r="B51" s="128">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1930</v>
      </c>
      <c r="B52" s="129">
        <f>SUMIF(A54:A63,B53,B54:B63)</f>
        <v>1.5</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1931</v>
      </c>
      <c r="B53" s="1924" t="s">
        <v>56</v>
      </c>
      <c r="C53" s="2888" t="s">
        <v>1932</v>
      </c>
      <c r="D53" s="3035" t="s">
        <v>3052</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1933</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1934</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1935</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1936</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1937</v>
      </c>
      <c r="B58" s="80"/>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1938</v>
      </c>
      <c r="B59" s="80">
        <v>1.5</v>
      </c>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1939</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1940</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1941</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1942</v>
      </c>
      <c r="B63" s="130"/>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1"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1"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1"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1"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1"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7"/>
    <col min="30" max="16384" width="9" style="1872"/>
  </cols>
  <sheetData>
    <row r="1" spans="1:29" s="2683" customFormat="1" ht="18.75" thickBot="1">
      <c r="A1" s="3150" t="s">
        <v>3032</v>
      </c>
      <c r="B1" s="3151"/>
      <c r="C1" s="3151"/>
      <c r="D1" s="3151"/>
      <c r="E1" s="3151"/>
      <c r="F1" s="3151"/>
      <c r="G1" s="3151"/>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3027</v>
      </c>
      <c r="D2" s="2687"/>
      <c r="E2" s="2684"/>
      <c r="F2" s="2688"/>
      <c r="G2" s="2686" t="s">
        <v>3028</v>
      </c>
      <c r="H2" s="907"/>
      <c r="I2" s="907"/>
      <c r="J2" s="907"/>
      <c r="K2" s="907"/>
      <c r="L2" s="907"/>
      <c r="M2" s="907"/>
      <c r="N2" s="907"/>
      <c r="O2" s="907"/>
      <c r="P2" s="907"/>
      <c r="Q2" s="907"/>
      <c r="R2" s="907"/>
    </row>
    <row r="3" spans="1:29" ht="48">
      <c r="A3" s="2667" t="s">
        <v>3029</v>
      </c>
      <c r="B3" s="2689" t="s">
        <v>2998</v>
      </c>
      <c r="C3" s="2690" t="s">
        <v>3030</v>
      </c>
      <c r="D3" s="2691"/>
      <c r="E3" s="2668" t="s">
        <v>3029</v>
      </c>
      <c r="F3" s="2692" t="s">
        <v>2999</v>
      </c>
      <c r="G3" s="2693" t="s">
        <v>3031</v>
      </c>
      <c r="H3" s="907"/>
      <c r="I3" s="907"/>
      <c r="J3" s="907"/>
      <c r="K3" s="907"/>
      <c r="L3" s="907"/>
      <c r="M3" s="907"/>
      <c r="N3" s="907"/>
      <c r="O3" s="907"/>
      <c r="P3" s="907"/>
      <c r="Q3" s="907"/>
      <c r="R3" s="907"/>
    </row>
    <row r="4" spans="1:29" ht="36.75">
      <c r="A4" s="2668"/>
      <c r="B4" s="329" t="s">
        <v>3000</v>
      </c>
      <c r="C4" s="2694" t="s">
        <v>3001</v>
      </c>
      <c r="D4" s="2691"/>
      <c r="E4" s="2695"/>
      <c r="F4" s="1557" t="s">
        <v>3002</v>
      </c>
      <c r="G4" s="2696" t="s">
        <v>3003</v>
      </c>
      <c r="H4" s="907"/>
      <c r="I4" s="907"/>
      <c r="J4" s="907"/>
      <c r="K4" s="907"/>
      <c r="L4" s="907"/>
      <c r="M4" s="907"/>
      <c r="N4" s="907"/>
      <c r="O4" s="907"/>
      <c r="P4" s="907"/>
      <c r="Q4" s="907"/>
      <c r="R4" s="907"/>
    </row>
    <row r="5" spans="1:29" ht="36.75">
      <c r="A5" s="2668"/>
      <c r="B5" s="329" t="s">
        <v>3004</v>
      </c>
      <c r="C5" s="2694" t="s">
        <v>3005</v>
      </c>
      <c r="D5" s="2691"/>
      <c r="E5" s="2695"/>
      <c r="F5" s="329" t="s">
        <v>3006</v>
      </c>
      <c r="G5" s="2696" t="s">
        <v>3007</v>
      </c>
      <c r="H5" s="907"/>
      <c r="I5" s="907"/>
      <c r="J5" s="907"/>
      <c r="K5" s="907"/>
      <c r="L5" s="907"/>
      <c r="M5" s="907"/>
      <c r="N5" s="907"/>
      <c r="O5" s="907"/>
      <c r="P5" s="907"/>
      <c r="Q5" s="907"/>
      <c r="R5" s="907"/>
    </row>
    <row r="6" spans="1:29" ht="36">
      <c r="A6" s="2668"/>
      <c r="B6" s="329" t="s">
        <v>3008</v>
      </c>
      <c r="C6" s="2696" t="s">
        <v>3003</v>
      </c>
      <c r="D6" s="2691"/>
      <c r="E6" s="2695"/>
      <c r="F6" s="329" t="s">
        <v>3009</v>
      </c>
      <c r="G6" s="2696" t="s">
        <v>3010</v>
      </c>
      <c r="H6" s="907"/>
      <c r="I6" s="907"/>
      <c r="J6" s="907"/>
      <c r="K6" s="907"/>
      <c r="L6" s="907"/>
      <c r="M6" s="907"/>
      <c r="N6" s="907"/>
      <c r="O6" s="907"/>
      <c r="P6" s="907"/>
      <c r="Q6" s="907"/>
      <c r="R6" s="907"/>
    </row>
    <row r="7" spans="1:29" ht="24.75" thickBot="1">
      <c r="A7" s="2668"/>
      <c r="B7" s="329" t="s">
        <v>3006</v>
      </c>
      <c r="C7" s="2696" t="s">
        <v>3007</v>
      </c>
      <c r="D7" s="2697"/>
      <c r="E7" s="2698"/>
      <c r="F7" s="2699" t="s">
        <v>3011</v>
      </c>
      <c r="G7" s="2700" t="s">
        <v>3012</v>
      </c>
      <c r="H7" s="907"/>
      <c r="I7" s="907"/>
      <c r="J7" s="907"/>
      <c r="K7" s="907"/>
      <c r="L7" s="907"/>
      <c r="M7" s="907"/>
      <c r="N7" s="907"/>
      <c r="O7" s="907"/>
      <c r="P7" s="907"/>
      <c r="Q7" s="907"/>
      <c r="R7" s="907"/>
    </row>
    <row r="8" spans="1:29">
      <c r="A8" s="2668"/>
      <c r="B8" s="329" t="s">
        <v>3009</v>
      </c>
      <c r="C8" s="2696" t="s">
        <v>3010</v>
      </c>
      <c r="D8" s="2697"/>
      <c r="E8" s="2697"/>
      <c r="F8" s="2701"/>
      <c r="G8" s="2701"/>
      <c r="H8" s="907"/>
      <c r="I8" s="907"/>
      <c r="J8" s="907"/>
      <c r="K8" s="907"/>
      <c r="L8" s="907"/>
      <c r="M8" s="907"/>
      <c r="N8" s="907"/>
      <c r="O8" s="907"/>
      <c r="P8" s="907"/>
      <c r="Q8" s="907"/>
      <c r="R8" s="907"/>
    </row>
    <row r="9" spans="1:29" ht="24">
      <c r="A9" s="2668"/>
      <c r="B9" s="329" t="s">
        <v>3013</v>
      </c>
      <c r="C9" s="2694" t="s">
        <v>3014</v>
      </c>
      <c r="D9" s="2691"/>
      <c r="E9" s="2697"/>
      <c r="F9" s="2701"/>
      <c r="G9" s="2701"/>
      <c r="H9" s="907"/>
      <c r="I9" s="907"/>
      <c r="J9" s="907"/>
      <c r="K9" s="907"/>
      <c r="L9" s="907"/>
      <c r="M9" s="907"/>
      <c r="N9" s="907"/>
      <c r="O9" s="907"/>
      <c r="P9" s="907"/>
      <c r="Q9" s="907"/>
      <c r="R9" s="907"/>
    </row>
    <row r="10" spans="1:29" s="2707" customFormat="1" ht="15" thickBot="1">
      <c r="A10" s="2669"/>
      <c r="B10" s="2702" t="s">
        <v>3015</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3033</v>
      </c>
      <c r="B13" s="2710"/>
      <c r="C13" s="2710"/>
      <c r="D13" s="2708"/>
      <c r="E13" s="2710"/>
      <c r="F13" s="2710"/>
      <c r="G13" s="2710"/>
    </row>
    <row r="14" spans="1:29" ht="15" thickBot="1">
      <c r="A14" s="2720"/>
      <c r="B14" s="2720"/>
      <c r="C14" s="2721" t="s">
        <v>3016</v>
      </c>
      <c r="D14" s="2691"/>
      <c r="E14" s="2722"/>
      <c r="F14" s="2722"/>
      <c r="G14" s="2686" t="s">
        <v>3017</v>
      </c>
    </row>
    <row r="15" spans="1:29" ht="51">
      <c r="A15" s="2670" t="s">
        <v>3018</v>
      </c>
      <c r="B15" s="2723" t="s">
        <v>2998</v>
      </c>
      <c r="C15" s="2724" t="str">
        <f>C3</f>
        <v>估价对象周边居住用地比例、居住小区规模和社区发展完善程度，综合评价居住社区成熟度一般</v>
      </c>
      <c r="D15" s="2691"/>
      <c r="E15" s="2671" t="s">
        <v>3019</v>
      </c>
      <c r="F15" s="2723" t="s">
        <v>3020</v>
      </c>
      <c r="G15" s="2725" t="str">
        <f>G3</f>
        <v>估价对象位于XX开发区，园区建设成熟度XX，产业集聚程度XX</v>
      </c>
    </row>
    <row r="16" spans="1:29" ht="38.25">
      <c r="A16" s="2672"/>
      <c r="B16" s="2726" t="s">
        <v>3000</v>
      </c>
      <c r="C16" s="2727" t="str">
        <f>C4</f>
        <v>估价对象位于XX商圈，周边商业氛围成熟，人流量大，商业繁华度好</v>
      </c>
      <c r="D16" s="2691"/>
      <c r="E16" s="2673"/>
      <c r="F16" s="2728" t="s">
        <v>3002</v>
      </c>
      <c r="G16" s="2729" t="str">
        <f>G4</f>
        <v>估价对象周边道路状况、公共交通通达情况、停车便捷程度，综合评价交通便捷度较好</v>
      </c>
    </row>
    <row r="17" spans="1:18" ht="38.25">
      <c r="A17" s="2672"/>
      <c r="B17" s="2726" t="s">
        <v>3004</v>
      </c>
      <c r="C17" s="2727" t="str">
        <f>C5</f>
        <v>估价对象位于XX商圈，周边办公楼项目较多，入驻率高，办公集聚程度较好</v>
      </c>
      <c r="D17" s="2697"/>
      <c r="E17" s="2673"/>
      <c r="F17" s="2728" t="s">
        <v>3021</v>
      </c>
      <c r="G17" s="2730"/>
    </row>
    <row r="18" spans="1:18" ht="38.25">
      <c r="A18" s="2672"/>
      <c r="B18" s="2728" t="s">
        <v>3008</v>
      </c>
      <c r="C18" s="2729" t="str">
        <f>C6</f>
        <v>估价对象周边道路状况、公共交通通达情况、停车便捷程度，综合评价交通便捷度较好</v>
      </c>
      <c r="D18" s="2697"/>
      <c r="E18" s="2673"/>
      <c r="F18" s="2728" t="s">
        <v>3011</v>
      </c>
      <c r="G18" s="2729" t="str">
        <f>G7</f>
        <v>该园区内是否有污染型企业，绿化情况，卫生条件，整体环境状况判断</v>
      </c>
    </row>
    <row r="19" spans="1:18" ht="25.5">
      <c r="A19" s="2672"/>
      <c r="B19" s="2728" t="s">
        <v>3022</v>
      </c>
      <c r="C19" s="2730"/>
      <c r="D19" s="2691"/>
      <c r="E19" s="2673"/>
      <c r="F19" s="329" t="s">
        <v>3006</v>
      </c>
      <c r="G19" s="2729" t="str">
        <f>G5</f>
        <v>估价对象所在区域公共配套设施齐备情况</v>
      </c>
    </row>
    <row r="20" spans="1:18" ht="25.5">
      <c r="A20" s="2672"/>
      <c r="B20" s="2728" t="s">
        <v>3023</v>
      </c>
      <c r="C20" s="2727" t="str">
        <f>C9</f>
        <v>区域自然环境：；人文环境；综合评价环境状况一般</v>
      </c>
      <c r="D20" s="2697"/>
      <c r="E20" s="2673"/>
      <c r="F20" s="329" t="s">
        <v>3009</v>
      </c>
      <c r="G20" s="2729" t="str">
        <f>G6</f>
        <v>估价对象所在区域基础设施水平</v>
      </c>
    </row>
    <row r="21" spans="1:18" ht="25.5">
      <c r="A21" s="2672"/>
      <c r="B21" s="329" t="s">
        <v>3006</v>
      </c>
      <c r="C21" s="2729" t="str">
        <f>C7</f>
        <v>估价对象所在区域公共配套设施齐备情况</v>
      </c>
      <c r="D21" s="2691"/>
      <c r="E21" s="2673"/>
      <c r="F21" s="2728" t="s">
        <v>3024</v>
      </c>
      <c r="G21" s="2731"/>
    </row>
    <row r="22" spans="1:18" ht="13.5" customHeight="1">
      <c r="A22" s="2672"/>
      <c r="B22" s="329" t="s">
        <v>3009</v>
      </c>
      <c r="C22" s="2729" t="str">
        <f>C8</f>
        <v>估价对象所在区域基础设施水平</v>
      </c>
      <c r="D22" s="2691"/>
      <c r="E22" s="2673"/>
      <c r="F22" s="2728" t="s">
        <v>3015</v>
      </c>
      <c r="G22" s="2730"/>
    </row>
    <row r="23" spans="1:18" s="907" customFormat="1" ht="15" thickBot="1">
      <c r="A23" s="2672"/>
      <c r="B23" s="2728" t="s">
        <v>3024</v>
      </c>
      <c r="C23" s="2731"/>
      <c r="D23" s="1927"/>
      <c r="E23" s="2674"/>
      <c r="F23" s="2732" t="s">
        <v>3025</v>
      </c>
      <c r="G23" s="2733"/>
      <c r="H23" s="2717"/>
      <c r="I23" s="2718"/>
      <c r="J23" s="2717"/>
      <c r="K23" s="2717"/>
      <c r="L23" s="2718"/>
      <c r="M23" s="2717"/>
      <c r="N23" s="2717"/>
      <c r="O23" s="2718"/>
      <c r="P23" s="2717"/>
      <c r="Q23" s="2717"/>
      <c r="R23" s="2719"/>
    </row>
    <row r="24" spans="1:18" s="907" customFormat="1" ht="15" thickBot="1">
      <c r="A24" s="2675"/>
      <c r="B24" s="2732" t="s">
        <v>3026</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ht="16.5">
      <c r="A1" s="2738" t="s">
        <v>1331</v>
      </c>
      <c r="B1" s="2738">
        <f>SUM(B14:B23)</f>
        <v>32069.72</v>
      </c>
      <c r="C1" s="2915"/>
      <c r="D1" s="2915"/>
      <c r="E1" s="2915"/>
      <c r="F1" s="2915"/>
      <c r="G1" s="2916"/>
      <c r="H1" s="2917"/>
      <c r="I1" s="2917"/>
      <c r="J1" s="2917"/>
      <c r="K1" s="2917"/>
    </row>
    <row r="2" spans="1:11" ht="16.5">
      <c r="A2" s="2738" t="s">
        <v>1319</v>
      </c>
      <c r="B2" s="2738">
        <f>SUM(C14:C23)</f>
        <v>60655.3</v>
      </c>
      <c r="C2" s="2915"/>
      <c r="D2" s="2915"/>
      <c r="E2" s="2915"/>
      <c r="F2" s="2915"/>
      <c r="G2" s="2916"/>
      <c r="H2" s="2917"/>
      <c r="I2" s="2917"/>
      <c r="J2" s="2917"/>
      <c r="K2" s="2917"/>
    </row>
    <row r="3" spans="1:11" ht="16.5">
      <c r="A3" s="2738" t="s">
        <v>1328</v>
      </c>
      <c r="B3" s="2740">
        <f>项目基本情况!D3</f>
        <v>44371</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t="e">
        <f ca="1">SUM(D14:D23)</f>
        <v>#REF!</v>
      </c>
      <c r="C5" s="2738" t="e">
        <f ca="1">ROUND(B5*10000/$B$1,0)</f>
        <v>#REF!</v>
      </c>
      <c r="D5" s="2738" t="e">
        <f ca="1">ROUND(B5*10000/$B$2,0)</f>
        <v>#REF!</v>
      </c>
      <c r="E5" s="2915"/>
      <c r="F5" s="2916"/>
      <c r="G5" s="2916"/>
      <c r="H5" s="2917"/>
      <c r="I5" s="2917"/>
      <c r="J5" s="2917"/>
      <c r="K5" s="2917"/>
    </row>
    <row r="6" spans="1:11" ht="16.5">
      <c r="A6" s="2738" t="s">
        <v>1322</v>
      </c>
      <c r="B6" s="2738" t="e">
        <f ca="1">SUM(G14:G23)</f>
        <v>#REF!</v>
      </c>
      <c r="C6" s="2738" t="e">
        <f ca="1">ROUND(B6*10000/$B$1,0)</f>
        <v>#REF!</v>
      </c>
      <c r="D6" s="2738" t="e">
        <f ca="1">ROUND(B6*10000/$B$2,0)</f>
        <v>#REF!</v>
      </c>
      <c r="E6" s="2915"/>
      <c r="F6" s="2916"/>
      <c r="G6" s="2916"/>
      <c r="H6" s="2917"/>
      <c r="I6" s="2917"/>
      <c r="J6" s="2917"/>
      <c r="K6" s="2917"/>
    </row>
    <row r="7" spans="1:11" ht="16.5">
      <c r="A7" s="2738" t="s">
        <v>1330</v>
      </c>
      <c r="B7" s="2738">
        <f>SUM(H14:H23)</f>
        <v>0</v>
      </c>
      <c r="C7" s="2738">
        <f>ROUND(B7*10000/$B$1,0)</f>
        <v>0</v>
      </c>
      <c r="D7" s="2738">
        <f>ROUND(B7*10000/$B$2,0)</f>
        <v>0</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32069.72</v>
      </c>
      <c r="C14" s="2744">
        <f>结果表!C118</f>
        <v>60655.3</v>
      </c>
      <c r="D14" s="2744" t="e">
        <f ca="1">结果表!H118</f>
        <v>#REF!</v>
      </c>
      <c r="E14" s="2744" t="e">
        <f ca="1">ROUND(D14*10000/B14,0)</f>
        <v>#REF!</v>
      </c>
      <c r="F14" s="2744" t="e">
        <f ca="1">ROUND(D14*10000/C14,0)</f>
        <v>#REF!</v>
      </c>
      <c r="G14" s="2744" t="e">
        <f ca="1">结果表!D122</f>
        <v>#REF!</v>
      </c>
      <c r="H14" s="2744" t="str">
        <f>结果表!D124</f>
        <v>——</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ht="16.5">
      <c r="A16" s="2743" t="s">
        <v>1314</v>
      </c>
      <c r="B16" s="2745"/>
      <c r="C16" s="2745"/>
      <c r="D16" s="2745"/>
      <c r="E16" s="2744" t="e">
        <f t="shared" si="0"/>
        <v>#DIV/0!</v>
      </c>
      <c r="F16" s="2744" t="e">
        <f t="shared" si="1"/>
        <v>#DIV/0!</v>
      </c>
      <c r="G16" s="1500"/>
      <c r="H16" s="1500"/>
      <c r="I16" s="2745"/>
      <c r="J16" s="2917"/>
      <c r="K16" s="2917"/>
    </row>
    <row r="17" spans="1:11" ht="16.5">
      <c r="A17" s="2743" t="s">
        <v>1313</v>
      </c>
      <c r="B17" s="2745"/>
      <c r="C17" s="2745"/>
      <c r="D17" s="2745"/>
      <c r="E17" s="2744" t="e">
        <f t="shared" si="0"/>
        <v>#DIV/0!</v>
      </c>
      <c r="F17" s="2744" t="e">
        <f t="shared" si="1"/>
        <v>#DIV/0!</v>
      </c>
      <c r="G17" s="1500"/>
      <c r="H17" s="1500"/>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3" zoomScale="85" zoomScaleNormal="100" zoomScaleSheetLayoutView="85" zoomScalePageLayoutView="80" workbookViewId="0">
      <selection activeCell="G37" sqref="G37"/>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1948</v>
      </c>
      <c r="B1" s="1933"/>
      <c r="C1" s="1934"/>
      <c r="D1" s="1933"/>
      <c r="E1" s="1933"/>
      <c r="F1" s="1935" t="s">
        <v>1949</v>
      </c>
      <c r="G1" s="1746"/>
      <c r="H1" s="1936" t="str">
        <f>IF(G1="现房","——","估价对象范围")</f>
        <v>估价对象范围</v>
      </c>
      <c r="I1" s="1937"/>
    </row>
    <row r="2" spans="1:12" ht="21.75" customHeight="1" thickBot="1">
      <c r="A2" s="3186" t="str">
        <f>项目基本情况!S2</f>
        <v>房地产</v>
      </c>
      <c r="B2" s="3187"/>
      <c r="C2" s="3187"/>
      <c r="D2" s="3187"/>
      <c r="E2" s="3187"/>
      <c r="F2" s="3187"/>
      <c r="G2" s="3187"/>
      <c r="H2" s="3187"/>
      <c r="I2" s="3188"/>
    </row>
    <row r="3" spans="1:12" ht="12.75">
      <c r="A3" s="3190" t="s">
        <v>1950</v>
      </c>
      <c r="B3" s="3191"/>
      <c r="C3" s="3191"/>
      <c r="D3" s="3191"/>
      <c r="E3" s="3191"/>
      <c r="F3" s="3191"/>
      <c r="G3" s="3191"/>
      <c r="H3" s="3191"/>
      <c r="I3" s="3191"/>
    </row>
    <row r="4" spans="1:12" ht="14.25">
      <c r="A4" s="1940" t="s">
        <v>1951</v>
      </c>
      <c r="B4" s="1941" t="s">
        <v>1952</v>
      </c>
      <c r="C4" s="1942" t="s">
        <v>3574</v>
      </c>
      <c r="D4" s="1942" t="s">
        <v>3079</v>
      </c>
      <c r="E4" s="3192" t="s">
        <v>1953</v>
      </c>
      <c r="F4" s="3193"/>
      <c r="G4" s="3193"/>
      <c r="H4" s="3193"/>
      <c r="I4" s="319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66" t="s">
        <v>1954</v>
      </c>
      <c r="B5" s="3153">
        <v>25</v>
      </c>
      <c r="C5" s="3169"/>
      <c r="D5" s="3189"/>
      <c r="E5" s="136" t="s">
        <v>1955</v>
      </c>
      <c r="F5" s="1943"/>
      <c r="G5" s="1943"/>
      <c r="H5" s="1943"/>
      <c r="I5" s="1557"/>
    </row>
    <row r="6" spans="1:12" ht="12.75">
      <c r="A6" s="3166"/>
      <c r="B6" s="3153"/>
      <c r="C6" s="3170"/>
      <c r="D6" s="3189"/>
      <c r="E6" s="136" t="s">
        <v>1956</v>
      </c>
      <c r="F6" s="1943"/>
      <c r="G6" s="1943"/>
      <c r="H6" s="1943"/>
      <c r="I6" s="1557"/>
    </row>
    <row r="7" spans="1:12" ht="12.75">
      <c r="A7" s="3166"/>
      <c r="B7" s="3153"/>
      <c r="C7" s="3171"/>
      <c r="D7" s="3189"/>
      <c r="E7" s="136" t="s">
        <v>1957</v>
      </c>
      <c r="F7" s="1943"/>
      <c r="G7" s="1943"/>
      <c r="H7" s="1943"/>
      <c r="I7" s="1557"/>
    </row>
    <row r="8" spans="1:12" ht="12.75">
      <c r="A8" s="3166" t="s">
        <v>1958</v>
      </c>
      <c r="B8" s="3153">
        <v>15</v>
      </c>
      <c r="C8" s="3169"/>
      <c r="D8" s="3189"/>
      <c r="E8" s="136" t="s">
        <v>1959</v>
      </c>
      <c r="F8" s="1943"/>
      <c r="G8" s="1943"/>
      <c r="H8" s="1943"/>
      <c r="I8" s="1557"/>
    </row>
    <row r="9" spans="1:12" ht="12.75">
      <c r="A9" s="3166"/>
      <c r="B9" s="3153"/>
      <c r="C9" s="3171"/>
      <c r="D9" s="3189"/>
      <c r="E9" s="136" t="s">
        <v>1960</v>
      </c>
      <c r="F9" s="1943"/>
      <c r="G9" s="1943"/>
      <c r="H9" s="1943"/>
      <c r="I9" s="1557"/>
    </row>
    <row r="10" spans="1:12" ht="12.75">
      <c r="A10" s="3166" t="s">
        <v>1961</v>
      </c>
      <c r="B10" s="3153">
        <v>15</v>
      </c>
      <c r="C10" s="3169"/>
      <c r="D10" s="3189"/>
      <c r="E10" s="136" t="s">
        <v>1962</v>
      </c>
      <c r="F10" s="1943"/>
      <c r="G10" s="1943"/>
      <c r="H10" s="1943"/>
      <c r="I10" s="1557"/>
    </row>
    <row r="11" spans="1:12" ht="12.75">
      <c r="A11" s="3166"/>
      <c r="B11" s="3153"/>
      <c r="C11" s="3171"/>
      <c r="D11" s="3189"/>
      <c r="E11" s="136" t="s">
        <v>1963</v>
      </c>
      <c r="F11" s="1943"/>
      <c r="G11" s="1943"/>
      <c r="H11" s="1943"/>
      <c r="I11" s="1557"/>
    </row>
    <row r="12" spans="1:12" ht="12.75">
      <c r="A12" s="3166" t="s">
        <v>1964</v>
      </c>
      <c r="B12" s="3153">
        <v>15</v>
      </c>
      <c r="C12" s="3169"/>
      <c r="D12" s="3189"/>
      <c r="E12" s="136" t="s">
        <v>1965</v>
      </c>
      <c r="F12" s="1943"/>
      <c r="G12" s="1943"/>
      <c r="H12" s="1943"/>
      <c r="I12" s="1557"/>
    </row>
    <row r="13" spans="1:12" ht="12.75">
      <c r="A13" s="3166"/>
      <c r="B13" s="3153"/>
      <c r="C13" s="3171"/>
      <c r="D13" s="3189"/>
      <c r="E13" s="136" t="s">
        <v>1966</v>
      </c>
      <c r="F13" s="1943"/>
      <c r="G13" s="1943"/>
      <c r="H13" s="1943"/>
      <c r="I13" s="1557"/>
    </row>
    <row r="14" spans="1:12" ht="12.75">
      <c r="A14" s="3166" t="s">
        <v>1967</v>
      </c>
      <c r="B14" s="3153">
        <v>30</v>
      </c>
      <c r="C14" s="3169">
        <v>5</v>
      </c>
      <c r="D14" s="3189">
        <v>5</v>
      </c>
      <c r="E14" s="136" t="s">
        <v>1968</v>
      </c>
      <c r="F14" s="1943"/>
      <c r="G14" s="1943"/>
      <c r="H14" s="1943"/>
      <c r="I14" s="1557"/>
    </row>
    <row r="15" spans="1:12" ht="12.75">
      <c r="A15" s="3166"/>
      <c r="B15" s="3153"/>
      <c r="C15" s="3170"/>
      <c r="D15" s="3189"/>
      <c r="E15" s="136" t="s">
        <v>1969</v>
      </c>
      <c r="F15" s="1943"/>
      <c r="G15" s="1943"/>
      <c r="H15" s="1943"/>
      <c r="I15" s="1557"/>
    </row>
    <row r="16" spans="1:12" ht="12.75">
      <c r="A16" s="3166"/>
      <c r="B16" s="3153"/>
      <c r="C16" s="3171"/>
      <c r="D16" s="3189"/>
      <c r="E16" s="136" t="s">
        <v>1970</v>
      </c>
      <c r="F16" s="1943"/>
      <c r="G16" s="1943"/>
      <c r="H16" s="1943"/>
      <c r="I16" s="1557"/>
    </row>
    <row r="17" spans="1:36" ht="15">
      <c r="A17" s="1944" t="s">
        <v>1971</v>
      </c>
      <c r="B17" s="60"/>
      <c r="C17" s="137">
        <f>SUM(C5:C16)</f>
        <v>5</v>
      </c>
      <c r="D17" s="137">
        <f>SUM(D5:D16)</f>
        <v>5</v>
      </c>
      <c r="E17" s="134"/>
      <c r="F17" s="134"/>
      <c r="G17" s="134"/>
      <c r="H17" s="134"/>
      <c r="I17" s="134"/>
      <c r="K17" s="308"/>
      <c r="L17" s="308" t="s">
        <v>1972</v>
      </c>
      <c r="M17" s="308" t="s">
        <v>1973</v>
      </c>
    </row>
    <row r="18" spans="1:36" ht="31.9" customHeight="1" thickBot="1">
      <c r="A18" s="1945" t="s">
        <v>1974</v>
      </c>
      <c r="B18" s="1946"/>
      <c r="C18" s="138">
        <f>ROUND(C17/SUM(C17:D17),2)</f>
        <v>0.5</v>
      </c>
      <c r="D18" s="138">
        <f>1-C18</f>
        <v>0.5</v>
      </c>
      <c r="E18" s="3176" t="s">
        <v>2873</v>
      </c>
      <c r="F18" s="3177"/>
      <c r="G18" s="3177"/>
      <c r="H18" s="3177"/>
      <c r="I18" s="3177"/>
      <c r="K18" s="308" t="s">
        <v>1975</v>
      </c>
      <c r="L18" s="308">
        <f>IF(C1="",'数据-汇总表'!E3,SUMIF(项目类型,C1,'数据-汇总表'!E17:E26)+SUMIF(项目类型,C1,'数据-汇总表'!I17:I26))</f>
        <v>32069.72</v>
      </c>
      <c r="M18" s="308">
        <f>IF(C1="",'数据-汇总表'!E3,SUMIF(项目类型,C1,'数据-汇总表'!E17:E26))</f>
        <v>32069.72</v>
      </c>
    </row>
    <row r="19" spans="1:36" ht="15">
      <c r="A19" s="1947" t="s">
        <v>1976</v>
      </c>
      <c r="B19" s="1948" t="s">
        <v>1977</v>
      </c>
      <c r="C19" s="139">
        <f ca="1">SUMIF(INDIRECT("'"&amp;C4&amp;"'"&amp;"!A:A"),结果表!B19,INDIRECT("'"&amp;C4&amp;"'"&amp;"!B:B"))</f>
        <v>13897</v>
      </c>
      <c r="D19" s="140">
        <f ca="1">SUMIF(INDIRECT("'"&amp;D4&amp;"'"&amp;"!A:A"),结果表!B19,INDIRECT("'"&amp;D4&amp;"'"&amp;"!B:B"))</f>
        <v>13479</v>
      </c>
      <c r="E19" s="1947" t="s">
        <v>1978</v>
      </c>
      <c r="F19" s="1948" t="s">
        <v>1977</v>
      </c>
      <c r="G19" s="141">
        <f ca="1">ROUND(C19*$C$18+D19*$D$18,0)</f>
        <v>13688</v>
      </c>
      <c r="H19" s="1949" t="s">
        <v>1979</v>
      </c>
      <c r="I19" s="134"/>
      <c r="K19" s="308" t="s">
        <v>1980</v>
      </c>
      <c r="L19" s="308">
        <f>IF(C1="",'数据-汇总表'!D3,SUMIF(项目类型,C1,'数据-汇总表'!D17:D26)+SUMIF(项目类型,C1,'数据-汇总表'!H17:H27))</f>
        <v>60655.3</v>
      </c>
      <c r="M19" s="308">
        <f>IF(C1="",'数据-汇总表'!D3,SUMIF(项目类型,C1,'数据-汇总表'!D17:D26))</f>
        <v>60655.3</v>
      </c>
    </row>
    <row r="20" spans="1:36" ht="15">
      <c r="A20" s="1950"/>
      <c r="B20" s="1157" t="s">
        <v>1981</v>
      </c>
      <c r="C20" s="142">
        <f ca="1">SUMIF(INDIRECT("'"&amp;C4&amp;"'"&amp;"!A:A"),结果表!B20,INDIRECT("'"&amp;C4&amp;"'"&amp;"!B:B"))</f>
        <v>4333</v>
      </c>
      <c r="D20" s="143">
        <f ca="1">SUMIF(INDIRECT("'"&amp;D4&amp;"'"&amp;"!A:A"),结果表!B20,INDIRECT("'"&amp;D4&amp;"'"&amp;"!B:B"))</f>
        <v>4203</v>
      </c>
      <c r="E20" s="1950"/>
      <c r="F20" s="1157" t="s">
        <v>1981</v>
      </c>
      <c r="G20" s="144">
        <f ca="1">ROUND(C20*$C$18+D20*$D$18,0)</f>
        <v>4268</v>
      </c>
      <c r="H20" s="917" t="s">
        <v>1982</v>
      </c>
      <c r="I20" s="134"/>
    </row>
    <row r="21" spans="1:36" ht="15" customHeight="1" thickBot="1">
      <c r="A21" s="937"/>
      <c r="B21" s="1951" t="s">
        <v>1983</v>
      </c>
      <c r="C21" s="728">
        <f ca="1">ROUND(C19*10000/L19,0)</f>
        <v>2291</v>
      </c>
      <c r="D21" s="729">
        <f ca="1">ROUND(D19*10000/L19,0)</f>
        <v>2222</v>
      </c>
      <c r="E21" s="937"/>
      <c r="F21" s="1951" t="s">
        <v>1983</v>
      </c>
      <c r="G21" s="145">
        <f ca="1">ROUND(G19*10000/L19,0)</f>
        <v>2257</v>
      </c>
      <c r="H21" s="1952" t="s">
        <v>1982</v>
      </c>
      <c r="I21" s="134"/>
    </row>
    <row r="22" spans="1:36" ht="15" thickBot="1">
      <c r="A22" s="1874" t="s">
        <v>1984</v>
      </c>
      <c r="B22" s="1953"/>
      <c r="C22" s="1954"/>
      <c r="D22" s="730">
        <f ca="1">IF(C19&lt;D19,D19/C19-1,C19/D19-1)</f>
        <v>3.1011202611469724E-2</v>
      </c>
      <c r="E22" s="134"/>
      <c r="F22" s="134"/>
      <c r="G22" s="134"/>
      <c r="H22" s="134"/>
      <c r="I22" s="134"/>
    </row>
    <row r="23" spans="1:36" ht="13.5" thickBot="1">
      <c r="A23" s="1933"/>
      <c r="B23" s="1933"/>
      <c r="C23" s="1933"/>
      <c r="D23" s="1933"/>
      <c r="E23" s="134"/>
      <c r="F23" s="134"/>
      <c r="G23" s="134"/>
      <c r="H23" s="134"/>
      <c r="I23" s="134"/>
    </row>
    <row r="24" spans="1:36" ht="14.25">
      <c r="A24" s="3160" t="s">
        <v>1985</v>
      </c>
      <c r="B24" s="1948" t="s">
        <v>1977</v>
      </c>
      <c r="C24" s="141">
        <f>IF(B30=0,0,D30)</f>
        <v>0</v>
      </c>
      <c r="D24" s="1955"/>
      <c r="E24" s="134"/>
      <c r="F24" s="134"/>
      <c r="G24" s="134"/>
      <c r="H24" s="134"/>
      <c r="I24" s="134"/>
    </row>
    <row r="25" spans="1:36" ht="14.25">
      <c r="A25" s="3161"/>
      <c r="B25" s="1157" t="s">
        <v>1981</v>
      </c>
      <c r="C25" s="146">
        <f>IF(B30=0,0,C30)</f>
        <v>0</v>
      </c>
      <c r="D25" s="1956"/>
      <c r="E25" s="134"/>
      <c r="F25" s="134"/>
      <c r="G25" s="134"/>
      <c r="H25" s="134"/>
      <c r="I25" s="134"/>
    </row>
    <row r="26" spans="1:36" ht="13.5" customHeight="1">
      <c r="A26" s="1957" t="s">
        <v>1986</v>
      </c>
      <c r="B26" s="147" t="s">
        <v>1987</v>
      </c>
      <c r="C26" s="147" t="s">
        <v>1988</v>
      </c>
      <c r="D26" s="148" t="s">
        <v>1989</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1990</v>
      </c>
      <c r="B30" s="147"/>
      <c r="C30" s="147"/>
      <c r="D30" s="147"/>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1991</v>
      </c>
      <c r="B32" s="1960"/>
      <c r="C32" s="149">
        <f ca="1">IF(D32="总价",G19-C24,G20-C25)</f>
        <v>4268</v>
      </c>
      <c r="D32" s="1961"/>
      <c r="E32" s="134"/>
      <c r="F32" s="134"/>
      <c r="G32" s="134"/>
      <c r="H32" s="134"/>
      <c r="I32" s="134"/>
    </row>
    <row r="33" spans="1:15" ht="15">
      <c r="A33" s="894" t="s">
        <v>1992</v>
      </c>
      <c r="B33" s="1962"/>
      <c r="C33" s="1963"/>
      <c r="D33" s="1964"/>
      <c r="E33" s="1965" t="s">
        <v>1993</v>
      </c>
      <c r="F33" s="1966" t="str">
        <f>IF(D32="楼面单价","取值（单价）","取值（总价）")</f>
        <v>取值（总价）</v>
      </c>
      <c r="G33" s="134"/>
      <c r="H33" s="134"/>
      <c r="I33" s="134"/>
    </row>
    <row r="34" spans="1:15" ht="15">
      <c r="A34" s="1967"/>
      <c r="B34" s="1968" t="s">
        <v>1994</v>
      </c>
      <c r="C34" s="153" t="e">
        <f ca="1">IF(C33="自定义",F34,C32-C35)</f>
        <v>#REF!</v>
      </c>
      <c r="D34" s="970" t="e">
        <f ca="1">IF(C33="自定义",ROUND(C34/C32,3),IF(C33="收益比率",SUMIF(INDIRECT("'"&amp;D33&amp;"'"&amp;"!b:b"),"土地收益比率",INDIRECT("'"&amp;D33&amp;"'"&amp;"!c:c")),SUMIF(INDIRECT("'"&amp;D33&amp;"'"&amp;"!b:b"),"土地成本比率",INDIRECT("'"&amp;D33&amp;"'"&amp;"!c:c"))))</f>
        <v>#REF!</v>
      </c>
      <c r="E34" s="1969" t="s">
        <v>1995</v>
      </c>
      <c r="F34" s="1498"/>
      <c r="G34" s="134"/>
      <c r="H34" s="134"/>
      <c r="I34" s="134"/>
    </row>
    <row r="35" spans="1:15" ht="15.75" thickBot="1">
      <c r="A35" s="1970"/>
      <c r="B35" s="1971" t="s">
        <v>1996</v>
      </c>
      <c r="C35" s="1332" t="e">
        <f ca="1">IF(C33="自定义",F35,ROUND(C32*D35,0))</f>
        <v>#REF!</v>
      </c>
      <c r="D35" s="1333" t="e">
        <f ca="1">IF(C33="自定义",ROUND(C35/C32,3),IF(C33="收益比率",SUMIF(INDIRECT("'"&amp;D33&amp;"'"&amp;"!b:b"),"建筑物收益比率",INDIRECT("'"&amp;D33&amp;"'"&amp;"!c:c")),SUMIF(INDIRECT("'"&amp;D33&amp;"'"&amp;"!b:b"),"建筑物成本比率",INDIRECT("'"&amp;D33&amp;"'"&amp;"!c:c"))))</f>
        <v>#REF!</v>
      </c>
      <c r="E35" s="1972" t="s">
        <v>1997</v>
      </c>
      <c r="F35" s="159"/>
      <c r="G35" s="134"/>
      <c r="H35" s="134"/>
      <c r="I35" s="134"/>
    </row>
    <row r="36" spans="1:15" ht="15.75" thickBot="1">
      <c r="A36" s="3180" t="s">
        <v>1998</v>
      </c>
      <c r="B36" s="1973" t="s">
        <v>1999</v>
      </c>
      <c r="C36" s="150"/>
      <c r="D36" s="1974"/>
      <c r="E36" s="1975"/>
      <c r="F36" s="1976"/>
      <c r="G36" s="134"/>
      <c r="H36" s="134"/>
      <c r="I36" s="134"/>
    </row>
    <row r="37" spans="1:15" ht="15.75" thickBot="1">
      <c r="A37" s="3181"/>
      <c r="B37" s="1860" t="s">
        <v>2000</v>
      </c>
      <c r="C37" s="152"/>
      <c r="D37" s="1301"/>
      <c r="E37" s="1301"/>
      <c r="F37" s="1976"/>
      <c r="G37" s="134"/>
      <c r="H37" s="134"/>
      <c r="I37" s="134"/>
    </row>
    <row r="38" spans="1:15" ht="15.75" thickBot="1">
      <c r="A38" s="3182"/>
      <c r="B38" s="1977" t="s">
        <v>2001</v>
      </c>
      <c r="C38" s="683"/>
      <c r="D38" s="1978" t="s">
        <v>2002</v>
      </c>
      <c r="E38" s="1301"/>
      <c r="F38" s="1976"/>
      <c r="G38" s="134"/>
      <c r="H38" s="134"/>
      <c r="I38" s="134"/>
    </row>
    <row r="39" spans="1:15" ht="15">
      <c r="A39" s="1950" t="s">
        <v>2003</v>
      </c>
      <c r="B39" s="1979" t="s">
        <v>2004</v>
      </c>
      <c r="C39" s="1980" t="s">
        <v>2005</v>
      </c>
      <c r="D39" s="1980" t="s">
        <v>2006</v>
      </c>
      <c r="E39" s="1981" t="s">
        <v>2007</v>
      </c>
      <c r="F39" s="1976"/>
      <c r="G39" s="134"/>
      <c r="H39" s="134"/>
      <c r="I39" s="134"/>
    </row>
    <row r="40" spans="1:15" ht="14.25">
      <c r="A40" s="1982" t="s">
        <v>2008</v>
      </c>
      <c r="B40" s="154"/>
      <c r="C40" s="155"/>
      <c r="D40" s="155"/>
      <c r="E40" s="156"/>
      <c r="F40" s="1976"/>
      <c r="G40" s="134"/>
      <c r="H40" s="134"/>
      <c r="I40" s="134"/>
    </row>
    <row r="41" spans="1:15" ht="14.25">
      <c r="A41" s="1982" t="s">
        <v>2009</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157" t="s">
        <v>2012</v>
      </c>
      <c r="B45" s="3158"/>
      <c r="C45" s="3159"/>
      <c r="D45" s="160" t="e">
        <f ca="1">ROUND(H101*F45,0)</f>
        <v>#REF!</v>
      </c>
      <c r="E45" s="161" t="s">
        <v>2013</v>
      </c>
      <c r="F45" s="162">
        <v>1</v>
      </c>
      <c r="G45" s="163" t="s">
        <v>2014</v>
      </c>
      <c r="H45" s="134"/>
      <c r="I45" s="134"/>
      <c r="J45" s="3238" t="s">
        <v>2015</v>
      </c>
      <c r="K45" s="3238"/>
      <c r="L45" s="3238"/>
      <c r="M45" s="3238"/>
      <c r="N45" s="3238"/>
      <c r="O45" s="3238"/>
    </row>
    <row r="46" spans="1:15" ht="14.25" customHeight="1">
      <c r="A46" s="3154" t="s">
        <v>2016</v>
      </c>
      <c r="B46" s="3155"/>
      <c r="C46" s="3155"/>
      <c r="D46" s="3155"/>
      <c r="E46" s="3155"/>
      <c r="F46" s="3155"/>
      <c r="G46" s="3156"/>
      <c r="H46" s="1992"/>
      <c r="I46" s="164"/>
      <c r="J46" s="2749">
        <v>1</v>
      </c>
      <c r="K46" s="3219" t="s">
        <v>2017</v>
      </c>
      <c r="L46" s="3219"/>
      <c r="M46" s="3239"/>
      <c r="N46" s="3239"/>
      <c r="O46" s="3239"/>
    </row>
    <row r="47" spans="1:15" ht="12" customHeight="1">
      <c r="A47" s="165" t="s">
        <v>2018</v>
      </c>
      <c r="B47" s="166"/>
      <c r="C47" s="167"/>
      <c r="D47" s="1247" t="s">
        <v>2019</v>
      </c>
      <c r="E47" s="308" t="s">
        <v>2020</v>
      </c>
      <c r="F47" s="168" t="s">
        <v>2021</v>
      </c>
      <c r="G47" s="2772" t="s">
        <v>2022</v>
      </c>
      <c r="H47" s="2773"/>
      <c r="I47" s="164"/>
      <c r="J47" s="2749">
        <v>2</v>
      </c>
      <c r="K47" s="3219" t="s">
        <v>2023</v>
      </c>
      <c r="L47" s="3219"/>
      <c r="M47" s="3240">
        <f>'数据-取费表'!B2</f>
        <v>44371</v>
      </c>
      <c r="N47" s="3240"/>
      <c r="O47" s="3240"/>
    </row>
    <row r="48" spans="1:15" ht="25.5">
      <c r="A48" s="3185" t="s">
        <v>2024</v>
      </c>
      <c r="B48" s="3168"/>
      <c r="C48" s="3168"/>
      <c r="D48" s="2547" t="b">
        <f>IF(H48="情况1",0,IF(H48="情况2",D52,IF(H48="情况3",D53,IF(H48="情况4",D54))))</f>
        <v>0</v>
      </c>
      <c r="E48" s="2557" t="str">
        <f>IF(H48="情况4","(销售额-原购置价)×税（费）率","销售额×税（费）率")</f>
        <v>销售额×税（费）率</v>
      </c>
      <c r="F48" s="2774">
        <f>IF(H48="情况1","免征",'数据-取费表'!B41)</f>
        <v>5.6000000000000001E-2</v>
      </c>
      <c r="G48" s="2775" t="s">
        <v>2025</v>
      </c>
      <c r="H48" s="2776"/>
      <c r="I48" s="1992"/>
      <c r="J48" s="2749">
        <v>3</v>
      </c>
      <c r="K48" s="3219" t="s">
        <v>2026</v>
      </c>
      <c r="L48" s="3219"/>
      <c r="M48" s="3241" t="e">
        <f ca="1">H101</f>
        <v>#REF!</v>
      </c>
      <c r="N48" s="3241"/>
      <c r="O48" s="3241"/>
    </row>
    <row r="49" spans="1:35" ht="25.5" customHeight="1">
      <c r="A49" s="2556" t="s">
        <v>2027</v>
      </c>
      <c r="B49" s="3152" t="s">
        <v>2028</v>
      </c>
      <c r="C49" s="3152"/>
      <c r="D49" s="1775">
        <v>0</v>
      </c>
      <c r="E49" s="330" t="s">
        <v>2029</v>
      </c>
      <c r="F49" s="2650" t="s">
        <v>34</v>
      </c>
      <c r="G49" s="3225"/>
      <c r="H49" s="2528" t="s">
        <v>2876</v>
      </c>
      <c r="I49" s="2529"/>
      <c r="J49" s="2749">
        <v>4</v>
      </c>
      <c r="K49" s="3219" t="str">
        <f>IF(项目基本情况!E8="房地产抵押价值","房地产抵押价值","抵押担保权已注销时的房地产抵押价值")</f>
        <v>房地产抵押价值</v>
      </c>
      <c r="L49" s="3219"/>
      <c r="M49" s="3241" t="str">
        <f ca="1">IF(项目基本情况!E8="房地产抵押价值",H107,H109)</f>
        <v>——</v>
      </c>
      <c r="N49" s="3241"/>
      <c r="O49" s="3241"/>
    </row>
    <row r="50" spans="1:35" ht="25.5" customHeight="1">
      <c r="A50" s="2777"/>
      <c r="B50" s="3152" t="s">
        <v>2030</v>
      </c>
      <c r="C50" s="3152"/>
      <c r="D50" s="2778"/>
      <c r="E50" s="338"/>
      <c r="F50" s="2650"/>
      <c r="G50" s="3226"/>
      <c r="H50" s="2530" t="s">
        <v>2877</v>
      </c>
      <c r="I50" s="2529"/>
      <c r="J50" s="3238" t="s">
        <v>2031</v>
      </c>
      <c r="K50" s="3238"/>
      <c r="L50" s="3238"/>
      <c r="M50" s="3238"/>
      <c r="N50" s="3238"/>
      <c r="O50" s="3238"/>
    </row>
    <row r="51" spans="1:35" ht="20.45" customHeight="1">
      <c r="A51" s="2779"/>
      <c r="B51" s="3152" t="s">
        <v>2032</v>
      </c>
      <c r="C51" s="3152"/>
      <c r="D51" s="1247"/>
      <c r="E51" s="333"/>
      <c r="F51" s="2650"/>
      <c r="G51" s="3227"/>
      <c r="H51" s="2530" t="s">
        <v>2878</v>
      </c>
      <c r="I51" s="2529"/>
      <c r="J51" s="2750" t="s">
        <v>2033</v>
      </c>
      <c r="K51" s="3219" t="s">
        <v>2034</v>
      </c>
      <c r="L51" s="3219"/>
      <c r="M51" s="2750" t="s">
        <v>2035</v>
      </c>
      <c r="N51" s="2750" t="s">
        <v>2036</v>
      </c>
      <c r="O51" s="2750" t="s">
        <v>2037</v>
      </c>
    </row>
    <row r="52" spans="1:35" ht="24" customHeight="1">
      <c r="A52" s="2558" t="s">
        <v>2038</v>
      </c>
      <c r="B52" s="3152" t="s">
        <v>2039</v>
      </c>
      <c r="C52" s="3152"/>
      <c r="D52" s="1247" t="e">
        <f ca="1">ROUND(D45*'数据-取费表'!B41/(1+'数据-取费表'!C42),0)</f>
        <v>#REF!</v>
      </c>
      <c r="E52" s="2557" t="s">
        <v>2040</v>
      </c>
      <c r="F52" s="2780">
        <f>'数据-取费表'!B41</f>
        <v>5.6000000000000001E-2</v>
      </c>
      <c r="G52" s="2781"/>
      <c r="H52" s="2770"/>
      <c r="I52" s="1993"/>
      <c r="J52" s="2749">
        <v>1</v>
      </c>
      <c r="K52" s="3220" t="s">
        <v>2041</v>
      </c>
      <c r="L52" s="3220"/>
      <c r="M52" s="2751" t="b">
        <f>D48</f>
        <v>0</v>
      </c>
      <c r="N52" s="2749" t="str">
        <f>E48</f>
        <v>销售额×税（费）率</v>
      </c>
      <c r="O52" s="2752">
        <f>F48</f>
        <v>5.6000000000000001E-2</v>
      </c>
    </row>
    <row r="53" spans="1:35" ht="12" customHeight="1">
      <c r="A53" s="2558" t="s">
        <v>2042</v>
      </c>
      <c r="B53" s="3178" t="s">
        <v>3037</v>
      </c>
      <c r="C53" s="3179"/>
      <c r="D53" s="1247" t="e">
        <f ca="1">ROUND(D45*'数据-取费表'!B41/(1+'数据-取费表'!C42),0)</f>
        <v>#REF!</v>
      </c>
      <c r="E53" s="2557" t="s">
        <v>2040</v>
      </c>
      <c r="F53" s="2780">
        <f>'数据-取费表'!B41</f>
        <v>5.6000000000000001E-2</v>
      </c>
      <c r="G53" s="2781"/>
      <c r="H53" s="2770"/>
      <c r="I53" s="1993"/>
      <c r="J53" s="2749">
        <v>2</v>
      </c>
      <c r="K53" s="3220" t="s">
        <v>2043</v>
      </c>
      <c r="L53" s="3220"/>
      <c r="M53" s="2751" t="e">
        <f t="shared" ref="M53:O54" ca="1" si="0">D55</f>
        <v>#REF!</v>
      </c>
      <c r="N53" s="2749" t="str">
        <f t="shared" si="0"/>
        <v>销售额×税（费）率</v>
      </c>
      <c r="O53" s="2752" t="str">
        <f t="shared" si="0"/>
        <v>免征</v>
      </c>
    </row>
    <row r="54" spans="1:35" ht="12" customHeight="1">
      <c r="A54" s="2558" t="s">
        <v>2044</v>
      </c>
      <c r="B54" s="3178" t="s">
        <v>3038</v>
      </c>
      <c r="C54" s="3179"/>
      <c r="D54" s="1247" t="e">
        <f ca="1">C68</f>
        <v>#REF!</v>
      </c>
      <c r="E54" s="333" t="s">
        <v>2045</v>
      </c>
      <c r="F54" s="2780">
        <f>'数据-取费表'!B41</f>
        <v>5.6000000000000001E-2</v>
      </c>
      <c r="G54" s="2781"/>
      <c r="H54" s="2782"/>
      <c r="I54" s="1993"/>
      <c r="J54" s="2749">
        <v>3</v>
      </c>
      <c r="K54" s="3220" t="s">
        <v>2046</v>
      </c>
      <c r="L54" s="3220"/>
      <c r="M54" s="2751" t="e">
        <f t="shared" ca="1" si="0"/>
        <v>#REF!</v>
      </c>
      <c r="N54" s="2749" t="str">
        <f t="shared" si="0"/>
        <v>增值额×税（费）率</v>
      </c>
      <c r="O54" s="2753" t="str">
        <f t="shared" si="0"/>
        <v>免征</v>
      </c>
    </row>
    <row r="55" spans="1:35" ht="24" customHeight="1">
      <c r="A55" s="3167" t="s">
        <v>2047</v>
      </c>
      <c r="B55" s="3168"/>
      <c r="C55" s="3168"/>
      <c r="D55" s="2547" t="e">
        <f ca="1">IF(H55="个人住宅",0,ROUND(D45*I55,0))</f>
        <v>#REF!</v>
      </c>
      <c r="E55" s="2557" t="s">
        <v>2048</v>
      </c>
      <c r="F55" s="2780" t="str">
        <f>IF(H55="正常",I55,"免征")</f>
        <v>免征</v>
      </c>
      <c r="G55" s="2781"/>
      <c r="H55" s="2776"/>
      <c r="I55" s="170">
        <f>'数据-取费表'!B49</f>
        <v>5.0000000000000001E-4</v>
      </c>
      <c r="J55" s="2749">
        <f>IF(H59="非个人房产","",4)</f>
        <v>4</v>
      </c>
      <c r="K55" s="3220" t="str">
        <f>IF(H59="非个人房产","——","个人所得税")</f>
        <v>个人所得税</v>
      </c>
      <c r="L55" s="3220"/>
      <c r="M55" s="2754" t="e">
        <f ca="1">D59</f>
        <v>#REF!</v>
      </c>
      <c r="N55" s="2228" t="str">
        <f>E59</f>
        <v>差额计税</v>
      </c>
      <c r="O55" s="2755">
        <f>F59</f>
        <v>0.01</v>
      </c>
    </row>
    <row r="56" spans="1:35" ht="24.75">
      <c r="A56" s="3167" t="s">
        <v>2049</v>
      </c>
      <c r="B56" s="3168"/>
      <c r="C56" s="3168"/>
      <c r="D56" s="2547" t="e">
        <f ca="1">IF(H56="个人住宅",D57,D58)</f>
        <v>#REF!</v>
      </c>
      <c r="E56" s="2557" t="s">
        <v>2050</v>
      </c>
      <c r="F56" s="2780" t="str">
        <f>IF(H56="正常",F58,"免征")</f>
        <v>免征</v>
      </c>
      <c r="G56" s="2783" t="s">
        <v>2051</v>
      </c>
      <c r="H56" s="2784"/>
      <c r="I56" s="1994"/>
      <c r="J56" s="2749" t="str">
        <f>IF(项目基本情况!K6="上海银行",IF(J55="",4,J55+1),"")</f>
        <v/>
      </c>
      <c r="K56" s="3243" t="str">
        <f>IF(项目基本情况!K6="上海银行","其他处置费用","")</f>
        <v/>
      </c>
      <c r="L56" s="3244"/>
      <c r="M56" s="2751" t="str">
        <f>IF(项目基本情况!K6="上海银行",M69,"")</f>
        <v/>
      </c>
      <c r="N56" s="3243" t="str">
        <f>IF(项目基本情况!K6="上海银行","包含处置中涉及的律师、诉讼、拍卖、评估等费用","")</f>
        <v/>
      </c>
      <c r="O56" s="3246"/>
    </row>
    <row r="57" spans="1:35" ht="12.75">
      <c r="A57" s="2558" t="s">
        <v>2027</v>
      </c>
      <c r="B57" s="3178" t="s">
        <v>2052</v>
      </c>
      <c r="C57" s="3179"/>
      <c r="D57" s="1775">
        <v>0</v>
      </c>
      <c r="E57" s="330" t="s">
        <v>2029</v>
      </c>
      <c r="F57" s="308"/>
      <c r="G57" s="2781"/>
      <c r="H57" s="2785"/>
      <c r="I57" s="1994"/>
      <c r="J57" s="3220">
        <f>IF(AND(J55="",J56=""),4,IF(项目基本情况!K6="上海银行",结果表!J56+1,结果表!J55+1))</f>
        <v>5</v>
      </c>
      <c r="K57" s="3220" t="s">
        <v>2053</v>
      </c>
      <c r="L57" s="2756" t="s">
        <v>2054</v>
      </c>
      <c r="M57" s="2757"/>
      <c r="N57" s="2758">
        <f ca="1">SUMIF(M52:M56,"&lt;9e307")</f>
        <v>0</v>
      </c>
      <c r="O57" s="2759"/>
      <c r="P57" s="2919" t="e">
        <f ca="1">N57/M49</f>
        <v>#VALUE!</v>
      </c>
    </row>
    <row r="58" spans="1:35" ht="24.75">
      <c r="A58" s="2558" t="s">
        <v>2038</v>
      </c>
      <c r="B58" s="3178" t="s">
        <v>2055</v>
      </c>
      <c r="C58" s="3152"/>
      <c r="D58" s="2547" t="e">
        <f ca="1">IF(H58="转让取得",C81,C97)</f>
        <v>#REF!</v>
      </c>
      <c r="E58" s="2557" t="s">
        <v>2050</v>
      </c>
      <c r="F58" s="308" t="s">
        <v>34</v>
      </c>
      <c r="G58" s="2781"/>
      <c r="H58" s="2784"/>
      <c r="I58" s="1994"/>
      <c r="J58" s="3220"/>
      <c r="K58" s="3220"/>
      <c r="L58" s="2756" t="s">
        <v>2056</v>
      </c>
      <c r="M58" s="2760"/>
      <c r="N58" s="2761" t="str">
        <f ca="1">NUMBERSTRING(INT(N57*10000),2)&amp;"元整"</f>
        <v>零元整</v>
      </c>
      <c r="O58" s="2762"/>
    </row>
    <row r="59" spans="1:35" ht="24.75" thickBot="1">
      <c r="A59" s="3223" t="s">
        <v>2057</v>
      </c>
      <c r="B59" s="3224"/>
      <c r="C59" s="3224"/>
      <c r="D59" s="2786" t="e">
        <f ca="1">IF(H59="非个人房产","——",IF(H59="个人住宅（满五唯一有凭证）",0,IF(H59="个人其他（无凭证）",ROUND(D45*F59,0),ROUND(C67*F59,0))))</f>
        <v>#REF!</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2879</v>
      </c>
      <c r="J59" s="3221">
        <f>J57+1</f>
        <v>6</v>
      </c>
      <c r="K59" s="3220" t="s">
        <v>2058</v>
      </c>
      <c r="L59" s="2749" t="s">
        <v>2054</v>
      </c>
      <c r="M59" s="2763"/>
      <c r="N59" s="2764" t="e">
        <f ca="1">M49-N57</f>
        <v>#VALUE!</v>
      </c>
      <c r="O59" s="2765"/>
    </row>
    <row r="60" spans="1:35" ht="12" customHeight="1">
      <c r="A60" s="1995"/>
      <c r="B60" s="1933"/>
      <c r="C60" s="1933"/>
      <c r="D60" s="1933"/>
      <c r="E60" s="1763"/>
      <c r="F60" s="1994"/>
      <c r="G60" s="1994"/>
      <c r="H60" s="1996"/>
      <c r="I60" s="134"/>
      <c r="J60" s="3222"/>
      <c r="K60" s="3220"/>
      <c r="L60" s="2756" t="s">
        <v>2056</v>
      </c>
      <c r="M60" s="2760"/>
      <c r="N60" s="2761" t="e">
        <f ca="1">NUMBERSTRING(INT(N59*10000),2)&amp;"元整"</f>
        <v>#VALUE!</v>
      </c>
      <c r="O60" s="2762"/>
    </row>
    <row r="61" spans="1:35" ht="13.5" thickBot="1">
      <c r="A61" s="3165" t="s">
        <v>2059</v>
      </c>
      <c r="B61" s="3165"/>
      <c r="C61" s="3165"/>
      <c r="D61" s="3165"/>
      <c r="E61" s="3165"/>
      <c r="F61" s="1994"/>
      <c r="G61" s="1994"/>
      <c r="H61" s="1996"/>
      <c r="I61" s="134"/>
      <c r="J61" s="2749">
        <f>J59+1</f>
        <v>7</v>
      </c>
      <c r="K61" s="3220" t="s">
        <v>2060</v>
      </c>
      <c r="L61" s="3220"/>
      <c r="M61" s="2766"/>
      <c r="N61" s="2767" t="e">
        <f ca="1">ROUND(N59*10000/'数据-汇总表'!E3,0)</f>
        <v>#VALUE!</v>
      </c>
      <c r="O61" s="2768"/>
    </row>
    <row r="62" spans="1:35" ht="12.75">
      <c r="A62" s="3183" t="s">
        <v>2061</v>
      </c>
      <c r="B62" s="3184"/>
      <c r="C62" s="2209"/>
      <c r="D62" s="2209" t="s">
        <v>2062</v>
      </c>
      <c r="E62" s="171" t="s">
        <v>2063</v>
      </c>
      <c r="F62" s="1994"/>
      <c r="G62" s="1994"/>
      <c r="H62" s="1996"/>
      <c r="I62" s="134"/>
    </row>
    <row r="63" spans="1:35" ht="12.75">
      <c r="A63" s="178" t="s">
        <v>775</v>
      </c>
      <c r="B63" s="172" t="s">
        <v>2064</v>
      </c>
      <c r="C63" s="2790" t="e">
        <f ca="1">ROUND((C64+C65)/(1+'数据-取费表'!C42),0)</f>
        <v>#REF!</v>
      </c>
      <c r="D63" s="172"/>
      <c r="E63" s="173"/>
      <c r="F63" s="1994"/>
      <c r="G63" s="1994"/>
      <c r="H63" s="1996"/>
      <c r="I63" s="134"/>
      <c r="J63" s="3245" t="s">
        <v>2065</v>
      </c>
      <c r="K63" s="1501" t="s">
        <v>2066</v>
      </c>
      <c r="L63" s="1501" t="e">
        <f ca="1">IF(M49&gt;10000,M49*0.5%,IF(AND(M49&gt;1000,M49&lt;=10000),M49*1%,IF(AND(M49&gt;100,M49&lt;=1000),M49*3%,IF(AND(M49&gt;10,M49&lt;=100),M49*5%,M49*8%))))</f>
        <v>#VALUE!</v>
      </c>
      <c r="M63" s="308" t="e">
        <f ca="1">ROUND(L63,1)</f>
        <v>#VALUE!</v>
      </c>
      <c r="N63" s="2769"/>
      <c r="Z63" s="1938"/>
      <c r="AI63" s="1939"/>
    </row>
    <row r="64" spans="1:35" ht="14.25" customHeight="1">
      <c r="A64" s="174" t="s">
        <v>770</v>
      </c>
      <c r="B64" s="175" t="s">
        <v>2067</v>
      </c>
      <c r="C64" s="2791" t="e">
        <f ca="1">D45</f>
        <v>#REF!</v>
      </c>
      <c r="D64" s="175" t="s">
        <v>32</v>
      </c>
      <c r="E64" s="177"/>
      <c r="F64" s="1994"/>
      <c r="G64" s="1994"/>
      <c r="H64" s="1996"/>
      <c r="I64" s="134"/>
      <c r="J64" s="3245"/>
      <c r="K64" s="1501" t="s">
        <v>2068</v>
      </c>
      <c r="L64" s="1501" t="e">
        <f ca="1">IF(M49&gt;2000,M49*0.5%,IF(AND(M49&gt;1000,M49&lt;=2000),M49*0.6%,IF(AND(M49&gt;500,M49&lt;=1000),M49*0.7%,IF(AND(M49&gt;200,M49&lt;=500),M49*0.8%,IF(AND(M49&gt;100,M49&lt;=200),M49*0.9%,IF(AND(M49&gt;50,M49&lt;=100),M49*1%,IF(AND(M49&gt;20,M49&lt;=50),M49*1.5%,IF(AND(M49&gt;10,M49&lt;=20),M49*2%,IF(AND(M49&gt;1,M49&lt;=10),M49*2.5%)))))))))</f>
        <v>#VALUE!</v>
      </c>
      <c r="M64" s="308" t="e">
        <f t="shared" ref="M64:M65" ca="1" si="1">ROUND(L64,1)</f>
        <v>#VALUE!</v>
      </c>
      <c r="N64" s="2770" t="s">
        <v>2069</v>
      </c>
      <c r="Z64" s="1938"/>
      <c r="AI64" s="1939"/>
    </row>
    <row r="65" spans="1:35" ht="14.25" customHeight="1">
      <c r="A65" s="174" t="s">
        <v>771</v>
      </c>
      <c r="B65" s="175" t="s">
        <v>2070</v>
      </c>
      <c r="C65" s="2792"/>
      <c r="D65" s="175"/>
      <c r="E65" s="177"/>
      <c r="F65" s="1994"/>
      <c r="G65" s="1994"/>
      <c r="H65" s="1996"/>
      <c r="I65" s="134"/>
      <c r="J65" s="3245"/>
      <c r="K65" s="1501" t="s">
        <v>2071</v>
      </c>
      <c r="L65" s="1501" t="e">
        <f ca="1">IF(M49&gt;1000,M49*0.1%,IF(AND(M49&gt;500,M49&lt;=1000),M49*0.5%,IF(AND(M49&gt;50,M49&lt;=500),M49*1%,IF(AND(M49&gt;1,M49&lt;=50),M49*1.5%))))</f>
        <v>#VALUE!</v>
      </c>
      <c r="M65" s="308" t="e">
        <f t="shared" ca="1" si="1"/>
        <v>#VALUE!</v>
      </c>
      <c r="N65" s="2770" t="s">
        <v>2069</v>
      </c>
      <c r="Z65" s="1938"/>
      <c r="AI65" s="1939"/>
    </row>
    <row r="66" spans="1:35" ht="14.25" customHeight="1">
      <c r="A66" s="178" t="s">
        <v>772</v>
      </c>
      <c r="B66" s="179" t="s">
        <v>2072</v>
      </c>
      <c r="C66" s="2793"/>
      <c r="D66" s="179" t="s">
        <v>32</v>
      </c>
      <c r="E66" s="1509" t="s">
        <v>1337</v>
      </c>
      <c r="F66" s="1994"/>
      <c r="G66" s="1994"/>
      <c r="H66" s="1996"/>
      <c r="I66" s="134"/>
      <c r="J66" s="3245"/>
      <c r="K66" s="1501" t="s">
        <v>2073</v>
      </c>
      <c r="L66" s="1501" t="e">
        <f ca="1">M49*0.5%</f>
        <v>#VALUE!</v>
      </c>
      <c r="M66" s="308" t="e">
        <f ca="1">IF(L66&gt;0.5,0.5,ROUND(L66,0))</f>
        <v>#VALUE!</v>
      </c>
      <c r="N66" s="2770" t="s">
        <v>2074</v>
      </c>
      <c r="Z66" s="1938"/>
      <c r="AI66" s="1939"/>
    </row>
    <row r="67" spans="1:35" ht="14.25" customHeight="1">
      <c r="A67" s="178" t="s">
        <v>773</v>
      </c>
      <c r="B67" s="179" t="s">
        <v>2075</v>
      </c>
      <c r="C67" s="2794" t="e">
        <f ca="1">C63-C66</f>
        <v>#REF!</v>
      </c>
      <c r="D67" s="175" t="s">
        <v>32</v>
      </c>
      <c r="E67" s="177"/>
      <c r="F67" s="1994"/>
      <c r="G67" s="1994"/>
      <c r="H67" s="1996"/>
      <c r="I67" s="134"/>
      <c r="J67" s="3245"/>
      <c r="K67" s="1501" t="s">
        <v>2076</v>
      </c>
      <c r="L67" s="1501" t="e">
        <f ca="1">IF(M49&gt;=10000,(8.25+(M49-10000)*0.01%),IF(AND(M49&gt;=8000,M49&lt;10000),(7.85+(M49-8000)*0.02%),IF(AND(M49&gt;=5000,M49&lt;8000),(6.65+(M49-5000)*0.04%),IF(AND(M49&gt;=2000,M49&lt;5000),(4.25+(PM49-2000)*0.08%),IF(AND(M49&gt;=1000,M49&lt;2000),(2.75+(M49-1000)*0.15%),IF(AND(M49&gt;=100,M49&lt;1000),(0.5+(M49-100)*0.25%),IF(AND(M49&gt;0,M49&lt;100),M49*0.5%)))))))</f>
        <v>#VALUE!</v>
      </c>
      <c r="M67" s="308" t="e">
        <f ca="1">ROUND(L67*0.9,1)</f>
        <v>#VALUE!</v>
      </c>
      <c r="N67" s="2769"/>
      <c r="Z67" s="1938"/>
      <c r="AI67" s="1939"/>
    </row>
    <row r="68" spans="1:35" ht="14.25" customHeight="1" thickBot="1">
      <c r="A68" s="181" t="s">
        <v>774</v>
      </c>
      <c r="B68" s="182" t="s">
        <v>2077</v>
      </c>
      <c r="C68" s="2795" t="e">
        <f ca="1">IF(C67&lt;=0,0,ROUND(C67*D68,0))</f>
        <v>#REF!</v>
      </c>
      <c r="D68" s="2796">
        <f>'数据-取费表'!B41</f>
        <v>5.6000000000000001E-2</v>
      </c>
      <c r="E68" s="184"/>
      <c r="F68" s="1994"/>
      <c r="G68" s="1994"/>
      <c r="H68" s="1996"/>
      <c r="I68" s="134"/>
      <c r="J68" s="3245"/>
      <c r="K68" s="1501" t="s">
        <v>2078</v>
      </c>
      <c r="L68" s="1501" t="e">
        <f ca="1">IF(M49&gt;10000,M49*0.5%,IF(AND(M49&gt;5000,M49&lt;=10000),M49*1%,IF(AND(M49&gt;1000,M49&lt;=5000),M49*2%,IF(AND(M49&gt;200,M49&lt;=1000),M49*3%,M49*5%))))</f>
        <v>#VALUE!</v>
      </c>
      <c r="M68" s="308" t="e">
        <f ca="1">ROUND(L68,1)</f>
        <v>#VALUE!</v>
      </c>
      <c r="N68" s="2769"/>
      <c r="Z68" s="1938"/>
      <c r="AI68" s="1939"/>
    </row>
    <row r="69" spans="1:35" s="1958" customFormat="1" ht="16.5" customHeight="1">
      <c r="A69" s="1997"/>
      <c r="B69" s="1998"/>
      <c r="C69" s="1999"/>
      <c r="D69" s="2000"/>
      <c r="E69" s="2001"/>
      <c r="F69" s="1763"/>
      <c r="G69" s="1763"/>
      <c r="H69" s="1762"/>
      <c r="I69" s="1933"/>
      <c r="J69" s="3245"/>
      <c r="K69" s="1501" t="s">
        <v>2079</v>
      </c>
      <c r="L69" s="1501"/>
      <c r="M69" s="308" t="e">
        <f ca="1">ROUND(SUM(M63:M68),0)</f>
        <v>#VALUE!</v>
      </c>
      <c r="N69" s="2771" t="e">
        <f ca="1">M69/M49</f>
        <v>#VALUE!</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04" t="s">
        <v>2080</v>
      </c>
      <c r="B70" s="3205"/>
      <c r="C70" s="3205"/>
      <c r="D70" s="3205"/>
      <c r="E70" s="3205"/>
      <c r="F70" s="3205"/>
      <c r="G70" s="3205"/>
      <c r="H70" s="3205"/>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183" t="s">
        <v>2061</v>
      </c>
      <c r="B71" s="3184"/>
      <c r="C71" s="2209"/>
      <c r="D71" s="2209" t="s">
        <v>2062</v>
      </c>
      <c r="E71" s="185" t="s">
        <v>2063</v>
      </c>
      <c r="F71" s="186"/>
      <c r="G71" s="186"/>
      <c r="H71" s="187"/>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2081</v>
      </c>
      <c r="C72" s="2794" t="e">
        <f ca="1">ROUND(D45/(1+'数据-取费表'!C42),0)</f>
        <v>#REF!</v>
      </c>
      <c r="D72" s="175" t="s">
        <v>32</v>
      </c>
      <c r="E72" s="2554"/>
      <c r="F72" s="2553"/>
      <c r="G72" s="2553"/>
      <c r="H72" s="188"/>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2082</v>
      </c>
      <c r="C73" s="2794" t="e">
        <f ca="1">C74+C78</f>
        <v>#REF!</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2084</v>
      </c>
      <c r="C75" s="2797"/>
      <c r="D75" s="175" t="s">
        <v>32</v>
      </c>
      <c r="E75" s="190" t="s">
        <v>2085</v>
      </c>
      <c r="F75" s="2798"/>
      <c r="G75" s="190"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2087</v>
      </c>
      <c r="C76" s="175">
        <f>IF(F75="购房发票",ROUND(C75*H75*D76,0),0)</f>
        <v>0</v>
      </c>
      <c r="D76" s="2800">
        <v>0.05</v>
      </c>
      <c r="E76" s="3178" t="s">
        <v>2088</v>
      </c>
      <c r="F76" s="3152"/>
      <c r="G76" s="3152"/>
      <c r="H76" s="3203"/>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2089</v>
      </c>
      <c r="C77" s="175">
        <f>ROUND(IF(G77="个人住宅",0,IF(G77="2016年5月1日前购买",C75*D77,C75*D77/(1+'数据-取费表'!C42))),0)</f>
        <v>0</v>
      </c>
      <c r="D77" s="2801">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2091</v>
      </c>
      <c r="C78" s="2802" t="e">
        <f ca="1">ROUND(D45*D78/(1+'数据-取费表'!C42),0)</f>
        <v>#REF!</v>
      </c>
      <c r="D78" s="2803">
        <f>'数据-取费表'!B43</f>
        <v>6.000000000000001E-3</v>
      </c>
      <c r="E78" s="3162" t="s">
        <v>2092</v>
      </c>
      <c r="F78" s="3163"/>
      <c r="G78" s="3163"/>
      <c r="H78" s="3172"/>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2093</v>
      </c>
      <c r="C79" s="2794" t="e">
        <f ca="1">C72-C73</f>
        <v>#REF!</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2094</v>
      </c>
      <c r="C80" s="2804" t="e">
        <f ca="1">IF(C79&lt;=0,0,C79/C73)</f>
        <v>#REF!</v>
      </c>
      <c r="D80" s="175" t="s">
        <v>32</v>
      </c>
      <c r="E80" s="2547" t="e">
        <f ca="1">IF(C80&gt;=200%,"增值额超过扣除项目金额200%",IF(C80&gt;=100%,"增值额超过扣除项目金额100%，未超过200%",IF(C80&gt;=50%,"增值额超过扣除项目金额50%，未超过100%",IF(C80&lt;50%,"增值额未超过扣除项目金额50%"))))</f>
        <v>#REF!</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2095</v>
      </c>
      <c r="C81" s="2805" t="e">
        <f ca="1">ROUND(IF(C79&lt;=0,0,IF(C80&gt;=200%,C79*60%-C73*35%,IF(C80&gt;=100%,C79*50%-C73*15%,IF(C80&gt;=50%,C79*40%-C73*5%,IF(C80&lt;50%,C79*30%,0))))),0)</f>
        <v>#REF!</v>
      </c>
      <c r="D81" s="2806" t="s">
        <v>32</v>
      </c>
      <c r="E81" s="19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04" t="s">
        <v>2096</v>
      </c>
      <c r="B83" s="3205"/>
      <c r="C83" s="3205"/>
      <c r="D83" s="3205"/>
      <c r="E83" s="3205"/>
      <c r="F83" s="3205"/>
      <c r="G83" s="3205"/>
      <c r="H83" s="3205"/>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183" t="s">
        <v>2061</v>
      </c>
      <c r="B84" s="3184"/>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2081</v>
      </c>
      <c r="C85" s="2794" t="e">
        <f ca="1">ROUND(D45/(1+'数据-取费表'!C42),0)</f>
        <v>#REF!</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2082</v>
      </c>
      <c r="C86" s="2794" t="e">
        <f ca="1">IF(H88="仅含出让金",C87+C90+C91+C92+C93+C94,C87+C91+C92+C93+C94)</f>
        <v>#REF!</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2098</v>
      </c>
      <c r="C88" s="2808"/>
      <c r="D88" s="2803"/>
      <c r="E88" s="199" t="s">
        <v>2099</v>
      </c>
      <c r="F88" s="2550"/>
      <c r="G88" s="200" t="s">
        <v>2100</v>
      </c>
      <c r="H88" s="2010"/>
      <c r="I88" s="2007"/>
      <c r="J88" s="2747"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2089</v>
      </c>
      <c r="C89" s="2802">
        <f>ROUND(C88*D89,0)</f>
        <v>0</v>
      </c>
      <c r="D89" s="2803">
        <f>'数据-取费表'!B48+'数据-取费表'!B49</f>
        <v>3.0499999999999999E-2</v>
      </c>
      <c r="E89" s="199"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2102</v>
      </c>
      <c r="C90" s="2808"/>
      <c r="D90" s="2803"/>
      <c r="E90" s="199" t="str">
        <f>IF(H88="-","土地取得成本中已包含该笔费用"," ")</f>
        <v xml:space="preserve"> </v>
      </c>
      <c r="F90" s="2550"/>
      <c r="G90" s="3247" t="s">
        <v>2871</v>
      </c>
      <c r="H90" s="3248"/>
      <c r="I90" s="2007"/>
      <c r="J90" s="2747"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2">
        <f>IF(H91="——",成本法!C33,I91)</f>
        <v>0</v>
      </c>
      <c r="D91" s="2803"/>
      <c r="E91" s="3162" t="s">
        <v>2105</v>
      </c>
      <c r="F91" s="3163"/>
      <c r="G91" s="3163"/>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2">
        <f>ROUND((C87+C90+C91)*D92,0)</f>
        <v>0</v>
      </c>
      <c r="D92" s="2809"/>
      <c r="E92" s="3162" t="s">
        <v>2108</v>
      </c>
      <c r="F92" s="3163"/>
      <c r="G92" s="3163"/>
      <c r="H92" s="3172"/>
      <c r="I92" s="2007"/>
      <c r="J92" s="2748"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2" t="e">
        <f ca="1">ROUND(D45*D93/(1+'数据-取费表'!C42),0)</f>
        <v>#REF!</v>
      </c>
      <c r="D93" s="2803">
        <f>'数据-取费表'!B43</f>
        <v>6.000000000000001E-3</v>
      </c>
      <c r="E93" s="3162" t="s">
        <v>2092</v>
      </c>
      <c r="F93" s="3163"/>
      <c r="G93" s="3163"/>
      <c r="H93" s="3172"/>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8">
        <f>ROUND((C87+C90+C91)*D94,0)</f>
        <v>0</v>
      </c>
      <c r="D94" s="2803">
        <v>0.2</v>
      </c>
      <c r="E94" s="3173" t="s">
        <v>2112</v>
      </c>
      <c r="F94" s="3174"/>
      <c r="G94" s="3174"/>
      <c r="H94" s="3175"/>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2093</v>
      </c>
      <c r="C95" s="2794" t="e">
        <f ca="1">ROUND(C85-C86,0)</f>
        <v>#REF!</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4" t="e">
        <f ca="1">IF(C95&lt;=0,0,C95/C86)</f>
        <v>#REF!</v>
      </c>
      <c r="D96" s="175" t="s">
        <v>32</v>
      </c>
      <c r="E96" s="2547" t="e">
        <f ca="1">IF(C96&gt;=200%,"增值额超过扣除项目金额200%",IF(C96&gt;=100%,"增值额超过扣除项目金额100%，未超过200%",IF(C96&gt;=50%,"增值额超过扣除项目金额50%，未超过100%",IF(C96&lt;50%,"增值额未超过扣除项目金额50%"))))</f>
        <v>#REF!</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2095</v>
      </c>
      <c r="C97" s="2805" t="e">
        <f ca="1">ROUND(IF(C95&lt;=0,0,IF(C96&gt;=200%,C95*60%-C86*35%,IF(C96&gt;=100%,C95*50%-C86*15%,IF(C96&gt;=50%,C95*40%-C86*5%,IF(C96&lt;50%,C95*30%,0))))),0)</f>
        <v>#REF!</v>
      </c>
      <c r="D97" s="2806" t="s">
        <v>32</v>
      </c>
      <c r="E97" s="19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146" t="s">
        <v>2114</v>
      </c>
      <c r="B100" s="3147"/>
      <c r="C100" s="3147"/>
      <c r="D100" s="3164"/>
      <c r="E100" s="3147" t="s">
        <v>2115</v>
      </c>
      <c r="F100" s="3147"/>
      <c r="G100" s="3147"/>
      <c r="H100" s="3164"/>
      <c r="I100" s="134"/>
    </row>
    <row r="101" spans="1:35" ht="18.75" customHeight="1">
      <c r="A101" s="3228" t="s">
        <v>2116</v>
      </c>
      <c r="B101" s="3229"/>
      <c r="C101" s="2811" t="str">
        <f>C4</f>
        <v>成本法</v>
      </c>
      <c r="D101" s="2812" t="str">
        <f>D4</f>
        <v>收益法</v>
      </c>
      <c r="E101" s="3242" t="s">
        <v>2117</v>
      </c>
      <c r="F101" s="3196"/>
      <c r="G101" s="2013" t="s">
        <v>2118</v>
      </c>
      <c r="H101" s="2821" t="e">
        <f ca="1">H118</f>
        <v>#REF!</v>
      </c>
      <c r="I101" s="134"/>
    </row>
    <row r="102" spans="1:35" ht="18.75" customHeight="1">
      <c r="A102" s="3198" t="s">
        <v>2119</v>
      </c>
      <c r="B102" s="2810" t="s">
        <v>2118</v>
      </c>
      <c r="C102" s="2811">
        <f ca="1">C19</f>
        <v>13897</v>
      </c>
      <c r="D102" s="2812">
        <f ca="1">D19</f>
        <v>13479</v>
      </c>
      <c r="E102" s="3242"/>
      <c r="F102" s="3196"/>
      <c r="G102" s="2013" t="s">
        <v>2120</v>
      </c>
      <c r="H102" s="2781" t="e">
        <f ca="1">I118</f>
        <v>#REF!</v>
      </c>
      <c r="I102" s="134"/>
    </row>
    <row r="103" spans="1:35" ht="42.75" customHeight="1">
      <c r="A103" s="3198"/>
      <c r="B103" s="2810" t="s">
        <v>2120</v>
      </c>
      <c r="C103" s="2813">
        <f ca="1">C20</f>
        <v>4333</v>
      </c>
      <c r="D103" s="2814">
        <f ca="1">D20</f>
        <v>4203</v>
      </c>
      <c r="E103" s="3236" t="s">
        <v>2121</v>
      </c>
      <c r="F103" s="3237"/>
      <c r="G103" s="2014" t="s">
        <v>2122</v>
      </c>
      <c r="H103" s="2821">
        <f>IF(D36="正常操作",H104+H105+H106,H105+H106)</f>
        <v>0</v>
      </c>
      <c r="I103" s="134"/>
    </row>
    <row r="104" spans="1:35" ht="18.75" customHeight="1">
      <c r="A104" s="3198" t="s">
        <v>2123</v>
      </c>
      <c r="B104" s="2815" t="s">
        <v>2118</v>
      </c>
      <c r="C104" s="2816" t="e">
        <f ca="1">H118</f>
        <v>#REF!</v>
      </c>
      <c r="D104" s="2817"/>
      <c r="E104" s="1860" t="s">
        <v>2124</v>
      </c>
      <c r="F104" s="1851"/>
      <c r="G104" s="2014" t="s">
        <v>2122</v>
      </c>
      <c r="H104" s="2822">
        <f>IF(D36="同一抵押权人同一抵押物续贷",C36&amp;"（续贷，未扣减，详见特别提示）",C36)</f>
        <v>0</v>
      </c>
      <c r="I104" s="134"/>
    </row>
    <row r="105" spans="1:35" ht="18.75" customHeight="1" thickBot="1">
      <c r="A105" s="3199"/>
      <c r="B105" s="2818" t="s">
        <v>2120</v>
      </c>
      <c r="C105" s="2819" t="e">
        <f ca="1">I118</f>
        <v>#REF!</v>
      </c>
      <c r="D105" s="2820"/>
      <c r="E105" s="1860" t="s">
        <v>2125</v>
      </c>
      <c r="F105" s="1851"/>
      <c r="G105" s="2014" t="s">
        <v>2122</v>
      </c>
      <c r="H105" s="2823">
        <f>C37</f>
        <v>0</v>
      </c>
      <c r="I105" s="134"/>
    </row>
    <row r="106" spans="1:35" ht="18.75" customHeight="1">
      <c r="A106" s="1933" t="s">
        <v>2126</v>
      </c>
      <c r="B106" s="1933"/>
      <c r="C106" s="1933"/>
      <c r="D106" s="1933"/>
      <c r="E106" s="2015" t="s">
        <v>2127</v>
      </c>
      <c r="F106" s="1851"/>
      <c r="G106" s="2014" t="s">
        <v>2122</v>
      </c>
      <c r="H106" s="2823">
        <f>C38</f>
        <v>0</v>
      </c>
      <c r="I106" s="134"/>
    </row>
    <row r="107" spans="1:35" ht="18.75" customHeight="1">
      <c r="A107" s="134"/>
      <c r="B107" s="134"/>
      <c r="C107" s="134"/>
      <c r="D107" s="134"/>
      <c r="E107" s="3195" t="str">
        <f>IF(项目基本情况!E8="已注销","——","3.房地产抵押价值")</f>
        <v>3.房地产抵押价值</v>
      </c>
      <c r="F107" s="3196"/>
      <c r="G107" s="2013" t="s">
        <v>2118</v>
      </c>
      <c r="H107" s="2821" t="e">
        <f ca="1">IF(E107="——","——",H101-H103)</f>
        <v>#REF!</v>
      </c>
      <c r="I107" s="134"/>
    </row>
    <row r="108" spans="1:35" ht="18.75" customHeight="1">
      <c r="A108" s="134"/>
      <c r="B108" s="134"/>
      <c r="C108" s="134"/>
      <c r="D108" s="134"/>
      <c r="E108" s="3195"/>
      <c r="F108" s="3196"/>
      <c r="G108" s="2013" t="s">
        <v>2120</v>
      </c>
      <c r="H108" s="2781" t="e">
        <f ca="1">ROUND(H107*10000/'数据-汇总表'!E3,0)</f>
        <v>#REF!</v>
      </c>
      <c r="I108" s="134"/>
    </row>
    <row r="109" spans="1:35" ht="18.75" customHeight="1">
      <c r="A109" s="134"/>
      <c r="B109" s="134"/>
      <c r="C109" s="134"/>
      <c r="D109" s="134"/>
      <c r="E109" s="3195" t="str">
        <f>IF(项目基本情况!E8="已注销及未注销","4.抵押担保权已注销时的房地产抵押价值",IF(项目基本情况!E8="已注销","3.抵押担保权已注销时的房地产抵押价值","——"))</f>
        <v>——</v>
      </c>
      <c r="F109" s="3196"/>
      <c r="G109" s="2013" t="s">
        <v>2118</v>
      </c>
      <c r="H109" s="2824" t="str">
        <f>IF(E109="——","——",H101-H105-H106)</f>
        <v>——</v>
      </c>
      <c r="I109" s="134"/>
    </row>
    <row r="110" spans="1:35" ht="18.75" customHeight="1">
      <c r="A110" s="134"/>
      <c r="B110" s="134"/>
      <c r="C110" s="134"/>
      <c r="D110" s="134"/>
      <c r="E110" s="3195"/>
      <c r="F110" s="3196"/>
      <c r="G110" s="2013" t="s">
        <v>2120</v>
      </c>
      <c r="H110" s="2781" t="str">
        <f>IF(H109="——","——",ROUND(H109*10000/'数据-汇总表'!E3,0))</f>
        <v>——</v>
      </c>
      <c r="I110" s="134"/>
    </row>
    <row r="111" spans="1:35" ht="18.75" customHeight="1">
      <c r="A111" s="134"/>
      <c r="B111" s="134"/>
      <c r="C111" s="134"/>
      <c r="D111" s="134"/>
      <c r="E111" s="3230" t="str">
        <f>IF(项目基本情况!E9="抵押净值",IF(OR(项目基本情况!E8="已注销",项目基本情况!E8="房地产抵押价值"),"4.抵押净值","5.抵押净值"),"——")</f>
        <v>——</v>
      </c>
      <c r="F111" s="3197"/>
      <c r="G111" s="2013" t="s">
        <v>2118</v>
      </c>
      <c r="H111" s="2821" t="str">
        <f>IF(E111="——","——",N59)</f>
        <v>——</v>
      </c>
      <c r="I111" s="134"/>
    </row>
    <row r="112" spans="1:35" ht="18.75" customHeight="1" thickBot="1">
      <c r="A112" s="134"/>
      <c r="B112" s="134"/>
      <c r="C112" s="134"/>
      <c r="D112" s="134"/>
      <c r="E112" s="3231"/>
      <c r="F112" s="3232"/>
      <c r="G112" s="2016" t="s">
        <v>2120</v>
      </c>
      <c r="H112" s="2825" t="str">
        <f>IF(E111="——","——",N61)</f>
        <v>——</v>
      </c>
      <c r="I112" s="134"/>
    </row>
    <row r="113" spans="1:27" ht="18.75" customHeight="1">
      <c r="A113" s="134"/>
      <c r="B113" s="134"/>
      <c r="C113" s="134"/>
      <c r="D113" s="134"/>
      <c r="E113" s="3200" t="s">
        <v>2126</v>
      </c>
      <c r="F113" s="3200"/>
      <c r="G113" s="3200"/>
      <c r="H113" s="3200"/>
      <c r="I113" s="134"/>
    </row>
    <row r="114" spans="1:27" ht="3.75" customHeight="1">
      <c r="A114" s="1933"/>
      <c r="B114" s="1933"/>
      <c r="C114" s="1933"/>
      <c r="D114" s="1933"/>
      <c r="E114" s="1995"/>
      <c r="F114" s="1995"/>
      <c r="G114" s="1995"/>
      <c r="H114" s="1995"/>
      <c r="I114" s="1933"/>
    </row>
    <row r="115" spans="1:27" ht="18.75" customHeight="1">
      <c r="A115" s="3213" t="s">
        <v>2128</v>
      </c>
      <c r="B115" s="3214"/>
      <c r="C115" s="3214"/>
      <c r="D115" s="3214"/>
      <c r="E115" s="3214"/>
      <c r="F115" s="3214"/>
      <c r="G115" s="3214"/>
      <c r="H115" s="3214"/>
      <c r="I115" s="3215"/>
    </row>
    <row r="116" spans="1:27" ht="27" customHeight="1">
      <c r="A116" s="3166" t="s">
        <v>2129</v>
      </c>
      <c r="B116" s="3201" t="s">
        <v>2130</v>
      </c>
      <c r="C116" s="3201" t="s">
        <v>2131</v>
      </c>
      <c r="D116" s="3217" t="s">
        <v>2132</v>
      </c>
      <c r="E116" s="3218"/>
      <c r="F116" s="3209" t="s">
        <v>2133</v>
      </c>
      <c r="G116" s="3209"/>
      <c r="H116" s="3166" t="s">
        <v>2134</v>
      </c>
      <c r="I116" s="3166"/>
    </row>
    <row r="117" spans="1:27" ht="18.75" customHeight="1">
      <c r="A117" s="3166"/>
      <c r="B117" s="3202"/>
      <c r="C117" s="3202"/>
      <c r="D117" s="2552" t="s">
        <v>2135</v>
      </c>
      <c r="E117" s="2552" t="s">
        <v>2136</v>
      </c>
      <c r="F117" s="2552" t="s">
        <v>2135</v>
      </c>
      <c r="G117" s="2552" t="s">
        <v>2137</v>
      </c>
      <c r="H117" s="2552" t="s">
        <v>2135</v>
      </c>
      <c r="I117" s="2552" t="s">
        <v>2137</v>
      </c>
    </row>
    <row r="118" spans="1:27" ht="24.75" customHeight="1">
      <c r="A118" s="2826" t="str">
        <f>项目基本情况!S2</f>
        <v>房地产</v>
      </c>
      <c r="B118" s="2552">
        <f>M18</f>
        <v>32069.72</v>
      </c>
      <c r="C118" s="2552">
        <f>M19</f>
        <v>60655.3</v>
      </c>
      <c r="D118" s="2552" t="e">
        <f ca="1">ROUND(IF(D32="总价",C34,E118*B118/10000),0)</f>
        <v>#REF!</v>
      </c>
      <c r="E118" s="2552" t="e">
        <f ca="1">ROUND(IF(C33="自定义",IF(D32="楼面单价",C34,D118*10000/B118),I118-G118),0)</f>
        <v>#REF!</v>
      </c>
      <c r="F118" s="2552" t="e">
        <f ca="1">ROUND(IF(D32="总价",C35,G118*B118/10000),0)</f>
        <v>#REF!</v>
      </c>
      <c r="G118" s="2552" t="e">
        <f ca="1">ROUND(IF(D32="楼面单价",C35,F118*10000/B118),0)</f>
        <v>#REF!</v>
      </c>
      <c r="H118" s="2552" t="e">
        <f ca="1">ROUND(IF(D32="总价",C32,I118*B118/10000),0)</f>
        <v>#REF!</v>
      </c>
      <c r="I118" s="2552" t="e">
        <f ca="1">ROUND(IF(D32="楼面单价",C32,H118*10000/B118),0)</f>
        <v>#REF!</v>
      </c>
    </row>
    <row r="119" spans="1:27" ht="18.75" customHeight="1">
      <c r="A119" s="3166" t="s">
        <v>2138</v>
      </c>
      <c r="B119" s="3166"/>
      <c r="C119" s="3166"/>
      <c r="D119" s="3206" t="e">
        <f ca="1">NUMBERSTRING(INT(D118*10000),2)&amp;"元整"</f>
        <v>#REF!</v>
      </c>
      <c r="E119" s="3208"/>
      <c r="F119" s="3206" t="e">
        <f ca="1">NUMBERSTRING(INT(F118*10000),2)&amp;"元整"</f>
        <v>#REF!</v>
      </c>
      <c r="G119" s="3208"/>
      <c r="H119" s="3206" t="e">
        <f ca="1">NUMBERSTRING(INT(H118*10000),2)&amp;"元整"</f>
        <v>#REF!</v>
      </c>
      <c r="I119" s="3208"/>
    </row>
    <row r="120" spans="1:27" ht="18.75" customHeight="1">
      <c r="A120" s="3233" t="str">
        <f>IF(项目基本情况!B9="房地产市场价值","",MID(E103,3,LEN(E103)-2))</f>
        <v>估价师知悉的法定优先受偿款</v>
      </c>
      <c r="B120" s="3234"/>
      <c r="C120" s="3235"/>
      <c r="D120" s="3233">
        <f>H103</f>
        <v>0</v>
      </c>
      <c r="E120" s="3234"/>
      <c r="F120" s="3234"/>
      <c r="G120" s="3234"/>
      <c r="H120" s="3234"/>
      <c r="I120" s="3235"/>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10" t="s">
        <v>2138</v>
      </c>
      <c r="B121" s="3211"/>
      <c r="C121" s="3212"/>
      <c r="D121" s="3206" t="str">
        <f>IF(D120=0,"零元整",NUMBERSTRING(INT(D120*10000),2)&amp;"元整")</f>
        <v>零元整</v>
      </c>
      <c r="E121" s="3207"/>
      <c r="F121" s="3207"/>
      <c r="G121" s="3207"/>
      <c r="H121" s="3207"/>
      <c r="I121" s="3208"/>
      <c r="AA121" s="734"/>
    </row>
    <row r="122" spans="1:27" ht="18.75" customHeight="1">
      <c r="A122" s="3197" t="str">
        <f>IF(项目基本情况!B9="房地产市场价值","",MID(E107,3,LEN(E107)-2))</f>
        <v>房地产抵押价值</v>
      </c>
      <c r="B122" s="3197"/>
      <c r="C122" s="3197"/>
      <c r="D122" s="3233" t="e">
        <f ca="1">H107</f>
        <v>#REF!</v>
      </c>
      <c r="E122" s="3234"/>
      <c r="F122" s="3234"/>
      <c r="G122" s="3234"/>
      <c r="H122" s="3234"/>
      <c r="I122" s="3235"/>
      <c r="AA122" s="734"/>
    </row>
    <row r="123" spans="1:27" ht="18.75" customHeight="1">
      <c r="A123" s="3166" t="s">
        <v>2138</v>
      </c>
      <c r="B123" s="3166"/>
      <c r="C123" s="3166"/>
      <c r="D123" s="3206" t="e">
        <f ca="1">NUMBERSTRING(INT(D122*10000),2)&amp;"元整"</f>
        <v>#REF!</v>
      </c>
      <c r="E123" s="3207"/>
      <c r="F123" s="3207"/>
      <c r="G123" s="3207"/>
      <c r="H123" s="3207"/>
      <c r="I123" s="3208"/>
      <c r="AA123" s="734"/>
    </row>
    <row r="124" spans="1:27" ht="18.75" customHeight="1">
      <c r="A124" s="3197" t="str">
        <f>IF(项目基本情况!B9="房地产市场价值","",MID(E109,3,LEN(E109)-2))</f>
        <v/>
      </c>
      <c r="B124" s="3197"/>
      <c r="C124" s="3197"/>
      <c r="D124" s="3233" t="str">
        <f>H109</f>
        <v>——</v>
      </c>
      <c r="E124" s="3234"/>
      <c r="F124" s="3234"/>
      <c r="G124" s="3234"/>
      <c r="H124" s="3234"/>
      <c r="I124" s="3235"/>
      <c r="AA124" s="734"/>
    </row>
    <row r="125" spans="1:27" ht="18.75" customHeight="1">
      <c r="A125" s="3166" t="s">
        <v>2138</v>
      </c>
      <c r="B125" s="3166"/>
      <c r="C125" s="3166"/>
      <c r="D125" s="3206" t="e">
        <f>NUMBERSTRING(INT(D124*10000),2)&amp;"元整"</f>
        <v>#VALUE!</v>
      </c>
      <c r="E125" s="3207"/>
      <c r="F125" s="3207"/>
      <c r="G125" s="3207"/>
      <c r="H125" s="3207"/>
      <c r="I125" s="3208"/>
      <c r="AA125" s="734"/>
    </row>
    <row r="126" spans="1:27" ht="18.75" customHeight="1">
      <c r="A126" s="3197" t="str">
        <f>IF(项目基本情况!B9="房地产市场价值","",MID(E111,3,LEN(E111)-2))</f>
        <v/>
      </c>
      <c r="B126" s="3197"/>
      <c r="C126" s="3197"/>
      <c r="D126" s="3233" t="str">
        <f>H111</f>
        <v>——</v>
      </c>
      <c r="E126" s="3234"/>
      <c r="F126" s="3234"/>
      <c r="G126" s="3234"/>
      <c r="H126" s="3234"/>
      <c r="I126" s="3235"/>
      <c r="AA126" s="734"/>
    </row>
    <row r="127" spans="1:27" ht="18.75" customHeight="1">
      <c r="A127" s="3166" t="s">
        <v>2138</v>
      </c>
      <c r="B127" s="3166"/>
      <c r="C127" s="3166"/>
      <c r="D127" s="3206" t="e">
        <f>NUMBERSTRING(INT(D126*10000),2)&amp;"元整"</f>
        <v>#VALUE!</v>
      </c>
      <c r="E127" s="3207"/>
      <c r="F127" s="3207"/>
      <c r="G127" s="3207"/>
      <c r="H127" s="3207"/>
      <c r="I127" s="3208"/>
      <c r="AA127" s="734"/>
    </row>
    <row r="128" spans="1:27" ht="21.75" customHeight="1">
      <c r="A128" s="3216" t="s">
        <v>2139</v>
      </c>
      <c r="B128" s="3216"/>
      <c r="C128" s="3216"/>
      <c r="D128" s="3216"/>
      <c r="E128" s="3216"/>
      <c r="F128" s="3216"/>
      <c r="G128" s="3216"/>
      <c r="H128" s="3216"/>
      <c r="I128" s="3216"/>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D49" sqref="D49"/>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c r="C1" s="204"/>
      <c r="D1" s="204"/>
      <c r="E1" s="204"/>
      <c r="F1" s="204"/>
      <c r="G1" s="1288">
        <f>MATCH(B1,'数据-取费表'!A6:A16,0)+5</f>
        <v>7</v>
      </c>
    </row>
    <row r="2" spans="1:9" s="206" customFormat="1" ht="18" customHeight="1">
      <c r="A2" s="207" t="s">
        <v>2148</v>
      </c>
      <c r="B2" s="208">
        <f ca="1">IF(D2="——",C52,C52-E2)</f>
        <v>13897</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4333</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C6+C7+C8</f>
        <v>2505</v>
      </c>
      <c r="D5" s="217" t="s">
        <v>2155</v>
      </c>
      <c r="E5" s="218" t="s">
        <v>2156</v>
      </c>
      <c r="F5" s="218" t="s">
        <v>2157</v>
      </c>
      <c r="G5" s="219"/>
    </row>
    <row r="6" spans="1:9" s="220" customFormat="1" ht="13.5" customHeight="1">
      <c r="A6" s="886" t="s">
        <v>2158</v>
      </c>
      <c r="B6" s="221" t="s">
        <v>2159</v>
      </c>
      <c r="C6" s="222">
        <f>'土地比较法-工业'!B2</f>
        <v>2431</v>
      </c>
      <c r="D6" s="223"/>
      <c r="E6" s="224"/>
      <c r="F6" s="224"/>
      <c r="G6" s="225"/>
    </row>
    <row r="7" spans="1:9" s="220" customFormat="1" ht="13.5" customHeight="1">
      <c r="A7" s="886" t="s">
        <v>2160</v>
      </c>
      <c r="B7" s="221" t="s">
        <v>2161</v>
      </c>
      <c r="C7" s="226">
        <f>ROUND(C6*F7,0)</f>
        <v>74</v>
      </c>
      <c r="D7" s="226"/>
      <c r="E7" s="224"/>
      <c r="F7" s="227">
        <f>IF(项目基本情况!B8="出让",0,'数据-取费表'!B48+'数据-取费表'!B49)</f>
        <v>3.0499999999999999E-2</v>
      </c>
      <c r="G7" s="225"/>
    </row>
    <row r="8" spans="1:9" s="229" customFormat="1">
      <c r="A8" s="886" t="s">
        <v>2162</v>
      </c>
      <c r="B8" s="221" t="s">
        <v>2163</v>
      </c>
      <c r="C8" s="226">
        <f>IF(G8="已包含在土地购买价格中","0",IF(B1="",'数据-取费表'!B29,IF(G9="全部缴纳",C9+C10,H9)))</f>
        <v>0</v>
      </c>
      <c r="D8" s="228"/>
      <c r="E8" s="226"/>
      <c r="F8" s="227"/>
      <c r="G8" s="2042" t="s">
        <v>3571</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3" t="s">
        <v>3572</v>
      </c>
      <c r="H9" s="1299"/>
      <c r="I9" s="2044" t="s">
        <v>2165</v>
      </c>
    </row>
    <row r="10" spans="1:9" s="220" customFormat="1" ht="13.5" customHeight="1">
      <c r="A10" s="887" t="s">
        <v>801</v>
      </c>
      <c r="B10" s="230" t="s">
        <v>2166</v>
      </c>
      <c r="C10" s="231">
        <f ca="1">ROUND(D10*E10/10000,0)</f>
        <v>0</v>
      </c>
      <c r="D10" s="954">
        <f ca="1">IF(B1="",'数据-汇总表'!E6,IF(INDIRECT("'数据-取费表'!c"&amp;$G$1)="住宅",INDIRECT("'数据-取费表'!s"&amp;$G$1),INDIRECT("'数据-取费表'!k"&amp;$G$1)+INDIRECT("'数据-取费表'!s"&amp;$G$1)))</f>
        <v>32069.72</v>
      </c>
      <c r="E10" s="231">
        <f>'数据-取费表'!B28</f>
        <v>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32069.72</v>
      </c>
      <c r="E19" s="217">
        <f>'数据-取费表'!B31</f>
        <v>200</v>
      </c>
      <c r="F19" s="237"/>
      <c r="G19" s="2042" t="s">
        <v>3573</v>
      </c>
    </row>
    <row r="20" spans="1:7" s="220" customFormat="1" ht="13.5" customHeight="1">
      <c r="A20" s="261" t="s">
        <v>2179</v>
      </c>
      <c r="B20" s="216" t="s">
        <v>2180</v>
      </c>
      <c r="C20" s="238">
        <f>ROUND((C5+C19)*F20,0)</f>
        <v>63</v>
      </c>
      <c r="D20" s="238"/>
      <c r="E20" s="238"/>
      <c r="F20" s="239">
        <f>'数据-取费表'!B37</f>
        <v>2.5000000000000001E-2</v>
      </c>
      <c r="G20" s="240" t="s">
        <v>2181</v>
      </c>
    </row>
    <row r="21" spans="1:7" s="220" customFormat="1" ht="13.5" customHeight="1">
      <c r="A21" s="261" t="s">
        <v>2182</v>
      </c>
      <c r="B21" s="216" t="s">
        <v>2183</v>
      </c>
      <c r="C21" s="241">
        <f>F21</f>
        <v>2.5000000000000001E-2</v>
      </c>
      <c r="D21" s="242" t="s">
        <v>2184</v>
      </c>
      <c r="E21" s="238"/>
      <c r="F21" s="239">
        <f>'数据-取费表'!B38</f>
        <v>2.5000000000000001E-2</v>
      </c>
      <c r="G21" s="240" t="s">
        <v>2185</v>
      </c>
    </row>
    <row r="22" spans="1:7" s="220" customFormat="1" ht="13.5" customHeight="1">
      <c r="A22" s="261" t="s">
        <v>2186</v>
      </c>
      <c r="B22" s="216" t="s">
        <v>2187</v>
      </c>
      <c r="C22" s="1264">
        <f ca="1">ROUND(SUM(C23:C25),0)</f>
        <v>167</v>
      </c>
      <c r="D22" s="241">
        <f ca="1">C26</f>
        <v>8.0000000000000004E-4</v>
      </c>
      <c r="E22" s="242" t="s">
        <v>2184</v>
      </c>
      <c r="F22" s="243">
        <f ca="1">'数据-取费表'!B40</f>
        <v>4.3499999999999997E-2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165</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2</v>
      </c>
      <c r="D25" s="244"/>
      <c r="E25" s="247"/>
      <c r="F25" s="245"/>
      <c r="G25" s="248" t="s">
        <v>2196</v>
      </c>
    </row>
    <row r="26" spans="1:7" s="220" customFormat="1">
      <c r="A26" s="888" t="s">
        <v>795</v>
      </c>
      <c r="B26" s="221" t="s">
        <v>2197</v>
      </c>
      <c r="C26" s="244">
        <f ca="1">ROUND(IF('数据-取费表'!B22&lt;=1,F21*F22*'数据-取费表'!B23/2,F21*(POWER((1+F22),'数据-取费表'!B23/2)-1)),4)</f>
        <v>8.0000000000000004E-4</v>
      </c>
      <c r="D26" s="244"/>
      <c r="E26" s="247"/>
      <c r="F26" s="245"/>
      <c r="G26" s="249"/>
    </row>
    <row r="27" spans="1:7" s="220" customFormat="1" ht="24.75">
      <c r="A27" s="261" t="s">
        <v>2198</v>
      </c>
      <c r="B27" s="250" t="s">
        <v>2199</v>
      </c>
      <c r="C27" s="251">
        <f ca="1">C28</f>
        <v>205</v>
      </c>
      <c r="D27" s="241">
        <f ca="1">C29</f>
        <v>2E-3</v>
      </c>
      <c r="E27" s="242" t="s">
        <v>2200</v>
      </c>
      <c r="F27" s="252">
        <f ca="1">IF(B1="",'数据-取费表'!Q16,INDIRECT("'数据-取费表'!q"&amp;$G$1))</f>
        <v>0.08</v>
      </c>
      <c r="G27" s="253" t="s">
        <v>2201</v>
      </c>
    </row>
    <row r="28" spans="1:7" s="220" customFormat="1" ht="13.5" customHeight="1">
      <c r="A28" s="888" t="s">
        <v>791</v>
      </c>
      <c r="B28" s="254" t="s">
        <v>2202</v>
      </c>
      <c r="C28" s="255">
        <f ca="1">ROUND((C5+C19+C20)*F27*'数据-取费表'!B21/'数据-取费表'!B20,0)</f>
        <v>205</v>
      </c>
      <c r="D28" s="241"/>
      <c r="E28" s="242"/>
      <c r="F28" s="252"/>
      <c r="G28" s="253"/>
    </row>
    <row r="29" spans="1:7" s="220" customFormat="1" ht="13.5" customHeight="1">
      <c r="A29" s="888" t="s">
        <v>792</v>
      </c>
      <c r="B29" s="254" t="s">
        <v>2203</v>
      </c>
      <c r="C29" s="244">
        <f ca="1">ROUND(C21*F27*'数据-取费表'!B21/'数据-取费表'!B20,4)</f>
        <v>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3199</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10025</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8980</v>
      </c>
      <c r="D34" s="223"/>
      <c r="E34" s="226"/>
      <c r="F34" s="263">
        <f ca="1">IF('数据-取费表'!B24=0,1,IF(B1="",'数据-取费表'!N16,INDIRECT("'数据-取费表'!n"&amp;$G$1)))</f>
        <v>1</v>
      </c>
      <c r="G34" s="225" t="s">
        <v>2212</v>
      </c>
    </row>
    <row r="35" spans="1:7" ht="13.5" customHeight="1">
      <c r="A35" s="888" t="s">
        <v>796</v>
      </c>
      <c r="B35" s="221" t="s">
        <v>2213</v>
      </c>
      <c r="C35" s="226">
        <f ca="1">ROUND(C34*F35,0)</f>
        <v>269</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641</v>
      </c>
      <c r="D37" s="223">
        <f ca="1">D19</f>
        <v>32069.72</v>
      </c>
      <c r="E37" s="255">
        <f>'数据-取费表'!B35</f>
        <v>200</v>
      </c>
      <c r="F37" s="265"/>
      <c r="G37" s="267" t="s">
        <v>2218</v>
      </c>
    </row>
    <row r="38" spans="1:7" ht="13.5" customHeight="1">
      <c r="A38" s="888" t="s">
        <v>799</v>
      </c>
      <c r="B38" s="221" t="s">
        <v>2219</v>
      </c>
      <c r="C38" s="226">
        <f ca="1">ROUND(C34*F38,0)</f>
        <v>135</v>
      </c>
      <c r="D38" s="226"/>
      <c r="E38" s="226"/>
      <c r="F38" s="265">
        <f>'数据-取费表'!B36</f>
        <v>1.4999999999999999E-2</v>
      </c>
      <c r="G38" s="225" t="s">
        <v>2214</v>
      </c>
    </row>
    <row r="39" spans="1:7" s="220" customFormat="1" ht="13.5" customHeight="1">
      <c r="A39" s="261" t="s">
        <v>2220</v>
      </c>
      <c r="B39" s="216" t="s">
        <v>2221</v>
      </c>
      <c r="C39" s="238">
        <f ca="1">ROUND(C33*F20,0)</f>
        <v>251</v>
      </c>
      <c r="D39" s="238"/>
      <c r="E39" s="238"/>
      <c r="F39" s="2535">
        <f>F20</f>
        <v>2.5000000000000001E-2</v>
      </c>
      <c r="G39" s="240" t="s">
        <v>2222</v>
      </c>
    </row>
    <row r="40" spans="1:7" s="220" customFormat="1" ht="13.5" customHeight="1">
      <c r="A40" s="261" t="s">
        <v>2223</v>
      </c>
      <c r="B40" s="216" t="s">
        <v>2224</v>
      </c>
      <c r="C40" s="1495">
        <f>F21</f>
        <v>2.5000000000000001E-2</v>
      </c>
      <c r="D40" s="242" t="s">
        <v>2225</v>
      </c>
      <c r="E40" s="238"/>
      <c r="F40" s="2535">
        <f>F21</f>
        <v>2.5000000000000001E-2</v>
      </c>
      <c r="G40" s="240" t="s">
        <v>2226</v>
      </c>
    </row>
    <row r="41" spans="1:7" s="220" customFormat="1" ht="13.5" customHeight="1">
      <c r="A41" s="261" t="s">
        <v>2227</v>
      </c>
      <c r="B41" s="216" t="s">
        <v>2228</v>
      </c>
      <c r="C41" s="238">
        <f ca="1">ROUND(SUM(C42:C43),0)</f>
        <v>333</v>
      </c>
      <c r="D41" s="241">
        <f ca="1">C44</f>
        <v>8.0000000000000004E-4</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325</v>
      </c>
      <c r="D42" s="244"/>
      <c r="E42" s="244"/>
      <c r="F42" s="245"/>
      <c r="G42" s="3249" t="s">
        <v>2230</v>
      </c>
    </row>
    <row r="43" spans="1:7" ht="13.5" customHeight="1">
      <c r="A43" s="888" t="s">
        <v>792</v>
      </c>
      <c r="B43" s="221" t="s">
        <v>2231</v>
      </c>
      <c r="C43" s="244">
        <f ca="1">ROUND(IF('数据-取费表'!B22&lt;=1,C39*F22*'数据-取费表'!B21/2,C39*(POWER((1+F22),'数据-取费表'!B21/2)-1)),0)</f>
        <v>8</v>
      </c>
      <c r="D43" s="244"/>
      <c r="E43" s="244"/>
      <c r="F43" s="245"/>
      <c r="G43" s="3250"/>
    </row>
    <row r="44" spans="1:7" ht="13.5" customHeight="1">
      <c r="A44" s="888" t="s">
        <v>793</v>
      </c>
      <c r="B44" s="221" t="s">
        <v>2232</v>
      </c>
      <c r="C44" s="244">
        <f ca="1">ROUND(IF('数据-取费表'!B22&lt;=1,C40*F22*'数据-取费表'!B21/2,C40*(POWER((1+F22),'数据-取费表'!B21/2)-1)),4)</f>
        <v>8.0000000000000004E-4</v>
      </c>
      <c r="D44" s="244"/>
      <c r="E44" s="244"/>
      <c r="F44" s="245"/>
      <c r="G44" s="3251"/>
    </row>
    <row r="45" spans="1:7" s="220" customFormat="1" ht="13.5" customHeight="1">
      <c r="A45" s="261" t="s">
        <v>2233</v>
      </c>
      <c r="B45" s="250" t="s">
        <v>2199</v>
      </c>
      <c r="C45" s="251">
        <f ca="1">C46</f>
        <v>822</v>
      </c>
      <c r="D45" s="241">
        <f ca="1">C47</f>
        <v>2E-3</v>
      </c>
      <c r="E45" s="242" t="s">
        <v>2225</v>
      </c>
      <c r="F45" s="2537">
        <f ca="1">F27</f>
        <v>0.08</v>
      </c>
      <c r="G45" s="253" t="s">
        <v>2234</v>
      </c>
    </row>
    <row r="46" spans="1:7" s="220" customFormat="1" ht="13.5" customHeight="1">
      <c r="A46" s="888" t="s">
        <v>791</v>
      </c>
      <c r="B46" s="254" t="s">
        <v>2235</v>
      </c>
      <c r="C46" s="255">
        <f ca="1">ROUND((C33+C39)*F27,0)</f>
        <v>822</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1495">
        <f>ROUND(F30/(1+'数据-取费表'!C42),4)</f>
        <v>5.33E-2</v>
      </c>
      <c r="D48" s="242" t="s">
        <v>2225</v>
      </c>
      <c r="E48" s="238"/>
      <c r="F48" s="2536">
        <f>F30</f>
        <v>5.6000000000000001E-2</v>
      </c>
      <c r="G48" s="240" t="s">
        <v>2238</v>
      </c>
    </row>
    <row r="49" spans="1:7" ht="16.5" customHeight="1">
      <c r="A49" s="261" t="s">
        <v>2204</v>
      </c>
      <c r="B49" s="216" t="s">
        <v>2239</v>
      </c>
      <c r="C49" s="238">
        <f ca="1">ROUND((C33+C39+C41+C45)/(1-C40-D41-D45-C48),0)</f>
        <v>12440</v>
      </c>
      <c r="D49" s="238"/>
      <c r="E49" s="238"/>
      <c r="F49" s="270"/>
      <c r="G49" s="240" t="s">
        <v>2240</v>
      </c>
    </row>
    <row r="50" spans="1:7" s="264" customFormat="1" ht="24">
      <c r="A50" s="261" t="s">
        <v>2241</v>
      </c>
      <c r="B50" s="216" t="s">
        <v>2242</v>
      </c>
      <c r="C50" s="238"/>
      <c r="D50" s="238"/>
      <c r="E50" s="238"/>
      <c r="F50" s="270">
        <f>IF('数据-取费表'!B24=0,'数据-取费表'!N16,1)</f>
        <v>0.86</v>
      </c>
      <c r="G50" s="253" t="s">
        <v>2243</v>
      </c>
    </row>
    <row r="51" spans="1:7" ht="16.5" customHeight="1">
      <c r="A51" s="261" t="s">
        <v>2244</v>
      </c>
      <c r="B51" s="216" t="s">
        <v>2245</v>
      </c>
      <c r="C51" s="238">
        <f ca="1">ROUND(C49*F50,0)</f>
        <v>10698</v>
      </c>
      <c r="D51" s="238"/>
      <c r="E51" s="238"/>
      <c r="F51" s="270"/>
      <c r="G51" s="240" t="s">
        <v>2246</v>
      </c>
    </row>
    <row r="52" spans="1:7" s="214" customFormat="1" ht="16.5" thickBot="1">
      <c r="A52" s="271" t="s">
        <v>2247</v>
      </c>
      <c r="B52" s="272"/>
      <c r="C52" s="273">
        <f ca="1">C31+C51</f>
        <v>13897</v>
      </c>
      <c r="D52" s="272"/>
      <c r="E52" s="272"/>
      <c r="F52" s="272"/>
      <c r="G52" s="274"/>
    </row>
    <row r="55" spans="1:7" ht="15">
      <c r="B55" s="276" t="s">
        <v>2248</v>
      </c>
      <c r="C55" s="277"/>
    </row>
    <row r="56" spans="1:7">
      <c r="B56" s="279" t="s">
        <v>1478</v>
      </c>
      <c r="C56" s="281">
        <f ca="1">1-C57</f>
        <v>0.22999999999999998</v>
      </c>
    </row>
    <row r="57" spans="1:7">
      <c r="B57" s="279" t="s">
        <v>1479</v>
      </c>
      <c r="C57" s="280">
        <f ca="1">ROUND(C51/C52,3)</f>
        <v>0.77</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60" t="str">
        <f>项目基本情况!B1</f>
        <v>房地产抵押价值预评估</v>
      </c>
      <c r="C37" s="3060"/>
      <c r="D37" s="3060"/>
      <c r="E37" s="3060"/>
      <c r="F37" s="3060"/>
      <c r="G37" s="3060"/>
      <c r="H37" s="3060"/>
      <c r="I37" s="3060"/>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4"/>
      <c r="C1" s="2045"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11518</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3592</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0</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0</v>
      </c>
      <c r="D8" s="228"/>
      <c r="E8" s="226"/>
      <c r="F8" s="227"/>
      <c r="G8" s="2042"/>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0</v>
      </c>
      <c r="D10" s="954">
        <f ca="1">IF(B1="",'数据-汇总表'!E6,IF(INDIRECT("'数据-取费表'!c"&amp;$G$1)="住宅",INDIRECT("'数据-取费表'!s"&amp;$G$1),INDIRECT("'数据-取费表'!k"&amp;$G$1)+INDIRECT("'数据-取费表'!s"&amp;$G$1)))</f>
        <v>32069.72</v>
      </c>
      <c r="E10" s="231">
        <f>'数据-取费表'!B28</f>
        <v>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6413944</v>
      </c>
      <c r="D19" s="958">
        <f ca="1">D9+D10</f>
        <v>32069.72</v>
      </c>
      <c r="E19" s="217">
        <f>'数据-取费表'!B31</f>
        <v>200</v>
      </c>
      <c r="F19" s="237"/>
      <c r="G19" s="2042"/>
    </row>
    <row r="20" spans="1:7" s="220" customFormat="1" ht="13.5" customHeight="1">
      <c r="A20" s="261" t="s">
        <v>2260</v>
      </c>
      <c r="B20" s="216" t="s">
        <v>2261</v>
      </c>
      <c r="C20" s="238">
        <f ca="1">ROUND((C5+C19)*F20,0)</f>
        <v>160349</v>
      </c>
      <c r="D20" s="238"/>
      <c r="E20" s="238"/>
      <c r="F20" s="239">
        <f>'数据-取费表'!B37</f>
        <v>2.5000000000000001E-2</v>
      </c>
      <c r="G20" s="240" t="s">
        <v>2262</v>
      </c>
    </row>
    <row r="21" spans="1:7" s="220" customFormat="1" ht="13.5" customHeight="1">
      <c r="A21" s="261" t="s">
        <v>2263</v>
      </c>
      <c r="B21" s="216" t="s">
        <v>2264</v>
      </c>
      <c r="C21" s="241">
        <f>F21</f>
        <v>2.5000000000000001E-2</v>
      </c>
      <c r="D21" s="242" t="s">
        <v>2265</v>
      </c>
      <c r="E21" s="238"/>
      <c r="F21" s="239">
        <f>'数据-取费表'!B38</f>
        <v>2.5000000000000001E-2</v>
      </c>
      <c r="G21" s="240" t="s">
        <v>2266</v>
      </c>
    </row>
    <row r="22" spans="1:7" s="220" customFormat="1" ht="13.5" customHeight="1">
      <c r="A22" s="261" t="s">
        <v>2267</v>
      </c>
      <c r="B22" s="216" t="s">
        <v>2268</v>
      </c>
      <c r="C22" s="1289">
        <f ca="1">ROUND(SUM(C23:C25),0)</f>
        <v>428232</v>
      </c>
      <c r="D22" s="241">
        <f ca="1">C26</f>
        <v>8.0000000000000004E-4</v>
      </c>
      <c r="E22" s="242" t="s">
        <v>2265</v>
      </c>
      <c r="F22" s="243">
        <f ca="1">'数据-取费表'!B40</f>
        <v>4.3499999999999997E-2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0</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423029</v>
      </c>
      <c r="D24" s="244"/>
      <c r="E24" s="244"/>
      <c r="F24" s="245"/>
      <c r="G24" s="246" t="s">
        <v>2272</v>
      </c>
    </row>
    <row r="25" spans="1:7" s="220" customFormat="1" ht="24">
      <c r="A25" s="888" t="s">
        <v>2162</v>
      </c>
      <c r="B25" s="221" t="s">
        <v>2273</v>
      </c>
      <c r="C25" s="1290">
        <f ca="1">ROUND(IF('数据-取费表'!B22&lt;=1,C20*F22*'数据-取费表'!B22/2,C20*(POWER((1+F22),'数据-取费表'!B22/2)-1)),0)</f>
        <v>5203</v>
      </c>
      <c r="D25" s="244"/>
      <c r="E25" s="247"/>
      <c r="F25" s="245"/>
      <c r="G25" s="248" t="s">
        <v>2274</v>
      </c>
    </row>
    <row r="26" spans="1:7" s="220" customFormat="1">
      <c r="A26" s="888" t="s">
        <v>795</v>
      </c>
      <c r="B26" s="221" t="s">
        <v>2197</v>
      </c>
      <c r="C26" s="244">
        <f ca="1">ROUND(IF('数据-取费表'!B22&lt;=1,F21*F22*'数据-取费表'!B22/2,F21*(POWER((1+F22),'数据-取费表'!B22/2)-1)),4)</f>
        <v>8.0000000000000004E-4</v>
      </c>
      <c r="D26" s="244"/>
      <c r="E26" s="247"/>
      <c r="F26" s="245"/>
      <c r="G26" s="249"/>
    </row>
    <row r="27" spans="1:7" s="220" customFormat="1" ht="24.75">
      <c r="A27" s="261" t="s">
        <v>2198</v>
      </c>
      <c r="B27" s="250" t="s">
        <v>2199</v>
      </c>
      <c r="C27" s="251">
        <f ca="1">C28</f>
        <v>525943</v>
      </c>
      <c r="D27" s="241">
        <f ca="1">C29</f>
        <v>2E-3</v>
      </c>
      <c r="E27" s="242" t="s">
        <v>2200</v>
      </c>
      <c r="F27" s="252">
        <f ca="1">IF(B1="",'数据-取费表'!Q16,INDIRECT("'数据-取费表'!q"&amp;$G$1))</f>
        <v>0.08</v>
      </c>
      <c r="G27" s="253" t="s">
        <v>2201</v>
      </c>
    </row>
    <row r="28" spans="1:7" s="220" customFormat="1" ht="13.5" customHeight="1">
      <c r="A28" s="888" t="s">
        <v>791</v>
      </c>
      <c r="B28" s="254" t="s">
        <v>2202</v>
      </c>
      <c r="C28" s="255">
        <f ca="1">ROUND((C5+C19+C20)*F27,0)</f>
        <v>525943</v>
      </c>
      <c r="D28" s="241"/>
      <c r="E28" s="242"/>
      <c r="F28" s="252"/>
      <c r="G28" s="253"/>
    </row>
    <row r="29" spans="1:7" s="220" customFormat="1" ht="13.5" customHeight="1">
      <c r="A29" s="888" t="s">
        <v>792</v>
      </c>
      <c r="B29" s="254" t="s">
        <v>2203</v>
      </c>
      <c r="C29" s="244">
        <f ca="1">ROUND(C21*F27,4)</f>
        <v>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8192913</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100249944</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89795216</v>
      </c>
      <c r="D34" s="223"/>
      <c r="E34" s="226"/>
      <c r="F34" s="263"/>
      <c r="G34" s="225"/>
    </row>
    <row r="35" spans="1:7" ht="13.5" customHeight="1">
      <c r="A35" s="888" t="s">
        <v>796</v>
      </c>
      <c r="B35" s="221" t="s">
        <v>2213</v>
      </c>
      <c r="C35" s="226">
        <f ca="1">ROUND(C34*F35,0)</f>
        <v>2693856</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6413944</v>
      </c>
      <c r="D37" s="223">
        <f ca="1">D19</f>
        <v>32069.72</v>
      </c>
      <c r="E37" s="255">
        <f>'数据-取费表'!B35</f>
        <v>200</v>
      </c>
      <c r="F37" s="265"/>
      <c r="G37" s="267"/>
    </row>
    <row r="38" spans="1:7" ht="13.5" customHeight="1">
      <c r="A38" s="888" t="s">
        <v>799</v>
      </c>
      <c r="B38" s="221" t="s">
        <v>2219</v>
      </c>
      <c r="C38" s="226">
        <f ca="1">ROUND(C34*F38,0)</f>
        <v>1346928</v>
      </c>
      <c r="D38" s="226"/>
      <c r="E38" s="226"/>
      <c r="F38" s="265">
        <f>'数据-取费表'!B36</f>
        <v>1.4999999999999999E-2</v>
      </c>
      <c r="G38" s="225" t="s">
        <v>2214</v>
      </c>
    </row>
    <row r="39" spans="1:7" s="220" customFormat="1" ht="13.5" customHeight="1">
      <c r="A39" s="261" t="s">
        <v>2220</v>
      </c>
      <c r="B39" s="216" t="s">
        <v>2221</v>
      </c>
      <c r="C39" s="238">
        <f ca="1">ROUND(C33*F20,0)</f>
        <v>2506249</v>
      </c>
      <c r="D39" s="238"/>
      <c r="E39" s="238"/>
      <c r="F39" s="2535">
        <f>F20</f>
        <v>2.5000000000000001E-2</v>
      </c>
      <c r="G39" s="240" t="s">
        <v>2222</v>
      </c>
    </row>
    <row r="40" spans="1:7" s="220" customFormat="1" ht="13.5" customHeight="1">
      <c r="A40" s="261" t="s">
        <v>2223</v>
      </c>
      <c r="B40" s="216" t="s">
        <v>2224</v>
      </c>
      <c r="C40" s="1495">
        <f>F21</f>
        <v>2.5000000000000001E-2</v>
      </c>
      <c r="D40" s="242" t="s">
        <v>2225</v>
      </c>
      <c r="E40" s="238"/>
      <c r="F40" s="2535">
        <f>F21</f>
        <v>2.5000000000000001E-2</v>
      </c>
      <c r="G40" s="240" t="s">
        <v>2226</v>
      </c>
    </row>
    <row r="41" spans="1:7" s="220" customFormat="1" ht="13.5" customHeight="1">
      <c r="A41" s="261" t="s">
        <v>2227</v>
      </c>
      <c r="B41" s="216" t="s">
        <v>2228</v>
      </c>
      <c r="C41" s="238">
        <f ca="1">ROUND(SUM(C42:C43),0)</f>
        <v>3334515</v>
      </c>
      <c r="D41" s="241">
        <f ca="1">C44</f>
        <v>8.0000000000000004E-4</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3253185</v>
      </c>
      <c r="D42" s="244"/>
      <c r="E42" s="244"/>
      <c r="F42" s="245"/>
      <c r="G42" s="3249" t="s">
        <v>2277</v>
      </c>
    </row>
    <row r="43" spans="1:7" ht="13.5" customHeight="1">
      <c r="A43" s="888" t="s">
        <v>792</v>
      </c>
      <c r="B43" s="221" t="s">
        <v>2231</v>
      </c>
      <c r="C43" s="244">
        <f ca="1">ROUND(IF('数据-取费表'!B22&lt;=1,C39*F22*'数据-取费表'!B20/2,C39*(POWER((1+F22),'数据-取费表'!B20/2)-1)),0)</f>
        <v>81330</v>
      </c>
      <c r="D43" s="244"/>
      <c r="E43" s="244"/>
      <c r="F43" s="245"/>
      <c r="G43" s="3250"/>
    </row>
    <row r="44" spans="1:7" ht="13.5" customHeight="1">
      <c r="A44" s="888" t="s">
        <v>793</v>
      </c>
      <c r="B44" s="221" t="s">
        <v>2232</v>
      </c>
      <c r="C44" s="244">
        <f ca="1">ROUND(IF('数据-取费表'!B22&lt;=1,C40*F22*'数据-取费表'!B20/2,C40*(POWER((1+F22),'数据-取费表'!B20/2)-1)),4)</f>
        <v>8.0000000000000004E-4</v>
      </c>
      <c r="D44" s="244"/>
      <c r="E44" s="244"/>
      <c r="F44" s="245"/>
      <c r="G44" s="3251"/>
    </row>
    <row r="45" spans="1:7" s="220" customFormat="1" ht="13.5" customHeight="1">
      <c r="A45" s="261" t="s">
        <v>2233</v>
      </c>
      <c r="B45" s="250" t="s">
        <v>2199</v>
      </c>
      <c r="C45" s="251">
        <f ca="1">C46</f>
        <v>8220495</v>
      </c>
      <c r="D45" s="241">
        <f ca="1">C47</f>
        <v>2E-3</v>
      </c>
      <c r="E45" s="242" t="s">
        <v>2225</v>
      </c>
      <c r="F45" s="2537">
        <f ca="1">F27</f>
        <v>0.08</v>
      </c>
      <c r="G45" s="253" t="s">
        <v>2234</v>
      </c>
    </row>
    <row r="46" spans="1:7" s="220" customFormat="1" ht="13.5" customHeight="1">
      <c r="A46" s="888" t="s">
        <v>791</v>
      </c>
      <c r="B46" s="254" t="s">
        <v>2235</v>
      </c>
      <c r="C46" s="255">
        <f ca="1">ROUND((C33+C39)*F27,0)</f>
        <v>8220495</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268">
        <f>ROUND(F30/(1+'数据-取费表'!C42),4)</f>
        <v>5.33E-2</v>
      </c>
      <c r="D48" s="242" t="s">
        <v>2225</v>
      </c>
      <c r="E48" s="238"/>
      <c r="F48" s="2536">
        <f>F30</f>
        <v>5.6000000000000001E-2</v>
      </c>
      <c r="G48" s="240" t="s">
        <v>2238</v>
      </c>
    </row>
    <row r="49" spans="1:7" ht="16.5" customHeight="1">
      <c r="A49" s="261" t="s">
        <v>2204</v>
      </c>
      <c r="B49" s="216" t="s">
        <v>2278</v>
      </c>
      <c r="C49" s="238">
        <f ca="1">ROUND((C33+C39+C41+C45)/(1-C40-D41-D45-C48),0)</f>
        <v>124400047</v>
      </c>
      <c r="D49" s="238"/>
      <c r="E49" s="238"/>
      <c r="F49" s="270"/>
      <c r="G49" s="240" t="s">
        <v>2240</v>
      </c>
    </row>
    <row r="50" spans="1:7" s="264" customFormat="1">
      <c r="A50" s="261" t="s">
        <v>2241</v>
      </c>
      <c r="B50" s="216" t="s">
        <v>2242</v>
      </c>
      <c r="C50" s="238"/>
      <c r="D50" s="238"/>
      <c r="E50" s="238"/>
      <c r="F50" s="270">
        <f>IF('数据-取费表'!B24=0,'数据-取费表'!N16,1)</f>
        <v>0.86</v>
      </c>
      <c r="G50" s="253"/>
    </row>
    <row r="51" spans="1:7" ht="16.5" customHeight="1">
      <c r="A51" s="261" t="s">
        <v>2244</v>
      </c>
      <c r="B51" s="216" t="s">
        <v>2279</v>
      </c>
      <c r="C51" s="238">
        <f ca="1">ROUND(C49*F50,0)</f>
        <v>106984040</v>
      </c>
      <c r="D51" s="238"/>
      <c r="E51" s="238"/>
      <c r="F51" s="270"/>
      <c r="G51" s="240" t="s">
        <v>2246</v>
      </c>
    </row>
    <row r="52" spans="1:7" s="214" customFormat="1" ht="16.5" thickBot="1">
      <c r="A52" s="271" t="s">
        <v>2247</v>
      </c>
      <c r="B52" s="272"/>
      <c r="C52" s="273">
        <f ca="1">C31+C51</f>
        <v>115176953</v>
      </c>
      <c r="D52" s="272"/>
      <c r="E52" s="272"/>
      <c r="F52" s="272"/>
      <c r="G52" s="274"/>
    </row>
    <row r="55" spans="1:7" ht="15">
      <c r="B55" s="276" t="s">
        <v>2248</v>
      </c>
      <c r="C55" s="277"/>
    </row>
    <row r="56" spans="1:7">
      <c r="B56" s="279" t="s">
        <v>1478</v>
      </c>
      <c r="C56" s="281">
        <f ca="1">1-C57</f>
        <v>7.0999999999999952E-2</v>
      </c>
    </row>
    <row r="57" spans="1:7">
      <c r="B57" s="279" t="s">
        <v>1479</v>
      </c>
      <c r="C57" s="280">
        <f ca="1">ROUND(C51/C52,3)</f>
        <v>0.92900000000000005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7"/>
      <c r="F1" s="3037"/>
      <c r="G1" s="2900"/>
      <c r="H1" s="3037"/>
      <c r="I1" s="3037"/>
      <c r="J1" s="3037"/>
      <c r="K1" s="3038">
        <f>MATCH(C1,'数据-取费表'!A6:A16,0)+5</f>
        <v>7</v>
      </c>
    </row>
    <row r="2" spans="1:33" ht="18" customHeight="1">
      <c r="A2" s="207" t="s">
        <v>2148</v>
      </c>
      <c r="B2" s="210">
        <f ca="1">C32</f>
        <v>0</v>
      </c>
      <c r="C2" s="282" t="s">
        <v>2281</v>
      </c>
      <c r="D2" s="282"/>
      <c r="E2" s="3037"/>
      <c r="F2" s="3037"/>
      <c r="G2" s="3037"/>
      <c r="H2" s="3037"/>
      <c r="I2" s="3037"/>
      <c r="J2" s="3037"/>
      <c r="K2" s="3037"/>
    </row>
    <row r="3" spans="1:33" ht="18" customHeight="1" thickBot="1">
      <c r="A3" s="209" t="s">
        <v>2150</v>
      </c>
      <c r="B3" s="210">
        <f ca="1">ROUND(B2*10000/IF(C1="",'数据-汇总表'!E3,INDIRECT("'数据-取费表'!K"&amp;$K$1)),0)</f>
        <v>0</v>
      </c>
      <c r="C3" s="282" t="s">
        <v>2282</v>
      </c>
      <c r="D3" s="282"/>
      <c r="E3" s="3037"/>
      <c r="F3" s="3037"/>
      <c r="G3" s="3037"/>
      <c r="H3" s="3037"/>
      <c r="I3" s="3037"/>
      <c r="J3" s="3037"/>
      <c r="K3" s="3037"/>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6" t="s">
        <v>2286</v>
      </c>
      <c r="D5" s="2046" t="s">
        <v>2287</v>
      </c>
      <c r="E5" s="2046" t="s">
        <v>2288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0.03</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32069.72</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32069.72</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8"/>
      <c r="H18" s="1349"/>
      <c r="I18" s="2049"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2316</v>
      </c>
      <c r="C20" s="24">
        <f ca="1">ROUND(D20*E20/10000,0)</f>
        <v>0</v>
      </c>
      <c r="D20" s="955">
        <f ca="1">IF(C1="",'数据-汇总表'!E6,IF(INDIRECT("'数据-取费表'!c"&amp;$K$1)="住宅",INDIRECT("'数据-取费表'!s"&amp;$K$1),INDIRECT("'数据-取费表'!k"&amp;$K$1)+INDIRECT("'数据-取费表'!s"&amp;$K$1)))</f>
        <v>32069.72</v>
      </c>
      <c r="E20" s="24">
        <f>'数据-取费表'!B28</f>
        <v>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2.5000000000000001E-2</v>
      </c>
      <c r="G22" s="8" t="s">
        <v>2320</v>
      </c>
      <c r="H22" s="905"/>
      <c r="I22" s="905"/>
      <c r="J22" s="905"/>
      <c r="K22" s="906"/>
    </row>
    <row r="23" spans="1:33" s="912" customFormat="1" ht="13.5" customHeight="1">
      <c r="A23" s="898" t="s">
        <v>2292</v>
      </c>
      <c r="B23" s="922" t="s">
        <v>2321</v>
      </c>
      <c r="C23" s="923">
        <f ca="1">ROUND(C4*F23*F11,0)</f>
        <v>0</v>
      </c>
      <c r="D23" s="287"/>
      <c r="E23" s="287"/>
      <c r="F23" s="925">
        <f>'数据-取费表'!B38</f>
        <v>2.5000000000000001E-2</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2330</v>
      </c>
      <c r="B28" s="2051" t="s">
        <v>2331</v>
      </c>
      <c r="C28" s="293">
        <f ca="1">C30</f>
        <v>0</v>
      </c>
      <c r="D28" s="286">
        <f ca="1">C29</f>
        <v>0</v>
      </c>
      <c r="E28" s="288" t="s">
        <v>15</v>
      </c>
      <c r="F28" s="294">
        <f ca="1">IF(C1="",'数据-取费表'!Q16,INDIRECT("'数据-取费表'!q"&amp;$K$1))</f>
        <v>0.08</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2" t="s">
        <v>2335</v>
      </c>
      <c r="B31" s="942" t="s">
        <v>2336</v>
      </c>
      <c r="C31" s="943">
        <f>ROUND(C4*F31/(1+'数据-取费表'!C42),0)</f>
        <v>0</v>
      </c>
      <c r="D31" s="944"/>
      <c r="E31" s="945"/>
      <c r="F31" s="946">
        <f>'数据-取费表'!B41</f>
        <v>5.6000000000000001E-2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28" zoomScale="85" zoomScaleNormal="60" zoomScaleSheetLayoutView="85" workbookViewId="0">
      <selection activeCell="D66" sqref="D66:M66"/>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f>F61</f>
        <v>2431</v>
      </c>
      <c r="C2" s="1039"/>
      <c r="D2" s="1039"/>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f>ROUND(IF(D3="",B2*10000/'数据-汇总表'!E3,B2*10000/D3),0)</f>
        <v>758</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4"/>
      <c r="M4" s="2945"/>
      <c r="N4" s="2945"/>
      <c r="O4" s="2945"/>
      <c r="P4" s="3302" t="s">
        <v>2472</v>
      </c>
      <c r="Q4" s="3303"/>
      <c r="R4" s="3308" t="s">
        <v>2468</v>
      </c>
      <c r="S4" s="3309"/>
      <c r="T4" s="3308" t="s">
        <v>2469</v>
      </c>
      <c r="U4" s="3309"/>
      <c r="V4" s="3314" t="s">
        <v>2470</v>
      </c>
      <c r="W4" s="3314"/>
      <c r="X4" s="1539"/>
      <c r="Y4" s="3308" t="s">
        <v>2472</v>
      </c>
      <c r="Z4" s="3309"/>
      <c r="AA4" s="3295" t="s">
        <v>2468</v>
      </c>
      <c r="AB4" s="3296" t="s">
        <v>2469</v>
      </c>
      <c r="AC4" s="3295" t="s">
        <v>2470</v>
      </c>
    </row>
    <row r="5" spans="1:29" ht="15">
      <c r="A5" s="364"/>
      <c r="B5" s="365"/>
      <c r="C5" s="3317" t="s">
        <v>2363</v>
      </c>
      <c r="D5" s="3318"/>
      <c r="E5" s="3324" t="str">
        <f>Sheet1!A58</f>
        <v>天津空港经济区环河西路以东、西六道以北</v>
      </c>
      <c r="F5" s="3325"/>
      <c r="G5" s="3317" t="str">
        <f>Sheet1!A65</f>
        <v>天津空港经济区经五路以西</v>
      </c>
      <c r="H5" s="3318"/>
      <c r="I5" s="3317" t="str">
        <f>Sheet1!A66</f>
        <v>天津港保税区临港区域</v>
      </c>
      <c r="J5" s="3318"/>
      <c r="K5" s="567"/>
      <c r="L5" s="2944"/>
      <c r="M5" s="2945"/>
      <c r="N5" s="2945"/>
      <c r="O5" s="2945"/>
      <c r="P5" s="3304"/>
      <c r="Q5" s="3305"/>
      <c r="R5" s="3310"/>
      <c r="S5" s="3311"/>
      <c r="T5" s="3310"/>
      <c r="U5" s="3311"/>
      <c r="V5" s="3314"/>
      <c r="W5" s="3314"/>
      <c r="X5" s="1539"/>
      <c r="Y5" s="3310"/>
      <c r="Z5" s="3311"/>
      <c r="AA5" s="3296"/>
      <c r="AB5" s="3296"/>
      <c r="AC5" s="3296"/>
    </row>
    <row r="6" spans="1:29" ht="15.75" thickBot="1">
      <c r="A6" s="366"/>
      <c r="B6" s="367"/>
      <c r="C6" s="3347" t="s">
        <v>2618</v>
      </c>
      <c r="D6" s="3348"/>
      <c r="E6" s="3349" t="s">
        <v>2618</v>
      </c>
      <c r="F6" s="3350"/>
      <c r="G6" s="3347" t="s">
        <v>2618</v>
      </c>
      <c r="H6" s="3348"/>
      <c r="I6" s="3347" t="s">
        <v>2618</v>
      </c>
      <c r="J6" s="3348"/>
      <c r="K6" s="567" t="s">
        <v>2368</v>
      </c>
      <c r="L6" s="2944"/>
      <c r="M6" s="2945"/>
      <c r="N6" s="2945"/>
      <c r="O6" s="2945"/>
      <c r="P6" s="3306"/>
      <c r="Q6" s="3307"/>
      <c r="R6" s="3310"/>
      <c r="S6" s="3311"/>
      <c r="T6" s="3312"/>
      <c r="U6" s="3313"/>
      <c r="V6" s="3314"/>
      <c r="W6" s="3314"/>
      <c r="X6" s="1539"/>
      <c r="Y6" s="3312"/>
      <c r="Z6" s="3313"/>
      <c r="AA6" s="3297"/>
      <c r="AB6" s="3297"/>
      <c r="AC6" s="3297"/>
    </row>
    <row r="7" spans="1:29" s="113" customFormat="1" ht="15.75" thickBot="1">
      <c r="A7" s="368" t="s">
        <v>2369</v>
      </c>
      <c r="B7" s="369"/>
      <c r="C7" s="370">
        <f>'数据-取费表'!B2</f>
        <v>44371</v>
      </c>
      <c r="D7" s="371">
        <v>100</v>
      </c>
      <c r="E7" s="372" t="str">
        <f>Sheet1!K58</f>
        <v>2019-08-28</v>
      </c>
      <c r="F7" s="373">
        <f>SUMIF(65:65,YEAR(E7)&amp;"-"&amp;INT((MONTH(E7)+2)/3),66:66)</f>
        <v>98.59999999999998</v>
      </c>
      <c r="G7" s="2160" t="str">
        <f>Sheet1!K65</f>
        <v>2020-06-10</v>
      </c>
      <c r="H7" s="371">
        <f>SUMIF(65:65,YEAR(G7)&amp;"-"&amp;INT((MONTH(G7)+2)/3),66:66)</f>
        <v>99.199999999999989</v>
      </c>
      <c r="I7" s="2160" t="str">
        <f>Sheet1!K66</f>
        <v>2019-05-22</v>
      </c>
      <c r="J7" s="371">
        <f>SUMIF(65:65,YEAR(I7)&amp;"-"&amp;INT((MONTH(I7)+2)/3),66:66)</f>
        <v>98.399999999999977</v>
      </c>
      <c r="K7" s="568"/>
      <c r="L7" s="2946"/>
      <c r="M7" s="2947"/>
      <c r="N7" s="2947"/>
      <c r="O7" s="2947"/>
      <c r="P7" s="3319" t="s">
        <v>2370</v>
      </c>
      <c r="Q7" s="3321"/>
      <c r="R7" s="710" t="s">
        <v>17</v>
      </c>
      <c r="S7" s="711">
        <f t="shared" ref="S7:S15" si="0">F7</f>
        <v>98.59999999999998</v>
      </c>
      <c r="T7" s="710" t="s">
        <v>17</v>
      </c>
      <c r="U7" s="711">
        <f t="shared" ref="U7:U15" si="1">H7</f>
        <v>99.199999999999989</v>
      </c>
      <c r="V7" s="710" t="s">
        <v>17</v>
      </c>
      <c r="W7" s="711">
        <f t="shared" ref="W7:W15" si="2">J7</f>
        <v>98.399999999999977</v>
      </c>
      <c r="X7" s="712"/>
      <c r="Y7" s="3319" t="s">
        <v>2370</v>
      </c>
      <c r="Z7" s="3320"/>
      <c r="AA7" s="713">
        <f>D7/F7</f>
        <v>1.0141987829614607</v>
      </c>
      <c r="AB7" s="713">
        <f>D7/H7</f>
        <v>1.0080645161290325</v>
      </c>
      <c r="AC7" s="713">
        <f>D7/J7</f>
        <v>1.0162601626016263</v>
      </c>
    </row>
    <row r="8" spans="1:29" s="113" customFormat="1" ht="15.75" thickBot="1">
      <c r="A8" s="368" t="s">
        <v>2371</v>
      </c>
      <c r="B8" s="369"/>
      <c r="C8" s="374" t="s">
        <v>2372</v>
      </c>
      <c r="D8" s="371">
        <v>100</v>
      </c>
      <c r="E8" s="374" t="s">
        <v>2372</v>
      </c>
      <c r="F8" s="373">
        <f>SUMIF(68:68,E8,69:69)-SUMIF(68:68,C8,69:69)+100</f>
        <v>100</v>
      </c>
      <c r="G8" s="374" t="s">
        <v>2372</v>
      </c>
      <c r="H8" s="371">
        <f>SUMIF(68:68,G8,69:69)-SUMIF(68:68,C8,69:69)+100</f>
        <v>100</v>
      </c>
      <c r="I8" s="374" t="s">
        <v>2372</v>
      </c>
      <c r="J8" s="371">
        <f>SUMIF(68:68,I8,69:69)-SUMIF(68:68,C8,69:69)+100</f>
        <v>100</v>
      </c>
      <c r="K8" s="568"/>
      <c r="L8" s="2946"/>
      <c r="M8" s="2947"/>
      <c r="N8" s="2947"/>
      <c r="O8" s="2947"/>
      <c r="P8" s="3319" t="s">
        <v>2373</v>
      </c>
      <c r="Q8" s="3320"/>
      <c r="R8" s="710" t="s">
        <v>17</v>
      </c>
      <c r="S8" s="711">
        <f t="shared" si="0"/>
        <v>100</v>
      </c>
      <c r="T8" s="710" t="s">
        <v>17</v>
      </c>
      <c r="U8" s="711">
        <f t="shared" si="1"/>
        <v>100</v>
      </c>
      <c r="V8" s="710" t="s">
        <v>17</v>
      </c>
      <c r="W8" s="711">
        <f t="shared" si="2"/>
        <v>100</v>
      </c>
      <c r="X8" s="712"/>
      <c r="Y8" s="3319" t="s">
        <v>2373</v>
      </c>
      <c r="Z8" s="3320"/>
      <c r="AA8" s="713">
        <f t="shared" ref="AA8:AA40" si="3">D8/F8</f>
        <v>1</v>
      </c>
      <c r="AB8" s="713">
        <f t="shared" ref="AB8:AB40" si="4">D8/H8</f>
        <v>1</v>
      </c>
      <c r="AC8" s="713">
        <f t="shared" ref="AC8:AC40" si="5">D8/J8</f>
        <v>1</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6"/>
      <c r="M9" s="2947"/>
      <c r="N9" s="2947"/>
      <c r="O9" s="3001"/>
      <c r="P9" s="3283"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106</v>
      </c>
      <c r="G10" s="391"/>
      <c r="H10" s="132">
        <f>ROUND(100/'数据-取费表'!G16,0)</f>
        <v>106</v>
      </c>
      <c r="I10" s="391"/>
      <c r="J10" s="132">
        <f>ROUND(100/'数据-取费表'!G16,0)</f>
        <v>106</v>
      </c>
      <c r="K10" s="628"/>
      <c r="L10" s="2948"/>
      <c r="M10" s="2949"/>
      <c r="N10" s="2949"/>
      <c r="O10" s="3002"/>
      <c r="P10" s="3283"/>
      <c r="Q10" s="1527" t="str">
        <f t="shared" si="6"/>
        <v>土地使用年限（年）</v>
      </c>
      <c r="R10" s="710" t="s">
        <v>17</v>
      </c>
      <c r="S10" s="711">
        <f t="shared" si="0"/>
        <v>106</v>
      </c>
      <c r="T10" s="710" t="s">
        <v>17</v>
      </c>
      <c r="U10" s="711">
        <f t="shared" si="1"/>
        <v>106</v>
      </c>
      <c r="V10" s="710" t="s">
        <v>17</v>
      </c>
      <c r="W10" s="711">
        <f t="shared" si="2"/>
        <v>106</v>
      </c>
      <c r="X10" s="712"/>
      <c r="Y10" s="3153"/>
      <c r="Z10" s="55" t="str">
        <f t="shared" si="7"/>
        <v>土地使用年限（年）</v>
      </c>
      <c r="AA10" s="713">
        <f t="shared" si="3"/>
        <v>0.94339622641509435</v>
      </c>
      <c r="AB10" s="713">
        <f t="shared" si="4"/>
        <v>0.94339622641509435</v>
      </c>
      <c r="AC10" s="713">
        <f t="shared" si="5"/>
        <v>0.94339622641509435</v>
      </c>
    </row>
    <row r="11" spans="1:29" ht="15">
      <c r="A11" s="387"/>
      <c r="B11" s="381" t="s">
        <v>2379</v>
      </c>
      <c r="C11" s="388">
        <f>'数据-汇总表'!I6</f>
        <v>0.53</v>
      </c>
      <c r="D11" s="132">
        <v>100</v>
      </c>
      <c r="E11" s="388">
        <v>0.7</v>
      </c>
      <c r="F11" s="132">
        <f>LOOKUP(E11,75:75,76:76)-LOOKUP(C11,75:75,76:76)+100</f>
        <v>100</v>
      </c>
      <c r="G11" s="389">
        <v>0.7</v>
      </c>
      <c r="H11" s="132">
        <f>LOOKUP(G11,75:75,76:76)-LOOKUP(C11,75:75,76:76)+100</f>
        <v>100</v>
      </c>
      <c r="I11" s="388">
        <v>0.7</v>
      </c>
      <c r="J11" s="132">
        <f>LOOKUP(I11,75:75,76:76)-LOOKUP(C11,75:75,76:76)+100</f>
        <v>100</v>
      </c>
      <c r="K11" s="629">
        <v>2</v>
      </c>
      <c r="L11" s="2950"/>
      <c r="M11" s="2945"/>
      <c r="N11" s="2945"/>
      <c r="O11" s="3003"/>
      <c r="P11" s="3283"/>
      <c r="Q11" s="1527" t="str">
        <f t="shared" si="6"/>
        <v>容积率</v>
      </c>
      <c r="R11" s="710" t="s">
        <v>17</v>
      </c>
      <c r="S11" s="711">
        <f t="shared" si="0"/>
        <v>100</v>
      </c>
      <c r="T11" s="710" t="s">
        <v>17</v>
      </c>
      <c r="U11" s="711">
        <f t="shared" si="1"/>
        <v>100</v>
      </c>
      <c r="V11" s="710" t="s">
        <v>17</v>
      </c>
      <c r="W11" s="711">
        <f t="shared" si="2"/>
        <v>100</v>
      </c>
      <c r="X11" s="712"/>
      <c r="Y11" s="3153"/>
      <c r="Z11" s="55" t="str">
        <f t="shared" si="7"/>
        <v>容积率</v>
      </c>
      <c r="AA11" s="713">
        <f t="shared" si="3"/>
        <v>1</v>
      </c>
      <c r="AB11" s="713">
        <f t="shared" si="4"/>
        <v>1</v>
      </c>
      <c r="AC11" s="713">
        <f t="shared" si="5"/>
        <v>1</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6"/>
      <c r="M12" s="2947"/>
      <c r="N12" s="2947"/>
      <c r="O12" s="3001"/>
      <c r="P12" s="3283"/>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1"/>
      <c r="M13" s="2945"/>
      <c r="N13" s="2945"/>
      <c r="O13" s="3003"/>
      <c r="P13" s="3283"/>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1"/>
      <c r="M14" s="2945"/>
      <c r="N14" s="2945"/>
      <c r="O14" s="3003"/>
      <c r="P14" s="3283"/>
      <c r="Q14" s="1527">
        <f t="shared" si="6"/>
        <v>111</v>
      </c>
      <c r="R14" s="710" t="s">
        <v>17</v>
      </c>
      <c r="S14" s="711">
        <f t="shared" si="0"/>
        <v>100</v>
      </c>
      <c r="T14" s="710" t="s">
        <v>17</v>
      </c>
      <c r="U14" s="711">
        <f t="shared" si="1"/>
        <v>100</v>
      </c>
      <c r="V14" s="710" t="s">
        <v>17</v>
      </c>
      <c r="W14" s="711">
        <f t="shared" si="2"/>
        <v>100</v>
      </c>
      <c r="X14" s="712"/>
      <c r="Y14" s="3153"/>
      <c r="Z14" s="55">
        <f t="shared" si="7"/>
        <v>111</v>
      </c>
      <c r="AA14" s="713">
        <f t="shared" si="3"/>
        <v>1</v>
      </c>
      <c r="AB14" s="713">
        <f t="shared" si="4"/>
        <v>1</v>
      </c>
      <c r="AC14" s="713">
        <f t="shared" si="5"/>
        <v>1</v>
      </c>
    </row>
    <row r="15" spans="1:29" ht="57">
      <c r="A15" s="399" t="s">
        <v>2380</v>
      </c>
      <c r="B15" s="585" t="s">
        <v>2619</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1"/>
      <c r="M15" s="2945"/>
      <c r="N15" s="2945"/>
      <c r="O15" s="3003"/>
      <c r="P15" s="3285" t="s">
        <v>2381</v>
      </c>
      <c r="Q15" s="1536" t="str">
        <f t="shared" si="6"/>
        <v>产业集聚程度</v>
      </c>
      <c r="R15" s="714" t="s">
        <v>17</v>
      </c>
      <c r="S15" s="715">
        <f t="shared" si="0"/>
        <v>100</v>
      </c>
      <c r="T15" s="714" t="s">
        <v>17</v>
      </c>
      <c r="U15" s="715">
        <f t="shared" si="1"/>
        <v>100</v>
      </c>
      <c r="V15" s="714" t="s">
        <v>17</v>
      </c>
      <c r="W15" s="715">
        <f t="shared" si="2"/>
        <v>100</v>
      </c>
      <c r="X15" s="1539"/>
      <c r="Y15" s="3285"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1"/>
      <c r="M16" s="2945"/>
      <c r="N16" s="2945"/>
      <c r="O16" s="3003"/>
      <c r="P16" s="3286"/>
      <c r="Q16" s="1536"/>
      <c r="R16" s="714"/>
      <c r="S16" s="715"/>
      <c r="T16" s="714"/>
      <c r="U16" s="715"/>
      <c r="V16" s="714"/>
      <c r="W16" s="715"/>
      <c r="X16" s="1539"/>
      <c r="Y16" s="3286"/>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1"/>
      <c r="M17" s="2945"/>
      <c r="N17" s="2945"/>
      <c r="O17" s="3003"/>
      <c r="P17" s="3286"/>
      <c r="Q17" s="1536" t="str">
        <f>B17</f>
        <v>交通便捷度</v>
      </c>
      <c r="R17" s="714" t="s">
        <v>17</v>
      </c>
      <c r="S17" s="715">
        <f>F17</f>
        <v>100</v>
      </c>
      <c r="T17" s="714" t="s">
        <v>17</v>
      </c>
      <c r="U17" s="715">
        <f>H17</f>
        <v>100</v>
      </c>
      <c r="V17" s="714" t="s">
        <v>17</v>
      </c>
      <c r="W17" s="715">
        <f>J17</f>
        <v>100</v>
      </c>
      <c r="X17" s="1539"/>
      <c r="Y17" s="3286"/>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1"/>
      <c r="M18" s="2945"/>
      <c r="N18" s="2945"/>
      <c r="O18" s="3003"/>
      <c r="P18" s="3286"/>
      <c r="Q18" s="1536"/>
      <c r="R18" s="714"/>
      <c r="S18" s="715"/>
      <c r="T18" s="714"/>
      <c r="U18" s="715"/>
      <c r="V18" s="714"/>
      <c r="W18" s="715"/>
      <c r="X18" s="1539"/>
      <c r="Y18" s="3286"/>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1"/>
      <c r="M19" s="2945"/>
      <c r="N19" s="2945"/>
      <c r="O19" s="3003"/>
      <c r="P19" s="3286"/>
      <c r="Q19" s="1536" t="str">
        <f t="shared" ref="Q19:Q33" si="8">B19</f>
        <v>区域土地利用方向</v>
      </c>
      <c r="R19" s="714" t="s">
        <v>17</v>
      </c>
      <c r="S19" s="715">
        <f>F19</f>
        <v>100</v>
      </c>
      <c r="T19" s="714" t="s">
        <v>17</v>
      </c>
      <c r="U19" s="715">
        <f>H19</f>
        <v>100</v>
      </c>
      <c r="V19" s="714" t="s">
        <v>17</v>
      </c>
      <c r="W19" s="715">
        <f>J19</f>
        <v>100</v>
      </c>
      <c r="X19" s="1539"/>
      <c r="Y19" s="3286"/>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1"/>
      <c r="M20" s="2945"/>
      <c r="N20" s="2945"/>
      <c r="O20" s="3003"/>
      <c r="P20" s="3286"/>
      <c r="Q20" s="1536"/>
      <c r="R20" s="714"/>
      <c r="S20" s="715"/>
      <c r="T20" s="714"/>
      <c r="U20" s="715"/>
      <c r="V20" s="714"/>
      <c r="W20" s="715"/>
      <c r="X20" s="1539"/>
      <c r="Y20" s="3286"/>
      <c r="Z20" s="1540"/>
      <c r="AA20" s="1537"/>
      <c r="AB20" s="1537"/>
      <c r="AC20" s="1537"/>
    </row>
    <row r="21" spans="1:29" ht="71.25">
      <c r="A21" s="364"/>
      <c r="B21" s="587" t="s">
        <v>2620</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1"/>
      <c r="M21" s="2945"/>
      <c r="N21" s="2945"/>
      <c r="O21" s="3003"/>
      <c r="P21" s="3286"/>
      <c r="Q21" s="1536" t="str">
        <f t="shared" si="8"/>
        <v>环境状况</v>
      </c>
      <c r="R21" s="714" t="s">
        <v>17</v>
      </c>
      <c r="S21" s="715">
        <f>F21</f>
        <v>100</v>
      </c>
      <c r="T21" s="714" t="s">
        <v>17</v>
      </c>
      <c r="U21" s="715">
        <f>H21</f>
        <v>100</v>
      </c>
      <c r="V21" s="714" t="s">
        <v>17</v>
      </c>
      <c r="W21" s="715">
        <f>J21</f>
        <v>100</v>
      </c>
      <c r="X21" s="1539"/>
      <c r="Y21" s="3286"/>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1"/>
      <c r="M22" s="2945"/>
      <c r="N22" s="2945"/>
      <c r="O22" s="3003"/>
      <c r="P22" s="3286"/>
      <c r="Q22" s="1536"/>
      <c r="R22" s="714"/>
      <c r="S22" s="715"/>
      <c r="T22" s="714"/>
      <c r="U22" s="715"/>
      <c r="V22" s="714"/>
      <c r="W22" s="715"/>
      <c r="X22" s="1539"/>
      <c r="Y22" s="3286"/>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6"/>
      <c r="M23" s="2947"/>
      <c r="N23" s="2947"/>
      <c r="O23" s="3001"/>
      <c r="P23" s="3286"/>
      <c r="Q23" s="1527" t="str">
        <f t="shared" si="8"/>
        <v>公共配套设施</v>
      </c>
      <c r="R23" s="710" t="s">
        <v>17</v>
      </c>
      <c r="S23" s="711">
        <f>F23</f>
        <v>100</v>
      </c>
      <c r="T23" s="710" t="s">
        <v>17</v>
      </c>
      <c r="U23" s="711">
        <f>H23</f>
        <v>100</v>
      </c>
      <c r="V23" s="710" t="s">
        <v>17</v>
      </c>
      <c r="W23" s="711">
        <f>J23</f>
        <v>100</v>
      </c>
      <c r="X23" s="712"/>
      <c r="Y23" s="3286"/>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6"/>
      <c r="M24" s="2947"/>
      <c r="N24" s="2947"/>
      <c r="O24" s="3001"/>
      <c r="P24" s="3286"/>
      <c r="Q24" s="1527"/>
      <c r="R24" s="710"/>
      <c r="S24" s="711"/>
      <c r="T24" s="710"/>
      <c r="U24" s="711"/>
      <c r="V24" s="710"/>
      <c r="W24" s="711"/>
      <c r="X24" s="712"/>
      <c r="Y24" s="3286"/>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6"/>
      <c r="M25" s="2947"/>
      <c r="N25" s="2947"/>
      <c r="O25" s="3001"/>
      <c r="P25" s="3286"/>
      <c r="Q25" s="1527" t="str">
        <f t="shared" ref="Q25" si="9">B25</f>
        <v>基础设施水平</v>
      </c>
      <c r="R25" s="710" t="s">
        <v>17</v>
      </c>
      <c r="S25" s="711">
        <f>F25</f>
        <v>100</v>
      </c>
      <c r="T25" s="710" t="s">
        <v>17</v>
      </c>
      <c r="U25" s="711">
        <f>H25</f>
        <v>100</v>
      </c>
      <c r="V25" s="710" t="s">
        <v>17</v>
      </c>
      <c r="W25" s="711">
        <f>J25</f>
        <v>100</v>
      </c>
      <c r="X25" s="712"/>
      <c r="Y25" s="3286"/>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6"/>
      <c r="M26" s="2947"/>
      <c r="N26" s="2947"/>
      <c r="O26" s="3001"/>
      <c r="P26" s="3286"/>
      <c r="Q26" s="1527"/>
      <c r="R26" s="710"/>
      <c r="S26" s="711"/>
      <c r="T26" s="710"/>
      <c r="U26" s="711"/>
      <c r="V26" s="710"/>
      <c r="W26" s="711"/>
      <c r="X26" s="712"/>
      <c r="Y26" s="3286"/>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1"/>
      <c r="M27" s="2945"/>
      <c r="N27" s="2945"/>
      <c r="O27" s="3003"/>
      <c r="P27" s="3286"/>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286"/>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1"/>
      <c r="M28" s="2945"/>
      <c r="N28" s="2945"/>
      <c r="O28" s="3003"/>
      <c r="P28" s="3286"/>
      <c r="Q28" s="1536" t="str">
        <f t="shared" si="8"/>
        <v>毗邻道路的类型与等级</v>
      </c>
      <c r="R28" s="714" t="s">
        <v>17</v>
      </c>
      <c r="S28" s="715">
        <f t="shared" si="10"/>
        <v>100</v>
      </c>
      <c r="T28" s="714" t="s">
        <v>17</v>
      </c>
      <c r="U28" s="715">
        <f t="shared" si="11"/>
        <v>100</v>
      </c>
      <c r="V28" s="714" t="s">
        <v>17</v>
      </c>
      <c r="W28" s="715">
        <f t="shared" si="12"/>
        <v>100</v>
      </c>
      <c r="X28" s="1539"/>
      <c r="Y28" s="3286"/>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1"/>
      <c r="M29" s="2945"/>
      <c r="N29" s="2945"/>
      <c r="O29" s="3003"/>
      <c r="P29" s="3286"/>
      <c r="Q29" s="1536"/>
      <c r="R29" s="714"/>
      <c r="S29" s="715"/>
      <c r="T29" s="714"/>
      <c r="U29" s="715"/>
      <c r="V29" s="714"/>
      <c r="W29" s="715"/>
      <c r="X29" s="1539"/>
      <c r="Y29" s="3286"/>
      <c r="Z29" s="1540"/>
      <c r="AA29" s="1537">
        <v>1</v>
      </c>
      <c r="AB29" s="1537">
        <v>1</v>
      </c>
      <c r="AC29" s="1537">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1"/>
      <c r="M30" s="2945"/>
      <c r="N30" s="2945"/>
      <c r="O30" s="3003"/>
      <c r="P30" s="3286"/>
      <c r="Q30" s="1536" t="str">
        <f t="shared" si="8"/>
        <v>土地级别</v>
      </c>
      <c r="R30" s="714" t="s">
        <v>17</v>
      </c>
      <c r="S30" s="715">
        <f t="shared" si="10"/>
        <v>100</v>
      </c>
      <c r="T30" s="714" t="s">
        <v>17</v>
      </c>
      <c r="U30" s="715">
        <f t="shared" si="11"/>
        <v>100</v>
      </c>
      <c r="V30" s="714" t="s">
        <v>17</v>
      </c>
      <c r="W30" s="715">
        <f t="shared" si="12"/>
        <v>100</v>
      </c>
      <c r="X30" s="1539"/>
      <c r="Y30" s="3286"/>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1"/>
      <c r="M31" s="2945"/>
      <c r="N31" s="2945"/>
      <c r="O31" s="3003"/>
      <c r="P31" s="3286"/>
      <c r="Q31" s="1536">
        <f t="shared" si="8"/>
        <v>111</v>
      </c>
      <c r="R31" s="714" t="s">
        <v>17</v>
      </c>
      <c r="S31" s="715">
        <f t="shared" si="10"/>
        <v>100</v>
      </c>
      <c r="T31" s="714" t="s">
        <v>17</v>
      </c>
      <c r="U31" s="715">
        <f t="shared" si="11"/>
        <v>100</v>
      </c>
      <c r="V31" s="714" t="s">
        <v>17</v>
      </c>
      <c r="W31" s="715">
        <f t="shared" si="12"/>
        <v>100</v>
      </c>
      <c r="X31" s="1539"/>
      <c r="Y31" s="3286"/>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1"/>
      <c r="M32" s="2945"/>
      <c r="N32" s="2945"/>
      <c r="O32" s="3003"/>
      <c r="P32" s="3341" t="s">
        <v>2386</v>
      </c>
      <c r="Q32" s="1536">
        <f t="shared" si="8"/>
        <v>111</v>
      </c>
      <c r="R32" s="714" t="s">
        <v>17</v>
      </c>
      <c r="S32" s="715">
        <f t="shared" si="10"/>
        <v>100</v>
      </c>
      <c r="T32" s="714" t="s">
        <v>17</v>
      </c>
      <c r="U32" s="715">
        <f t="shared" si="11"/>
        <v>100</v>
      </c>
      <c r="V32" s="714" t="s">
        <v>17</v>
      </c>
      <c r="W32" s="715">
        <f t="shared" si="12"/>
        <v>100</v>
      </c>
      <c r="X32" s="1539"/>
      <c r="Y32" s="3290"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0"/>
      <c r="M33" s="2952"/>
      <c r="N33" s="2952"/>
      <c r="O33" s="3004"/>
      <c r="P33" s="3290"/>
      <c r="Q33" s="1536">
        <f t="shared" si="8"/>
        <v>111</v>
      </c>
      <c r="R33" s="717" t="s">
        <v>17</v>
      </c>
      <c r="S33" s="718">
        <f t="shared" si="10"/>
        <v>100</v>
      </c>
      <c r="T33" s="717" t="s">
        <v>17</v>
      </c>
      <c r="U33" s="718">
        <f t="shared" si="11"/>
        <v>100</v>
      </c>
      <c r="V33" s="717" t="s">
        <v>17</v>
      </c>
      <c r="W33" s="718">
        <f t="shared" si="12"/>
        <v>100</v>
      </c>
      <c r="X33" s="719"/>
      <c r="Y33" s="3290"/>
      <c r="Z33" s="720">
        <f t="shared" si="13"/>
        <v>111</v>
      </c>
      <c r="AA33" s="1537">
        <f t="shared" si="3"/>
        <v>1</v>
      </c>
      <c r="AB33" s="1537">
        <f t="shared" si="4"/>
        <v>1</v>
      </c>
      <c r="AC33" s="1537">
        <f t="shared" si="5"/>
        <v>1</v>
      </c>
    </row>
    <row r="34" spans="1:31" ht="15">
      <c r="A34" s="399" t="s">
        <v>2384</v>
      </c>
      <c r="B34" s="415" t="s">
        <v>2572</v>
      </c>
      <c r="C34" s="635">
        <f>'数据-基础表'!A3</f>
        <v>60655.3</v>
      </c>
      <c r="D34" s="426">
        <v>100</v>
      </c>
      <c r="E34" s="635">
        <f>Sheet1!D58</f>
        <v>62112</v>
      </c>
      <c r="F34" s="426">
        <f>LOOKUP(E34,108:108,109:109)-LOOKUP(C34,108:108,109:109)+100</f>
        <v>100</v>
      </c>
      <c r="G34" s="635">
        <f>Sheet1!D65</f>
        <v>140092.29999999999</v>
      </c>
      <c r="H34" s="426">
        <f>LOOKUP(G34,108:108,109:109)-LOOKUP(C34,108:108,109:109)+100</f>
        <v>101</v>
      </c>
      <c r="I34" s="487">
        <f>Sheet1!D66</f>
        <v>148809.79999999999</v>
      </c>
      <c r="J34" s="426">
        <f>LOOKUP(I34,108:108,109:109)-LOOKUP(C34,108:108,109:109)+100</f>
        <v>101</v>
      </c>
      <c r="K34" s="570"/>
      <c r="L34" s="2951"/>
      <c r="M34" s="2945"/>
      <c r="N34" s="2945"/>
      <c r="O34" s="3003"/>
      <c r="P34" s="3290"/>
      <c r="Q34" s="1536" t="str">
        <f>B34</f>
        <v>宗地面积</v>
      </c>
      <c r="R34" s="714" t="s">
        <v>17</v>
      </c>
      <c r="S34" s="715">
        <f t="shared" si="10"/>
        <v>100</v>
      </c>
      <c r="T34" s="714" t="s">
        <v>17</v>
      </c>
      <c r="U34" s="715">
        <f t="shared" si="11"/>
        <v>101</v>
      </c>
      <c r="V34" s="714" t="s">
        <v>17</v>
      </c>
      <c r="W34" s="715">
        <f t="shared" si="12"/>
        <v>101</v>
      </c>
      <c r="X34" s="1539"/>
      <c r="Y34" s="3290"/>
      <c r="Z34" s="1540" t="str">
        <f t="shared" si="13"/>
        <v>宗地面积</v>
      </c>
      <c r="AA34" s="1537">
        <f t="shared" si="3"/>
        <v>1</v>
      </c>
      <c r="AB34" s="1537">
        <f t="shared" si="4"/>
        <v>0.99009900990099009</v>
      </c>
      <c r="AC34" s="1537">
        <f t="shared" si="5"/>
        <v>0.99009900990099009</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1"/>
      <c r="M35" s="2945"/>
      <c r="N35" s="2945"/>
      <c r="O35" s="3003"/>
      <c r="P35" s="3290"/>
      <c r="Q35" s="1536" t="str">
        <f t="shared" ref="Q35:Q40" si="14">B35</f>
        <v>宗地形状</v>
      </c>
      <c r="R35" s="714" t="s">
        <v>17</v>
      </c>
      <c r="S35" s="715">
        <f t="shared" si="10"/>
        <v>100</v>
      </c>
      <c r="T35" s="714" t="s">
        <v>17</v>
      </c>
      <c r="U35" s="715">
        <f t="shared" si="11"/>
        <v>100</v>
      </c>
      <c r="V35" s="714" t="s">
        <v>17</v>
      </c>
      <c r="W35" s="715">
        <f t="shared" si="12"/>
        <v>100</v>
      </c>
      <c r="X35" s="1539"/>
      <c r="Y35" s="3290"/>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6"/>
      <c r="M36" s="2947"/>
      <c r="N36" s="2947"/>
      <c r="O36" s="3001"/>
      <c r="P36" s="3290"/>
      <c r="Q36" s="1536" t="str">
        <f t="shared" si="14"/>
        <v>宗地开发程度</v>
      </c>
      <c r="R36" s="710" t="s">
        <v>17</v>
      </c>
      <c r="S36" s="711">
        <f t="shared" si="10"/>
        <v>100</v>
      </c>
      <c r="T36" s="710" t="s">
        <v>17</v>
      </c>
      <c r="U36" s="711">
        <f t="shared" si="11"/>
        <v>100</v>
      </c>
      <c r="V36" s="710" t="s">
        <v>17</v>
      </c>
      <c r="W36" s="711">
        <f t="shared" si="12"/>
        <v>100</v>
      </c>
      <c r="X36" s="712"/>
      <c r="Y36" s="3290"/>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1"/>
      <c r="M37" s="2945"/>
      <c r="N37" s="2945"/>
      <c r="O37" s="3003"/>
      <c r="P37" s="3290" t="s">
        <v>2386</v>
      </c>
      <c r="Q37" s="1536" t="str">
        <f t="shared" si="14"/>
        <v>工程地质条件</v>
      </c>
      <c r="R37" s="714" t="s">
        <v>17</v>
      </c>
      <c r="S37" s="715">
        <f t="shared" si="10"/>
        <v>100</v>
      </c>
      <c r="T37" s="714" t="s">
        <v>17</v>
      </c>
      <c r="U37" s="715">
        <f t="shared" si="11"/>
        <v>100</v>
      </c>
      <c r="V37" s="714" t="s">
        <v>17</v>
      </c>
      <c r="W37" s="715">
        <f t="shared" si="12"/>
        <v>100</v>
      </c>
      <c r="X37" s="1539"/>
      <c r="Y37" s="3290" t="s">
        <v>2386</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1"/>
      <c r="M38" s="2945"/>
      <c r="N38" s="2945"/>
      <c r="O38" s="3003"/>
      <c r="P38" s="3290"/>
      <c r="Q38" s="1536">
        <f t="shared" si="14"/>
        <v>111</v>
      </c>
      <c r="R38" s="714" t="s">
        <v>17</v>
      </c>
      <c r="S38" s="715">
        <f t="shared" si="10"/>
        <v>100</v>
      </c>
      <c r="T38" s="714" t="s">
        <v>17</v>
      </c>
      <c r="U38" s="715">
        <f t="shared" si="11"/>
        <v>100</v>
      </c>
      <c r="V38" s="714" t="s">
        <v>17</v>
      </c>
      <c r="W38" s="715">
        <f t="shared" si="12"/>
        <v>100</v>
      </c>
      <c r="X38" s="1539"/>
      <c r="Y38" s="3290"/>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1"/>
      <c r="M39" s="2945"/>
      <c r="N39" s="2945"/>
      <c r="O39" s="3003"/>
      <c r="P39" s="3290"/>
      <c r="Q39" s="1536">
        <f t="shared" si="14"/>
        <v>111</v>
      </c>
      <c r="R39" s="714" t="s">
        <v>17</v>
      </c>
      <c r="S39" s="715">
        <f t="shared" si="10"/>
        <v>100</v>
      </c>
      <c r="T39" s="714" t="s">
        <v>17</v>
      </c>
      <c r="U39" s="715">
        <f t="shared" si="11"/>
        <v>100</v>
      </c>
      <c r="V39" s="714" t="s">
        <v>17</v>
      </c>
      <c r="W39" s="715">
        <f t="shared" si="12"/>
        <v>100</v>
      </c>
      <c r="X39" s="1539"/>
      <c r="Y39" s="3290"/>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50"/>
      <c r="M40" s="2952"/>
      <c r="N40" s="2952"/>
      <c r="O40" s="3004"/>
      <c r="P40" s="3290"/>
      <c r="Q40" s="1536">
        <f t="shared" si="14"/>
        <v>111</v>
      </c>
      <c r="R40" s="717" t="s">
        <v>17</v>
      </c>
      <c r="S40" s="718">
        <f t="shared" si="10"/>
        <v>100</v>
      </c>
      <c r="T40" s="717" t="s">
        <v>17</v>
      </c>
      <c r="U40" s="718">
        <f t="shared" si="11"/>
        <v>100</v>
      </c>
      <c r="V40" s="717" t="s">
        <v>17</v>
      </c>
      <c r="W40" s="718">
        <f t="shared" si="12"/>
        <v>100</v>
      </c>
      <c r="X40" s="719"/>
      <c r="Y40" s="3290"/>
      <c r="Z40" s="720">
        <f t="shared" si="13"/>
        <v>111</v>
      </c>
      <c r="AA40" s="1537">
        <f t="shared" si="3"/>
        <v>1</v>
      </c>
      <c r="AB40" s="1537">
        <f t="shared" si="4"/>
        <v>1</v>
      </c>
      <c r="AC40" s="1537">
        <f t="shared" si="5"/>
        <v>1</v>
      </c>
    </row>
    <row r="41" spans="1:31" ht="15">
      <c r="A41" s="438" t="s">
        <v>2541</v>
      </c>
      <c r="B41" s="2168" t="s">
        <v>3570</v>
      </c>
      <c r="C41" s="638" t="s">
        <v>1</v>
      </c>
      <c r="D41" s="440"/>
      <c r="E41" s="441">
        <f>Sheet1!N58</f>
        <v>807.29</v>
      </c>
      <c r="F41" s="442"/>
      <c r="G41" s="443">
        <f>Sheet1!N65</f>
        <v>803.54</v>
      </c>
      <c r="H41" s="444"/>
      <c r="I41" s="441">
        <f>Sheet1!N66</f>
        <v>786.24</v>
      </c>
      <c r="J41" s="444"/>
      <c r="K41" s="723"/>
      <c r="L41" s="2953"/>
      <c r="M41" s="2945"/>
      <c r="N41" s="2945"/>
      <c r="O41" s="2954"/>
      <c r="P41" s="3283" t="str">
        <f>A41</f>
        <v>成交单价</v>
      </c>
      <c r="Q41" s="3283"/>
      <c r="R41" s="3314">
        <f>E41</f>
        <v>807.29</v>
      </c>
      <c r="S41" s="3314"/>
      <c r="T41" s="3314">
        <f>G41</f>
        <v>803.54</v>
      </c>
      <c r="U41" s="3314"/>
      <c r="V41" s="3314">
        <f>I41</f>
        <v>786.24</v>
      </c>
      <c r="W41" s="3314"/>
      <c r="X41" s="699"/>
      <c r="Y41" s="721"/>
      <c r="Z41" s="699"/>
      <c r="AA41" s="699"/>
      <c r="AB41" s="699"/>
      <c r="AC41" s="699"/>
    </row>
    <row r="42" spans="1:31" ht="15.75" thickBot="1">
      <c r="A42" s="445" t="s">
        <v>2490</v>
      </c>
      <c r="B42" s="639"/>
      <c r="C42" s="448">
        <f>R43</f>
        <v>758</v>
      </c>
      <c r="D42" s="2538" t="s">
        <v>2880</v>
      </c>
      <c r="E42" s="448">
        <f>R42</f>
        <v>772</v>
      </c>
      <c r="F42" s="2539"/>
      <c r="G42" s="447">
        <f>T42</f>
        <v>757</v>
      </c>
      <c r="H42" s="2539"/>
      <c r="I42" s="448">
        <f>V42</f>
        <v>746</v>
      </c>
      <c r="J42" s="2539"/>
      <c r="K42" s="2541">
        <f>F42+H42+J42</f>
        <v>0</v>
      </c>
      <c r="L42" s="2953"/>
      <c r="M42" s="2945"/>
      <c r="N42" s="2945"/>
      <c r="O42" s="2954"/>
      <c r="P42" s="3283" t="str">
        <f>A42</f>
        <v>比较价值（元/平方米）</v>
      </c>
      <c r="Q42" s="3283"/>
      <c r="R42" s="3343">
        <f>ROUND(PRODUCT(R41,AA7:AA40),0)</f>
        <v>772</v>
      </c>
      <c r="S42" s="3343"/>
      <c r="T42" s="3343">
        <f>ROUND(PRODUCT(T41,AB7:AB40),0)</f>
        <v>757</v>
      </c>
      <c r="U42" s="3343"/>
      <c r="V42" s="3343">
        <f>ROUND(PRODUCT(V41,AC7:AC40),0)</f>
        <v>746</v>
      </c>
      <c r="W42" s="3343"/>
      <c r="X42" s="699"/>
      <c r="Y42" s="699"/>
      <c r="Z42" s="699"/>
      <c r="AA42" s="699"/>
      <c r="AB42" s="699"/>
      <c r="AC42" s="699"/>
    </row>
    <row r="43" spans="1:31" ht="15.75" thickBot="1">
      <c r="A43" s="449" t="s">
        <v>2491</v>
      </c>
      <c r="B43" s="450"/>
      <c r="C43" s="451">
        <f>R43</f>
        <v>758</v>
      </c>
      <c r="D43" s="451"/>
      <c r="E43" s="451"/>
      <c r="F43" s="451"/>
      <c r="G43" s="451"/>
      <c r="H43" s="451"/>
      <c r="I43" s="451"/>
      <c r="J43" s="451"/>
      <c r="K43" s="724"/>
      <c r="L43" s="2953"/>
      <c r="M43" s="2945"/>
      <c r="N43" s="2945"/>
      <c r="O43" s="2954"/>
      <c r="P43" s="3280" t="str">
        <f>A43</f>
        <v>估价对象XX用房的比较价值（楼面单价，元/平方米）</v>
      </c>
      <c r="Q43" s="3281"/>
      <c r="R43" s="3344">
        <f>ROUND(IF(D42="简单平均",AVERAGE(R42:W42),R42*F42+T42*H42+V42*J42),0)</f>
        <v>758</v>
      </c>
      <c r="S43" s="3344"/>
      <c r="T43" s="3344"/>
      <c r="U43" s="3344"/>
      <c r="V43" s="3344"/>
      <c r="W43" s="3344"/>
      <c r="X43" s="699"/>
      <c r="Y43" s="699"/>
      <c r="Z43" s="699"/>
      <c r="AA43" s="699"/>
      <c r="AB43" s="699"/>
      <c r="AC43" s="699"/>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4" t="s">
        <v>2492</v>
      </c>
      <c r="D46" s="455"/>
      <c r="E46" s="456">
        <f>IF(E41&lt;E42,E42/E41-1,E41/E42-1)</f>
        <v>4.5712435233160598E-2</v>
      </c>
      <c r="F46" s="457" t="str">
        <f>IF(OR(E46&gt;=0.3,E46&lt;=-0.3),"超过30%","")</f>
        <v/>
      </c>
      <c r="G46" s="456">
        <f>IF(G41&lt;G42,G42/G41-1,G41/G42-1)</f>
        <v>6.1479524438573296E-2</v>
      </c>
      <c r="H46" s="457" t="str">
        <f>IF(OR(G46&gt;=0.3,G46&lt;=-0.3),"超过30%","")</f>
        <v/>
      </c>
      <c r="I46" s="456">
        <f>IF(I41&lt;I42,I42/I41-1,I41/I42-1)</f>
        <v>5.3941018766755944E-2</v>
      </c>
      <c r="J46" s="457" t="str">
        <f>IF(OR(I46&gt;=0.3,I46&lt;=-0.3),"超过30%","")</f>
        <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4" t="s">
        <v>2493</v>
      </c>
      <c r="D47" s="458"/>
      <c r="E47" s="456">
        <f>IF(E42&lt;G42,G42/E42-1,E42/G42-1)</f>
        <v>1.9815059445178251E-2</v>
      </c>
      <c r="F47" s="457" t="str">
        <f>IF(OR(E47&gt;=0.2,E47&lt;=-0.2),"超过20%","")</f>
        <v/>
      </c>
      <c r="G47" s="456">
        <f>IF(G42&lt;I42,I42/G42-1,G42/I42-1)</f>
        <v>1.4745308310991856E-2</v>
      </c>
      <c r="H47" s="457" t="str">
        <f>IF(OR(G47&gt;=0.2,G47&lt;=-0.2),"超过20%","")</f>
        <v/>
      </c>
      <c r="I47" s="456">
        <f>IF(I42&lt;E42,E42/I42-1,I42/E42-1)</f>
        <v>3.4852546916890104E-2</v>
      </c>
      <c r="J47" s="457" t="str">
        <f>IF(OR(I47&gt;=0.2,I47&lt;=-0.2),"超过20%","")</f>
        <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9" customFormat="1" ht="13.5" customHeight="1">
      <c r="A48" s="2957"/>
      <c r="B48" s="2957"/>
      <c r="C48" s="454" t="s">
        <v>2494</v>
      </c>
      <c r="D48" s="458"/>
      <c r="E48" s="456">
        <f>IF(E41&lt;G41,G41/E41-1,E41/G41-1)</f>
        <v>4.666849192324074E-3</v>
      </c>
      <c r="F48" s="457" t="str">
        <f>IF(OR(E48&gt;=0.3,E48&lt;=-0.3),"超过30%","")</f>
        <v/>
      </c>
      <c r="G48" s="456">
        <f>IF(G41&lt;I41,I41/G41-1,G41/I41-1)</f>
        <v>2.2003459503459499E-2</v>
      </c>
      <c r="H48" s="457" t="str">
        <f>IF(OR(G48&gt;=0.3,G48&lt;=-0.3),"超过30%","")</f>
        <v/>
      </c>
      <c r="I48" s="456">
        <f>IF(I41&lt;E41,E41/I41-1,I41/E41-1)</f>
        <v>2.6772995522995391E-2</v>
      </c>
      <c r="J48" s="457" t="str">
        <f>IF(OR(I48&gt;=0.3,I48&lt;=-0.3),"超过30%","")</f>
        <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9" customFormat="1" ht="15" thickBot="1">
      <c r="A49" s="2957"/>
      <c r="B49" s="2960"/>
      <c r="C49" s="702"/>
      <c r="D49" s="700"/>
      <c r="E49" s="700"/>
      <c r="F49" s="700"/>
      <c r="G49" s="700"/>
      <c r="H49" s="700"/>
      <c r="I49" s="700"/>
      <c r="J49" s="700"/>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40" t="s">
        <v>2579</v>
      </c>
      <c r="B50" s="641" t="s">
        <v>2580</v>
      </c>
      <c r="C50" s="2169" t="s">
        <v>2581</v>
      </c>
      <c r="D50" s="2170" t="s">
        <v>2582</v>
      </c>
      <c r="E50" s="642" t="s">
        <v>2583</v>
      </c>
      <c r="F50" s="643" t="s">
        <v>2584</v>
      </c>
      <c r="G50" s="3298" t="s">
        <v>2585</v>
      </c>
      <c r="H50" s="3345"/>
      <c r="I50" s="1540" t="s">
        <v>2621</v>
      </c>
      <c r="J50" s="1540">
        <f>项目基本情况!F35</f>
        <v>0</v>
      </c>
      <c r="K50" s="2172" t="s">
        <v>2587</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8" customFormat="1">
      <c r="A51" s="644" t="s">
        <v>2588</v>
      </c>
      <c r="B51" s="645">
        <f>C43</f>
        <v>758</v>
      </c>
      <c r="C51" s="646">
        <v>1</v>
      </c>
      <c r="D51" s="1075">
        <v>1</v>
      </c>
      <c r="E51" s="646">
        <f>'数据-汇总表'!E8+'数据-汇总表'!E9</f>
        <v>32069.72</v>
      </c>
      <c r="F51" s="647">
        <f t="shared" ref="F51:F60" si="15">ROUND(B51*E51/10000,0)</f>
        <v>2431</v>
      </c>
      <c r="G51" s="3294"/>
      <c r="H51" s="3283"/>
      <c r="I51" s="879">
        <v>1</v>
      </c>
      <c r="J51" s="879">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8" customFormat="1">
      <c r="A52" s="649" t="s">
        <v>2589</v>
      </c>
      <c r="B52" s="224">
        <f>ROUND($C$43*C52*D52,0)</f>
        <v>0</v>
      </c>
      <c r="C52" s="176">
        <f t="shared" ref="C52:C60" si="16">IF($C$50="北京市系数",I52,J52)</f>
        <v>0</v>
      </c>
      <c r="D52" s="1076">
        <v>0.25</v>
      </c>
      <c r="E52" s="650"/>
      <c r="F52" s="647">
        <f t="shared" si="15"/>
        <v>0</v>
      </c>
      <c r="G52" s="3346" t="s">
        <v>2590</v>
      </c>
      <c r="H52" s="1018">
        <f>项目基本情况!B37</f>
        <v>0</v>
      </c>
      <c r="I52" s="879">
        <f>SUMIF(修正!A45:A56,H52,修正!B45:B56)</f>
        <v>0</v>
      </c>
      <c r="J52" s="880"/>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8" customFormat="1">
      <c r="A53" s="649" t="s">
        <v>2591</v>
      </c>
      <c r="B53" s="224">
        <f t="shared" ref="B53:B60" si="17">ROUND($C$43*C53*D53,0)</f>
        <v>0</v>
      </c>
      <c r="C53" s="176">
        <f t="shared" si="16"/>
        <v>0</v>
      </c>
      <c r="D53" s="1076">
        <v>0.25</v>
      </c>
      <c r="E53" s="650"/>
      <c r="F53" s="647">
        <f t="shared" si="15"/>
        <v>0</v>
      </c>
      <c r="G53" s="3346"/>
      <c r="H53" s="1018">
        <f>项目基本情况!B37</f>
        <v>0</v>
      </c>
      <c r="I53" s="879">
        <f>SUMIF(修正!A45:A56,H53,修正!C45:C56)</f>
        <v>0</v>
      </c>
      <c r="J53" s="880"/>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8" customFormat="1">
      <c r="A54" s="649" t="s">
        <v>2592</v>
      </c>
      <c r="B54" s="224">
        <f t="shared" si="17"/>
        <v>0</v>
      </c>
      <c r="C54" s="176">
        <f t="shared" si="16"/>
        <v>0</v>
      </c>
      <c r="D54" s="1076">
        <v>0.25</v>
      </c>
      <c r="E54" s="650"/>
      <c r="F54" s="647">
        <f t="shared" si="15"/>
        <v>0</v>
      </c>
      <c r="G54" s="3346"/>
      <c r="H54" s="1018">
        <f>项目基本情况!B37</f>
        <v>0</v>
      </c>
      <c r="I54" s="879">
        <f>SUMIF(修正!A45:A56,H54,修正!D45:D56)</f>
        <v>0</v>
      </c>
      <c r="J54" s="880"/>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8" customFormat="1">
      <c r="A55" s="649" t="s">
        <v>2593</v>
      </c>
      <c r="B55" s="224">
        <f t="shared" si="17"/>
        <v>0</v>
      </c>
      <c r="C55" s="176">
        <f t="shared" si="16"/>
        <v>0</v>
      </c>
      <c r="D55" s="1076">
        <v>0.25</v>
      </c>
      <c r="E55" s="650"/>
      <c r="F55" s="647">
        <f t="shared" si="15"/>
        <v>0</v>
      </c>
      <c r="G55" s="3346"/>
      <c r="H55" s="1018">
        <f>项目基本情况!B37</f>
        <v>0</v>
      </c>
      <c r="I55" s="879">
        <f>SUMIF(修正!A45:A56,H55,修正!E45:E56)</f>
        <v>0</v>
      </c>
      <c r="J55" s="880"/>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8" customFormat="1">
      <c r="A56" s="649" t="s">
        <v>2594</v>
      </c>
      <c r="B56" s="224">
        <f t="shared" si="17"/>
        <v>0</v>
      </c>
      <c r="C56" s="176">
        <f t="shared" si="16"/>
        <v>0</v>
      </c>
      <c r="D56" s="1076">
        <v>0.25</v>
      </c>
      <c r="E56" s="223">
        <f>'数据-汇总表'!E11</f>
        <v>0</v>
      </c>
      <c r="F56" s="647">
        <f t="shared" si="15"/>
        <v>0</v>
      </c>
      <c r="G56" s="2173" t="s">
        <v>2595</v>
      </c>
      <c r="H56" s="1018">
        <f>项目基本情况!C37</f>
        <v>0</v>
      </c>
      <c r="I56" s="879">
        <f>SUMIF(修正!A45:A56,H56,修正!F45:F56)</f>
        <v>0</v>
      </c>
      <c r="J56" s="880"/>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8" customFormat="1">
      <c r="A57" s="649" t="s">
        <v>2596</v>
      </c>
      <c r="B57" s="224">
        <f t="shared" si="17"/>
        <v>0</v>
      </c>
      <c r="C57" s="176">
        <f t="shared" si="16"/>
        <v>0</v>
      </c>
      <c r="D57" s="1076">
        <v>0.25</v>
      </c>
      <c r="E57" s="223">
        <f>'数据-汇总表'!E12</f>
        <v>0</v>
      </c>
      <c r="F57" s="647">
        <f t="shared" si="15"/>
        <v>0</v>
      </c>
      <c r="G57" s="1023" t="s">
        <v>2597</v>
      </c>
      <c r="H57" s="1018">
        <f>IF(G57="商业",项目基本情况!B37,IF(G57="办公",项目基本情况!C37,IF(G57="住宅",项目基本情况!D37,项目基本情况!E37)))</f>
        <v>0</v>
      </c>
      <c r="I57" s="879">
        <f>SUMIF(修正!A45:A56,H57,修正!G45:G56)</f>
        <v>0</v>
      </c>
      <c r="J57" s="880"/>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8" customFormat="1">
      <c r="A58" s="649" t="s">
        <v>2598</v>
      </c>
      <c r="B58" s="224">
        <f t="shared" si="17"/>
        <v>0</v>
      </c>
      <c r="C58" s="176">
        <f t="shared" si="16"/>
        <v>0</v>
      </c>
      <c r="D58" s="1076">
        <v>0.25</v>
      </c>
      <c r="E58" s="223">
        <f>'数据-汇总表'!E13</f>
        <v>0</v>
      </c>
      <c r="F58" s="647">
        <f t="shared" si="15"/>
        <v>0</v>
      </c>
      <c r="G58" s="1023" t="s">
        <v>2599</v>
      </c>
      <c r="H58" s="1018">
        <f>IF(G58="商业",项目基本情况!B37,IF(G58="办公",项目基本情况!C37,IF(G58="住宅",项目基本情况!D37,项目基本情况!E37)))</f>
        <v>0</v>
      </c>
      <c r="I58" s="879">
        <f>SUMIF(修正!A45:A56,H58,修正!H45:H56)</f>
        <v>0</v>
      </c>
      <c r="J58" s="880"/>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8" customFormat="1">
      <c r="A59" s="649" t="s">
        <v>2600</v>
      </c>
      <c r="B59" s="224">
        <f t="shared" si="17"/>
        <v>0</v>
      </c>
      <c r="C59" s="176">
        <f t="shared" si="16"/>
        <v>0</v>
      </c>
      <c r="D59" s="1076">
        <v>0.25</v>
      </c>
      <c r="E59" s="223">
        <f>'数据-汇总表'!E14</f>
        <v>0</v>
      </c>
      <c r="F59" s="647">
        <f t="shared" si="15"/>
        <v>0</v>
      </c>
      <c r="G59" s="2173" t="s">
        <v>2590</v>
      </c>
      <c r="H59" s="1018">
        <f>项目基本情况!B37</f>
        <v>0</v>
      </c>
      <c r="I59" s="879">
        <f>SUMIF(修正!A45:A56,H59,修正!H45:H56)</f>
        <v>0</v>
      </c>
      <c r="J59" s="880"/>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8" customFormat="1" ht="15" thickBot="1">
      <c r="A60" s="649" t="s">
        <v>2601</v>
      </c>
      <c r="B60" s="224">
        <f t="shared" si="17"/>
        <v>0</v>
      </c>
      <c r="C60" s="176">
        <f t="shared" si="16"/>
        <v>0</v>
      </c>
      <c r="D60" s="1076">
        <v>0.25</v>
      </c>
      <c r="E60" s="223">
        <f>'数据-汇总表'!E15</f>
        <v>0</v>
      </c>
      <c r="F60" s="647">
        <f t="shared" si="15"/>
        <v>0</v>
      </c>
      <c r="G60" s="2174" t="s">
        <v>2595</v>
      </c>
      <c r="H60" s="1028">
        <f>项目基本情况!C37</f>
        <v>0</v>
      </c>
      <c r="I60" s="879">
        <f>SUMIF(修正!A45:A56,H60,修正!H45:H56)</f>
        <v>0</v>
      </c>
      <c r="J60" s="880"/>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8" customFormat="1" ht="15" thickBot="1">
      <c r="A61" s="651" t="s">
        <v>2602</v>
      </c>
      <c r="B61" s="652" t="s">
        <v>28</v>
      </c>
      <c r="C61" s="652" t="s">
        <v>29</v>
      </c>
      <c r="D61" s="652" t="s">
        <v>997</v>
      </c>
      <c r="E61" s="652">
        <f>IF(B41="楼面地价",SUM(E51:E60),'数据-汇总表'!D3)</f>
        <v>32069.72</v>
      </c>
      <c r="F61" s="653">
        <f>IF(B41="楼面地价",SUM(F51:F60),ROUND(C43*E61/10000,0))</f>
        <v>2431</v>
      </c>
      <c r="G61" s="1070"/>
      <c r="H61" s="1070"/>
      <c r="I61" s="1070"/>
      <c r="J61" s="1070"/>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8"/>
      <c r="B62" s="1060"/>
      <c r="C62" s="1062"/>
      <c r="D62" s="1058"/>
      <c r="E62" s="1058"/>
      <c r="F62" s="1058"/>
      <c r="G62" s="1058"/>
      <c r="H62" s="1058"/>
      <c r="I62" s="1058"/>
      <c r="J62" s="1058"/>
      <c r="K62" s="1019"/>
      <c r="L62" s="1020"/>
      <c r="M62" s="1058"/>
      <c r="N62" s="1058"/>
      <c r="O62" s="1058"/>
      <c r="P62" s="2954"/>
      <c r="Q62" s="2954"/>
      <c r="R62" s="2954"/>
      <c r="S62" s="2954"/>
      <c r="T62" s="2954"/>
      <c r="U62" s="2954"/>
      <c r="V62" s="2954"/>
      <c r="W62" s="2954"/>
      <c r="X62" s="2954"/>
      <c r="Y62" s="2954"/>
      <c r="Z62" s="2954"/>
      <c r="AA62" s="2954"/>
      <c r="AB62" s="2954"/>
      <c r="AC62" s="2954"/>
      <c r="AD62" s="2954"/>
      <c r="AE62" s="2954"/>
    </row>
    <row r="63" spans="1:31">
      <c r="A63" s="1058"/>
      <c r="B63" s="1060"/>
      <c r="C63" s="701" t="str">
        <f>YEAR(C7)&amp;"-"&amp;MONTH(C7)&amp;"-1"</f>
        <v>2021-6-1</v>
      </c>
      <c r="D63" s="701">
        <f>EDATE(C63,-3)</f>
        <v>44256</v>
      </c>
      <c r="E63" s="701">
        <f>EDATE(D63,-3)</f>
        <v>44166</v>
      </c>
      <c r="F63" s="701">
        <f t="shared" ref="F63:O63" si="18">EDATE(E63,-3)</f>
        <v>44075</v>
      </c>
      <c r="G63" s="701">
        <f t="shared" si="18"/>
        <v>43983</v>
      </c>
      <c r="H63" s="701">
        <f t="shared" si="18"/>
        <v>43891</v>
      </c>
      <c r="I63" s="701">
        <f t="shared" si="18"/>
        <v>43800</v>
      </c>
      <c r="J63" s="701">
        <f t="shared" si="18"/>
        <v>43709</v>
      </c>
      <c r="K63" s="701">
        <f t="shared" si="18"/>
        <v>43617</v>
      </c>
      <c r="L63" s="701">
        <f t="shared" si="18"/>
        <v>43525</v>
      </c>
      <c r="M63" s="701">
        <f t="shared" si="18"/>
        <v>43435</v>
      </c>
      <c r="N63" s="701">
        <f t="shared" si="18"/>
        <v>43344</v>
      </c>
      <c r="O63" s="701">
        <f t="shared" si="18"/>
        <v>43252</v>
      </c>
      <c r="P63" s="2954"/>
      <c r="Q63" s="2954"/>
      <c r="R63" s="2954"/>
      <c r="S63" s="2954"/>
      <c r="T63" s="2954"/>
      <c r="U63" s="2954"/>
      <c r="V63" s="2954"/>
      <c r="W63" s="2954"/>
      <c r="X63" s="2954"/>
      <c r="Y63" s="2954"/>
      <c r="Z63" s="2954"/>
      <c r="AA63" s="2954"/>
      <c r="AB63" s="2954"/>
      <c r="AC63" s="2954"/>
      <c r="AD63" s="2954"/>
      <c r="AE63" s="2954"/>
    </row>
    <row r="64" spans="1:31" ht="21.75" thickBot="1">
      <c r="A64" s="703" t="s">
        <v>2495</v>
      </c>
      <c r="B64" s="699"/>
      <c r="C64" s="704"/>
      <c r="D64" s="704"/>
      <c r="E64" s="704"/>
      <c r="F64" s="705"/>
      <c r="G64" s="705"/>
      <c r="H64" s="704"/>
      <c r="I64" s="704"/>
      <c r="J64" s="704"/>
      <c r="K64" s="706"/>
      <c r="L64" s="707"/>
      <c r="M64" s="704"/>
      <c r="N64" s="704"/>
      <c r="O64" s="1071"/>
      <c r="P64" s="2998"/>
      <c r="Q64" s="2968"/>
      <c r="R64" s="2954"/>
      <c r="S64" s="2954"/>
      <c r="T64" s="2954"/>
      <c r="U64" s="2954"/>
      <c r="V64" s="2954"/>
      <c r="W64" s="2954"/>
      <c r="X64" s="2954"/>
      <c r="Y64" s="2954"/>
      <c r="Z64" s="2954"/>
      <c r="AA64" s="2954"/>
      <c r="AB64" s="2954"/>
      <c r="AC64" s="2954"/>
      <c r="AD64" s="2954"/>
      <c r="AE64" s="2954"/>
    </row>
    <row r="65" spans="1:31" s="465" customFormat="1" ht="15">
      <c r="A65" s="2175" t="s">
        <v>2603</v>
      </c>
      <c r="B65" s="1269"/>
      <c r="C65" s="1344" t="str">
        <f>YEAR(C63)&amp;"-"&amp;ROUNDUP(MONTH(C63)/3,0)</f>
        <v>2021-2</v>
      </c>
      <c r="D65" s="1344" t="str">
        <f t="shared" ref="D65:O65" si="19">YEAR(D63)&amp;"-"&amp;ROUNDUP(MONTH(D63)/3,0)</f>
        <v>2021-1</v>
      </c>
      <c r="E65" s="1344" t="str">
        <f t="shared" si="19"/>
        <v>2020-4</v>
      </c>
      <c r="F65" s="1344" t="str">
        <f t="shared" si="19"/>
        <v>2020-3</v>
      </c>
      <c r="G65" s="1344" t="str">
        <f t="shared" si="19"/>
        <v>2020-2</v>
      </c>
      <c r="H65" s="1344" t="str">
        <f t="shared" si="19"/>
        <v>2020-1</v>
      </c>
      <c r="I65" s="1344" t="str">
        <f t="shared" si="19"/>
        <v>2019-4</v>
      </c>
      <c r="J65" s="1344" t="str">
        <f t="shared" si="19"/>
        <v>2019-3</v>
      </c>
      <c r="K65" s="1344" t="str">
        <f t="shared" si="19"/>
        <v>2019-2</v>
      </c>
      <c r="L65" s="1344" t="str">
        <f t="shared" si="19"/>
        <v>2019-1</v>
      </c>
      <c r="M65" s="1344" t="str">
        <f t="shared" si="19"/>
        <v>2018-4</v>
      </c>
      <c r="N65" s="1344" t="str">
        <f t="shared" si="19"/>
        <v>2018-3</v>
      </c>
      <c r="O65" s="1344" t="str">
        <f t="shared" si="19"/>
        <v>2018-2</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2622</v>
      </c>
      <c r="B66" s="294" t="str">
        <f>"北京市平均增长率"&amp;TEXT(基准地价修正!P24,"0.00%")</f>
        <v>北京市平均增长率1.25%</v>
      </c>
      <c r="C66" s="560">
        <v>100</v>
      </c>
      <c r="D66" s="552">
        <f>C66-$C$67</f>
        <v>99.8</v>
      </c>
      <c r="E66" s="552">
        <f t="shared" ref="E66:M66" si="20">D66-$C$67</f>
        <v>99.6</v>
      </c>
      <c r="F66" s="552">
        <f t="shared" si="20"/>
        <v>99.399999999999991</v>
      </c>
      <c r="G66" s="552">
        <f t="shared" si="20"/>
        <v>99.199999999999989</v>
      </c>
      <c r="H66" s="552">
        <f t="shared" si="20"/>
        <v>98.999999999999986</v>
      </c>
      <c r="I66" s="552">
        <f t="shared" si="20"/>
        <v>98.799999999999983</v>
      </c>
      <c r="J66" s="552">
        <f t="shared" si="20"/>
        <v>98.59999999999998</v>
      </c>
      <c r="K66" s="552">
        <f t="shared" si="20"/>
        <v>98.399999999999977</v>
      </c>
      <c r="L66" s="552">
        <f t="shared" si="20"/>
        <v>98.199999999999974</v>
      </c>
      <c r="M66" s="552">
        <f t="shared" si="20"/>
        <v>97.999999999999972</v>
      </c>
      <c r="N66" s="1340"/>
      <c r="O66" s="1342"/>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2" t="s">
        <v>2406</v>
      </c>
      <c r="B67" s="473"/>
      <c r="C67" s="474">
        <v>0.2</v>
      </c>
      <c r="D67" s="475"/>
      <c r="E67" s="475"/>
      <c r="F67" s="475"/>
      <c r="G67" s="475"/>
      <c r="H67" s="475"/>
      <c r="I67" s="475"/>
      <c r="J67" s="475"/>
      <c r="K67" s="475"/>
      <c r="L67" s="475"/>
      <c r="M67" s="476"/>
      <c r="N67" s="476"/>
      <c r="O67" s="477"/>
      <c r="P67" s="2968"/>
      <c r="Q67" s="2968"/>
      <c r="R67" s="2888"/>
      <c r="S67" s="2888"/>
      <c r="T67" s="2888"/>
      <c r="U67" s="2888"/>
      <c r="V67" s="2888"/>
      <c r="W67" s="2888"/>
      <c r="X67" s="2888"/>
      <c r="Y67" s="2888"/>
      <c r="Z67" s="2888"/>
      <c r="AA67" s="2888"/>
      <c r="AB67" s="2888"/>
      <c r="AC67" s="2888"/>
      <c r="AD67" s="2888"/>
      <c r="AE67" s="2888"/>
    </row>
    <row r="68" spans="1:31" s="113" customFormat="1" ht="15">
      <c r="A68" s="478" t="s">
        <v>2371</v>
      </c>
      <c r="B68" s="467"/>
      <c r="C68" s="479" t="s">
        <v>2473</v>
      </c>
      <c r="D68" s="480"/>
      <c r="E68" s="480"/>
      <c r="F68" s="480"/>
      <c r="G68" s="480"/>
      <c r="H68" s="480"/>
      <c r="I68" s="480"/>
      <c r="J68" s="480"/>
      <c r="K68" s="480"/>
      <c r="L68" s="481"/>
      <c r="M68" s="482"/>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8"/>
      <c r="B69" s="467"/>
      <c r="C69" s="595">
        <v>100</v>
      </c>
      <c r="D69" s="469"/>
      <c r="E69" s="469"/>
      <c r="F69" s="469"/>
      <c r="G69" s="469"/>
      <c r="H69" s="469"/>
      <c r="I69" s="469"/>
      <c r="J69" s="469"/>
      <c r="K69" s="469"/>
      <c r="L69" s="469"/>
      <c r="M69" s="471"/>
      <c r="N69" s="2981"/>
      <c r="O69" s="2981"/>
      <c r="P69" s="2968"/>
      <c r="Q69" s="2968"/>
      <c r="R69" s="2888"/>
      <c r="S69" s="2888"/>
      <c r="T69" s="2888"/>
      <c r="U69" s="2888"/>
      <c r="V69" s="2888"/>
      <c r="W69" s="2888"/>
      <c r="X69" s="2888"/>
      <c r="Y69" s="2888"/>
      <c r="Z69" s="2888"/>
      <c r="AA69" s="2888"/>
      <c r="AB69" s="2888"/>
      <c r="AC69" s="2888"/>
      <c r="AD69" s="2888"/>
      <c r="AE69" s="2888"/>
    </row>
    <row r="70" spans="1:31">
      <c r="A70" s="484" t="s">
        <v>2409</v>
      </c>
      <c r="B70" s="485" t="s">
        <v>2375</v>
      </c>
      <c r="C70" s="487"/>
      <c r="D70" s="487"/>
      <c r="E70" s="487"/>
      <c r="F70" s="487"/>
      <c r="G70" s="487"/>
      <c r="H70" s="487"/>
      <c r="I70" s="487"/>
      <c r="J70" s="487"/>
      <c r="K70" s="488"/>
      <c r="L70" s="489"/>
      <c r="M70" s="490"/>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1"/>
      <c r="B71" s="492"/>
      <c r="C71" s="493"/>
      <c r="D71" s="493"/>
      <c r="E71" s="493"/>
      <c r="F71" s="493"/>
      <c r="G71" s="493"/>
      <c r="H71" s="493"/>
      <c r="I71" s="493"/>
      <c r="J71" s="493"/>
      <c r="K71" s="493"/>
      <c r="L71" s="493"/>
      <c r="M71" s="494"/>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1"/>
      <c r="B72" s="495" t="s">
        <v>2378</v>
      </c>
      <c r="C72" s="496"/>
      <c r="D72" s="496"/>
      <c r="E72" s="496"/>
      <c r="F72" s="496"/>
      <c r="G72" s="496"/>
      <c r="H72" s="496"/>
      <c r="I72" s="496"/>
      <c r="J72" s="496"/>
      <c r="K72" s="497"/>
      <c r="L72" s="498"/>
      <c r="M72" s="499"/>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1"/>
      <c r="B73" s="500"/>
      <c r="C73" s="501"/>
      <c r="D73" s="501"/>
      <c r="E73" s="501"/>
      <c r="F73" s="501"/>
      <c r="G73" s="501"/>
      <c r="H73" s="501"/>
      <c r="I73" s="501"/>
      <c r="J73" s="501"/>
      <c r="K73" s="501"/>
      <c r="L73" s="501"/>
      <c r="M73" s="502"/>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1"/>
      <c r="B74" s="503" t="s">
        <v>2379</v>
      </c>
      <c r="C74" s="504" t="str">
        <f>C75&amp;"（含）"&amp;"-"&amp;D75</f>
        <v>0（含）-1</v>
      </c>
      <c r="D74" s="504" t="str">
        <f t="shared" ref="D74:L74" si="21">D75&amp;"（含）"&amp;"-"&amp;E75</f>
        <v>1（含）-2</v>
      </c>
      <c r="E74" s="504" t="str">
        <f t="shared" si="21"/>
        <v>2（含）-</v>
      </c>
      <c r="F74" s="504" t="str">
        <f t="shared" si="21"/>
        <v>（含）-</v>
      </c>
      <c r="G74" s="504" t="str">
        <f t="shared" si="21"/>
        <v>（含）-</v>
      </c>
      <c r="H74" s="504" t="str">
        <f t="shared" si="21"/>
        <v>（含）-</v>
      </c>
      <c r="I74" s="504" t="str">
        <f t="shared" si="21"/>
        <v>（含）-</v>
      </c>
      <c r="J74" s="504" t="str">
        <f t="shared" si="21"/>
        <v>（含）-</v>
      </c>
      <c r="K74" s="504" t="str">
        <f t="shared" si="21"/>
        <v>（含）-</v>
      </c>
      <c r="L74" s="504" t="str">
        <f t="shared" si="21"/>
        <v>（含）-</v>
      </c>
      <c r="M74" s="407"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1"/>
      <c r="B75" s="505"/>
      <c r="C75" s="506">
        <v>0</v>
      </c>
      <c r="D75" s="506">
        <v>1</v>
      </c>
      <c r="E75" s="506">
        <v>2</v>
      </c>
      <c r="F75" s="506"/>
      <c r="G75" s="506"/>
      <c r="H75" s="506"/>
      <c r="I75" s="506"/>
      <c r="J75" s="506"/>
      <c r="K75" s="507"/>
      <c r="L75" s="508"/>
      <c r="M75" s="509"/>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1"/>
      <c r="B76" s="492"/>
      <c r="C76" s="501">
        <v>100</v>
      </c>
      <c r="D76" s="501">
        <f>IF($B$41="单位面积地价",C76+$K11,C76-$K11)</f>
        <v>98</v>
      </c>
      <c r="E76" s="501">
        <f t="shared" ref="E76:M76" si="22">IF($B$41="单位面积地价",D76+$K11,D76-$K11)</f>
        <v>96</v>
      </c>
      <c r="F76" s="501">
        <f t="shared" si="22"/>
        <v>94</v>
      </c>
      <c r="G76" s="501">
        <f t="shared" si="22"/>
        <v>92</v>
      </c>
      <c r="H76" s="501">
        <f t="shared" si="22"/>
        <v>90</v>
      </c>
      <c r="I76" s="501">
        <f t="shared" si="22"/>
        <v>88</v>
      </c>
      <c r="J76" s="501">
        <f t="shared" si="22"/>
        <v>86</v>
      </c>
      <c r="K76" s="501">
        <f t="shared" si="22"/>
        <v>84</v>
      </c>
      <c r="L76" s="501">
        <f t="shared" si="22"/>
        <v>82</v>
      </c>
      <c r="M76" s="501">
        <f t="shared" si="22"/>
        <v>80</v>
      </c>
      <c r="N76" s="2983"/>
      <c r="O76" s="2983"/>
      <c r="P76" s="3007"/>
      <c r="Q76" s="2968"/>
      <c r="R76" s="2954"/>
      <c r="S76" s="2954"/>
      <c r="T76" s="2954"/>
      <c r="U76" s="2954"/>
      <c r="V76" s="2954"/>
      <c r="W76" s="2954"/>
      <c r="X76" s="2954"/>
      <c r="Y76" s="2954"/>
      <c r="Z76" s="2954"/>
      <c r="AA76" s="2954"/>
      <c r="AB76" s="2954"/>
      <c r="AC76" s="2954"/>
      <c r="AD76" s="2954"/>
      <c r="AE76" s="2954"/>
    </row>
    <row r="77" spans="1:31" s="430" customFormat="1" ht="15.75" thickTop="1">
      <c r="A77" s="510"/>
      <c r="B77" s="495">
        <f>B12</f>
        <v>111</v>
      </c>
      <c r="C77" s="511"/>
      <c r="D77" s="511"/>
      <c r="E77" s="511"/>
      <c r="F77" s="511"/>
      <c r="G77" s="511"/>
      <c r="H77" s="512"/>
      <c r="I77" s="512"/>
      <c r="J77" s="512"/>
      <c r="K77" s="512"/>
      <c r="L77" s="513"/>
      <c r="M77" s="514"/>
      <c r="N77" s="2984"/>
      <c r="O77" s="2984"/>
      <c r="P77" s="3008"/>
      <c r="Q77" s="2975"/>
      <c r="R77" s="2976"/>
      <c r="S77" s="2976"/>
      <c r="T77" s="2976"/>
      <c r="U77" s="2976"/>
      <c r="V77" s="2976"/>
      <c r="W77" s="2976"/>
      <c r="X77" s="2976"/>
      <c r="Y77" s="2976"/>
      <c r="Z77" s="2976"/>
      <c r="AA77" s="2976"/>
      <c r="AB77" s="2976"/>
      <c r="AC77" s="2976"/>
      <c r="AD77" s="2976"/>
      <c r="AE77" s="2976"/>
    </row>
    <row r="78" spans="1:31" s="430" customFormat="1" ht="15.75" thickBot="1">
      <c r="A78" s="510"/>
      <c r="B78" s="500"/>
      <c r="C78" s="517"/>
      <c r="D78" s="493"/>
      <c r="E78" s="493"/>
      <c r="F78" s="493"/>
      <c r="G78" s="493"/>
      <c r="H78" s="493"/>
      <c r="I78" s="493"/>
      <c r="J78" s="493"/>
      <c r="K78" s="493"/>
      <c r="L78" s="493"/>
      <c r="M78" s="494"/>
      <c r="N78" s="2983"/>
      <c r="O78" s="2983"/>
      <c r="P78" s="3008"/>
      <c r="Q78" s="2975"/>
      <c r="R78" s="2976"/>
      <c r="S78" s="2976"/>
      <c r="T78" s="2976"/>
      <c r="U78" s="2976"/>
      <c r="V78" s="2976"/>
      <c r="W78" s="2976"/>
      <c r="X78" s="2976"/>
      <c r="Y78" s="2976"/>
      <c r="Z78" s="2976"/>
      <c r="AA78" s="2976"/>
      <c r="AB78" s="2976"/>
      <c r="AC78" s="2976"/>
      <c r="AD78" s="2976"/>
      <c r="AE78" s="2976"/>
    </row>
    <row r="79" spans="1:31" s="430" customFormat="1" ht="15.75" thickTop="1">
      <c r="A79" s="510"/>
      <c r="B79" s="495">
        <f>B13</f>
        <v>111</v>
      </c>
      <c r="C79" s="511"/>
      <c r="D79" s="511"/>
      <c r="E79" s="511"/>
      <c r="F79" s="511"/>
      <c r="G79" s="511"/>
      <c r="H79" s="512"/>
      <c r="I79" s="512"/>
      <c r="J79" s="512"/>
      <c r="K79" s="512"/>
      <c r="L79" s="513"/>
      <c r="M79" s="514"/>
      <c r="N79" s="2984"/>
      <c r="O79" s="2984"/>
      <c r="P79" s="2952"/>
      <c r="Q79" s="2978"/>
      <c r="R79" s="2976"/>
      <c r="S79" s="2976"/>
      <c r="T79" s="2976"/>
      <c r="U79" s="2976"/>
      <c r="V79" s="2976"/>
      <c r="W79" s="2976"/>
      <c r="X79" s="2976"/>
      <c r="Y79" s="2976"/>
      <c r="Z79" s="2976"/>
      <c r="AA79" s="2976"/>
      <c r="AB79" s="2976"/>
      <c r="AC79" s="2976"/>
      <c r="AD79" s="2976"/>
      <c r="AE79" s="2976"/>
    </row>
    <row r="80" spans="1:31" s="430" customFormat="1" ht="15.75" thickBot="1">
      <c r="A80" s="510"/>
      <c r="B80" s="500"/>
      <c r="C80" s="517"/>
      <c r="D80" s="517"/>
      <c r="E80" s="517"/>
      <c r="F80" s="517"/>
      <c r="G80" s="517"/>
      <c r="H80" s="519"/>
      <c r="I80" s="519"/>
      <c r="J80" s="519"/>
      <c r="K80" s="519"/>
      <c r="L80" s="519"/>
      <c r="M80" s="520"/>
      <c r="N80" s="2984"/>
      <c r="O80" s="2984"/>
      <c r="P80" s="3008"/>
      <c r="Q80" s="2975"/>
      <c r="R80" s="2976"/>
      <c r="S80" s="2976"/>
      <c r="T80" s="2976"/>
      <c r="U80" s="2976"/>
      <c r="V80" s="2976"/>
      <c r="W80" s="2976"/>
      <c r="X80" s="2976"/>
      <c r="Y80" s="2976"/>
      <c r="Z80" s="2976"/>
      <c r="AA80" s="2976"/>
      <c r="AB80" s="2976"/>
      <c r="AC80" s="2976"/>
      <c r="AD80" s="2976"/>
      <c r="AE80" s="2976"/>
    </row>
    <row r="81" spans="1:31" s="430" customFormat="1" ht="15.75" thickTop="1">
      <c r="A81" s="510"/>
      <c r="B81" s="503">
        <f>B14</f>
        <v>111</v>
      </c>
      <c r="C81" s="480"/>
      <c r="D81" s="480"/>
      <c r="E81" s="480"/>
      <c r="F81" s="480"/>
      <c r="G81" s="480"/>
      <c r="H81" s="521"/>
      <c r="I81" s="521"/>
      <c r="J81" s="521"/>
      <c r="K81" s="521"/>
      <c r="L81" s="522"/>
      <c r="M81" s="523"/>
      <c r="N81" s="2984"/>
      <c r="O81" s="2984"/>
      <c r="P81" s="3013"/>
      <c r="Q81" s="2975"/>
      <c r="R81" s="2976"/>
      <c r="S81" s="2976"/>
      <c r="T81" s="2976"/>
      <c r="U81" s="2976"/>
      <c r="V81" s="2976"/>
      <c r="W81" s="2976"/>
      <c r="X81" s="2976"/>
      <c r="Y81" s="2976"/>
      <c r="Z81" s="2976"/>
      <c r="AA81" s="2976"/>
      <c r="AB81" s="2976"/>
      <c r="AC81" s="2976"/>
      <c r="AD81" s="2976"/>
      <c r="AE81" s="2976"/>
    </row>
    <row r="82" spans="1:31" s="430" customFormat="1" ht="15.75" thickBot="1">
      <c r="A82" s="525"/>
      <c r="B82" s="526"/>
      <c r="C82" s="527"/>
      <c r="D82" s="527"/>
      <c r="E82" s="527"/>
      <c r="F82" s="527"/>
      <c r="G82" s="527"/>
      <c r="H82" s="528"/>
      <c r="I82" s="528"/>
      <c r="J82" s="528"/>
      <c r="K82" s="528"/>
      <c r="L82" s="528"/>
      <c r="M82" s="529"/>
      <c r="N82" s="2984"/>
      <c r="O82" s="2984"/>
      <c r="P82" s="3008"/>
      <c r="Q82" s="2975"/>
      <c r="R82" s="2976"/>
      <c r="S82" s="2976"/>
      <c r="T82" s="2976"/>
      <c r="U82" s="2976"/>
      <c r="V82" s="2976"/>
      <c r="W82" s="2976"/>
      <c r="X82" s="2976"/>
      <c r="Y82" s="2976"/>
      <c r="Z82" s="2976"/>
      <c r="AA82" s="2976"/>
      <c r="AB82" s="2976"/>
      <c r="AC82" s="2976"/>
      <c r="AD82" s="2976"/>
      <c r="AE82" s="2976"/>
    </row>
    <row r="83" spans="1:31">
      <c r="A83" s="484" t="s">
        <v>2380</v>
      </c>
      <c r="B83" s="485" t="s">
        <v>2526</v>
      </c>
      <c r="C83" s="530" t="s">
        <v>2418</v>
      </c>
      <c r="D83" s="530" t="s">
        <v>2419</v>
      </c>
      <c r="E83" s="530" t="s">
        <v>2420</v>
      </c>
      <c r="F83" s="530" t="s">
        <v>2421</v>
      </c>
      <c r="G83" s="530" t="s">
        <v>2422</v>
      </c>
      <c r="H83" s="486"/>
      <c r="I83" s="486"/>
      <c r="J83" s="486"/>
      <c r="K83" s="531"/>
      <c r="L83" s="532"/>
      <c r="M83" s="533"/>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1"/>
      <c r="B85" s="495" t="s">
        <v>2423</v>
      </c>
      <c r="C85" s="535" t="s">
        <v>2418</v>
      </c>
      <c r="D85" s="535" t="s">
        <v>2419</v>
      </c>
      <c r="E85" s="535" t="s">
        <v>2420</v>
      </c>
      <c r="F85" s="535" t="s">
        <v>2421</v>
      </c>
      <c r="G85" s="535" t="s">
        <v>2422</v>
      </c>
      <c r="H85" s="496"/>
      <c r="I85" s="496"/>
      <c r="J85" s="496"/>
      <c r="K85" s="497"/>
      <c r="L85" s="498"/>
      <c r="M85" s="499"/>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3"/>
      <c r="O90" s="2983"/>
      <c r="P90" s="3007"/>
      <c r="Q90" s="2968"/>
      <c r="R90" s="2888"/>
      <c r="S90" s="2888"/>
      <c r="T90" s="2888"/>
      <c r="U90" s="2888"/>
      <c r="V90" s="2888"/>
      <c r="W90" s="2888"/>
      <c r="X90" s="2888"/>
      <c r="Y90" s="2888"/>
      <c r="Z90" s="2888"/>
      <c r="AA90" s="2888"/>
      <c r="AB90" s="2888"/>
      <c r="AC90" s="2888"/>
      <c r="AD90" s="2888"/>
      <c r="AE90" s="2888"/>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4"/>
      <c r="O91" s="2984"/>
      <c r="P91" s="3008"/>
      <c r="Q91" s="2975"/>
      <c r="R91" s="2976"/>
      <c r="S91" s="2976"/>
      <c r="T91" s="2976"/>
      <c r="U91" s="2976"/>
      <c r="V91" s="2976"/>
      <c r="W91" s="2976"/>
      <c r="X91" s="2976"/>
      <c r="Y91" s="2976"/>
      <c r="Z91" s="2976"/>
      <c r="AA91" s="2976"/>
      <c r="AB91" s="2976"/>
      <c r="AC91" s="2976"/>
      <c r="AD91" s="2976"/>
      <c r="AE91" s="297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4"/>
      <c r="O92" s="2984"/>
      <c r="P92" s="3008"/>
      <c r="Q92" s="2975"/>
      <c r="R92" s="2976"/>
      <c r="S92" s="2976"/>
      <c r="T92" s="2976"/>
      <c r="U92" s="2976"/>
      <c r="V92" s="2976"/>
      <c r="W92" s="2976"/>
      <c r="X92" s="2976"/>
      <c r="Y92" s="2976"/>
      <c r="Z92" s="2976"/>
      <c r="AA92" s="2976"/>
      <c r="AB92" s="2976"/>
      <c r="AC92" s="2976"/>
      <c r="AD92" s="2976"/>
      <c r="AE92" s="2976"/>
    </row>
    <row r="93" spans="1:31" s="430" customFormat="1" ht="15.75" thickTop="1">
      <c r="A93" s="510"/>
      <c r="B93" s="503" t="s">
        <v>2623</v>
      </c>
      <c r="C93" s="616" t="s">
        <v>2496</v>
      </c>
      <c r="D93" s="616" t="s">
        <v>2497</v>
      </c>
      <c r="E93" s="616" t="s">
        <v>2498</v>
      </c>
      <c r="F93" s="616" t="s">
        <v>2499</v>
      </c>
      <c r="G93" s="616" t="s">
        <v>2500</v>
      </c>
      <c r="H93" s="557"/>
      <c r="I93" s="557"/>
      <c r="J93" s="557"/>
      <c r="K93" s="557"/>
      <c r="L93" s="557"/>
      <c r="M93" s="559"/>
      <c r="N93" s="2984"/>
      <c r="O93" s="2984"/>
      <c r="P93" s="3008"/>
      <c r="Q93" s="2975"/>
      <c r="R93" s="2976"/>
      <c r="S93" s="2976"/>
      <c r="T93" s="2976"/>
      <c r="U93" s="2976"/>
      <c r="V93" s="2976"/>
      <c r="W93" s="2976"/>
      <c r="X93" s="2976"/>
      <c r="Y93" s="2976"/>
      <c r="Z93" s="2976"/>
      <c r="AA93" s="2976"/>
      <c r="AB93" s="2976"/>
      <c r="AC93" s="2976"/>
      <c r="AD93" s="2976"/>
      <c r="AE93" s="297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1"/>
      <c r="B96" s="500"/>
      <c r="C96" s="501">
        <v>100</v>
      </c>
      <c r="D96" s="501">
        <f t="shared" ref="D96:M96" si="23">C96-$K27</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1">
        <f t="shared" si="23"/>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1"/>
      <c r="B97" s="495" t="s">
        <v>2512</v>
      </c>
      <c r="C97" s="511"/>
      <c r="D97" s="511"/>
      <c r="E97" s="511"/>
      <c r="F97" s="511"/>
      <c r="G97" s="511"/>
      <c r="H97" s="540"/>
      <c r="I97" s="540"/>
      <c r="J97" s="540"/>
      <c r="K97" s="541"/>
      <c r="L97" s="542"/>
      <c r="M97" s="543"/>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1"/>
      <c r="B98" s="500"/>
      <c r="C98" s="501">
        <v>100</v>
      </c>
      <c r="D98" s="501">
        <f t="shared" ref="D98:M98" si="24">C98-$K28</f>
        <v>100</v>
      </c>
      <c r="E98" s="501">
        <f t="shared" si="24"/>
        <v>100</v>
      </c>
      <c r="F98" s="501">
        <f t="shared" si="24"/>
        <v>100</v>
      </c>
      <c r="G98" s="501">
        <f t="shared" si="24"/>
        <v>100</v>
      </c>
      <c r="H98" s="501">
        <f t="shared" si="24"/>
        <v>100</v>
      </c>
      <c r="I98" s="501">
        <f t="shared" si="24"/>
        <v>100</v>
      </c>
      <c r="J98" s="501">
        <f t="shared" si="24"/>
        <v>100</v>
      </c>
      <c r="K98" s="501">
        <f t="shared" si="24"/>
        <v>100</v>
      </c>
      <c r="L98" s="501">
        <f t="shared" si="24"/>
        <v>100</v>
      </c>
      <c r="M98" s="501">
        <f t="shared" si="24"/>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1"/>
      <c r="B99" s="495" t="s">
        <v>2571</v>
      </c>
      <c r="C99" s="540"/>
      <c r="D99" s="540"/>
      <c r="E99" s="540"/>
      <c r="F99" s="540"/>
      <c r="G99" s="540"/>
      <c r="H99" s="540"/>
      <c r="I99" s="540"/>
      <c r="J99" s="540"/>
      <c r="K99" s="541"/>
      <c r="L99" s="542"/>
      <c r="M99" s="543"/>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1"/>
      <c r="B100" s="500"/>
      <c r="C100" s="501">
        <v>100</v>
      </c>
      <c r="D100" s="501">
        <f t="shared" ref="D100:M100" si="25">C100-$K30</f>
        <v>100</v>
      </c>
      <c r="E100" s="501">
        <f t="shared" si="25"/>
        <v>100</v>
      </c>
      <c r="F100" s="501">
        <f t="shared" si="25"/>
        <v>100</v>
      </c>
      <c r="G100" s="501">
        <f t="shared" si="25"/>
        <v>100</v>
      </c>
      <c r="H100" s="501">
        <f t="shared" si="25"/>
        <v>100</v>
      </c>
      <c r="I100" s="501">
        <f t="shared" si="25"/>
        <v>100</v>
      </c>
      <c r="J100" s="501">
        <f t="shared" si="25"/>
        <v>100</v>
      </c>
      <c r="K100" s="501">
        <f t="shared" si="25"/>
        <v>100</v>
      </c>
      <c r="L100" s="501">
        <f t="shared" si="25"/>
        <v>100</v>
      </c>
      <c r="M100" s="501">
        <f t="shared" si="25"/>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1"/>
      <c r="B101" s="503">
        <f>B31</f>
        <v>111</v>
      </c>
      <c r="C101" s="511"/>
      <c r="D101" s="511"/>
      <c r="E101" s="511"/>
      <c r="F101" s="511"/>
      <c r="G101" s="544"/>
      <c r="H101" s="544"/>
      <c r="I101" s="544"/>
      <c r="J101" s="544"/>
      <c r="K101" s="545"/>
      <c r="L101" s="546"/>
      <c r="M101" s="547"/>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1"/>
      <c r="B102" s="526"/>
      <c r="C102" s="517"/>
      <c r="D102" s="493"/>
      <c r="E102" s="493"/>
      <c r="F102" s="493"/>
      <c r="G102" s="548"/>
      <c r="H102" s="548"/>
      <c r="I102" s="548"/>
      <c r="J102" s="548"/>
      <c r="K102" s="548"/>
      <c r="L102" s="548"/>
      <c r="M102" s="549"/>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1"/>
      <c r="B103" s="495">
        <f>B32</f>
        <v>111</v>
      </c>
      <c r="C103" s="511"/>
      <c r="D103" s="511"/>
      <c r="E103" s="511"/>
      <c r="F103" s="511"/>
      <c r="G103" s="540"/>
      <c r="H103" s="540"/>
      <c r="I103" s="540"/>
      <c r="J103" s="540"/>
      <c r="K103" s="541"/>
      <c r="L103" s="542"/>
      <c r="M103" s="543"/>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1"/>
      <c r="B104" s="500"/>
      <c r="C104" s="517"/>
      <c r="D104" s="517"/>
      <c r="E104" s="517"/>
      <c r="F104" s="517"/>
      <c r="G104" s="493"/>
      <c r="H104" s="493"/>
      <c r="I104" s="493"/>
      <c r="J104" s="493"/>
      <c r="K104" s="493"/>
      <c r="L104" s="493"/>
      <c r="M104" s="494"/>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30" customFormat="1" ht="15" thickTop="1">
      <c r="A105" s="550"/>
      <c r="B105" s="551">
        <f>B33</f>
        <v>111</v>
      </c>
      <c r="C105" s="480"/>
      <c r="D105" s="480"/>
      <c r="E105" s="480"/>
      <c r="F105" s="480"/>
      <c r="G105" s="552"/>
      <c r="H105" s="552"/>
      <c r="I105" s="552"/>
      <c r="J105" s="553"/>
      <c r="K105" s="553"/>
      <c r="L105" s="554"/>
      <c r="M105" s="555"/>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30" customFormat="1" ht="15.75" thickBot="1">
      <c r="A106" s="510"/>
      <c r="B106" s="503"/>
      <c r="C106" s="527"/>
      <c r="D106" s="527"/>
      <c r="E106" s="527"/>
      <c r="F106" s="527"/>
      <c r="G106" s="633"/>
      <c r="H106" s="633"/>
      <c r="I106" s="633"/>
      <c r="J106" s="633"/>
      <c r="K106" s="633"/>
      <c r="L106" s="633"/>
      <c r="M106" s="655"/>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4" t="s">
        <v>2384</v>
      </c>
      <c r="B107" s="485" t="s">
        <v>2612</v>
      </c>
      <c r="C107" s="486" t="str">
        <f t="shared" ref="C107:L107" si="26">C108&amp;"(含)"&amp;"-"&amp;D108</f>
        <v>0(含)-100000</v>
      </c>
      <c r="D107" s="486" t="str">
        <f t="shared" si="26"/>
        <v>100000(含)-200000</v>
      </c>
      <c r="E107" s="486" t="str">
        <f t="shared" si="26"/>
        <v>200000(含)-300000</v>
      </c>
      <c r="F107" s="486" t="str">
        <f t="shared" si="26"/>
        <v>300000(含)-</v>
      </c>
      <c r="G107" s="486" t="str">
        <f t="shared" si="26"/>
        <v>(含)-</v>
      </c>
      <c r="H107" s="486" t="str">
        <f t="shared" si="26"/>
        <v>(含)-</v>
      </c>
      <c r="I107" s="486" t="str">
        <f t="shared" si="26"/>
        <v>(含)-</v>
      </c>
      <c r="J107" s="486" t="str">
        <f t="shared" si="26"/>
        <v>(含)-</v>
      </c>
      <c r="K107" s="1503" t="str">
        <f t="shared" si="26"/>
        <v>(含)-</v>
      </c>
      <c r="L107" s="1503" t="str">
        <f t="shared" si="26"/>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1"/>
      <c r="B108" s="503"/>
      <c r="C108" s="552">
        <v>0</v>
      </c>
      <c r="D108" s="552">
        <v>100000</v>
      </c>
      <c r="E108" s="552">
        <v>200000</v>
      </c>
      <c r="F108" s="552">
        <v>300000</v>
      </c>
      <c r="G108" s="552"/>
      <c r="H108" s="552"/>
      <c r="I108" s="552"/>
      <c r="J108" s="553"/>
      <c r="K108" s="553"/>
      <c r="L108" s="554"/>
      <c r="M108" s="555"/>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1"/>
      <c r="B109" s="500"/>
      <c r="C109" s="527">
        <v>100</v>
      </c>
      <c r="D109" s="548">
        <v>101</v>
      </c>
      <c r="E109" s="548">
        <v>102</v>
      </c>
      <c r="F109" s="548">
        <v>103</v>
      </c>
      <c r="G109" s="548"/>
      <c r="H109" s="548"/>
      <c r="I109" s="548"/>
      <c r="J109" s="548"/>
      <c r="K109" s="548"/>
      <c r="L109" s="548"/>
      <c r="M109" s="549"/>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6"/>
      <c r="B110" s="495" t="s">
        <v>2613</v>
      </c>
      <c r="C110" s="540"/>
      <c r="D110" s="540"/>
      <c r="E110" s="540"/>
      <c r="F110" s="540"/>
      <c r="G110" s="540"/>
      <c r="H110" s="540"/>
      <c r="I110" s="540"/>
      <c r="J110" s="540"/>
      <c r="K110" s="541"/>
      <c r="L110" s="542"/>
      <c r="M110" s="543"/>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1"/>
      <c r="B111" s="500"/>
      <c r="C111" s="501">
        <v>100</v>
      </c>
      <c r="D111" s="501">
        <f t="shared" ref="D111:M111" si="27">C111-$K35</f>
        <v>100</v>
      </c>
      <c r="E111" s="501">
        <f t="shared" si="27"/>
        <v>100</v>
      </c>
      <c r="F111" s="501">
        <f t="shared" si="27"/>
        <v>100</v>
      </c>
      <c r="G111" s="501">
        <f t="shared" si="27"/>
        <v>100</v>
      </c>
      <c r="H111" s="501">
        <f t="shared" si="27"/>
        <v>100</v>
      </c>
      <c r="I111" s="501">
        <f t="shared" si="27"/>
        <v>100</v>
      </c>
      <c r="J111" s="501">
        <f t="shared" si="27"/>
        <v>100</v>
      </c>
      <c r="K111" s="501">
        <f t="shared" si="27"/>
        <v>100</v>
      </c>
      <c r="L111" s="501">
        <f t="shared" si="27"/>
        <v>100</v>
      </c>
      <c r="M111" s="502">
        <f t="shared" si="27"/>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30" customFormat="1" ht="15" thickTop="1">
      <c r="A112" s="550"/>
      <c r="B112" s="495" t="s">
        <v>2615</v>
      </c>
      <c r="C112" s="511"/>
      <c r="D112" s="511"/>
      <c r="E112" s="511"/>
      <c r="F112" s="511"/>
      <c r="G112" s="511"/>
      <c r="H112" s="540"/>
      <c r="I112" s="540"/>
      <c r="J112" s="540"/>
      <c r="K112" s="541"/>
      <c r="L112" s="542"/>
      <c r="M112" s="543"/>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30" customFormat="1" ht="15.75" thickBot="1">
      <c r="A113" s="510"/>
      <c r="B113" s="500"/>
      <c r="C113" s="501">
        <v>100</v>
      </c>
      <c r="D113" s="501">
        <f t="shared" ref="D113:M113" si="28">C113-$K36</f>
        <v>100</v>
      </c>
      <c r="E113" s="501">
        <f t="shared" si="28"/>
        <v>100</v>
      </c>
      <c r="F113" s="501">
        <f t="shared" si="28"/>
        <v>100</v>
      </c>
      <c r="G113" s="501">
        <f t="shared" si="28"/>
        <v>100</v>
      </c>
      <c r="H113" s="501">
        <f t="shared" si="28"/>
        <v>100</v>
      </c>
      <c r="I113" s="501">
        <f t="shared" si="28"/>
        <v>100</v>
      </c>
      <c r="J113" s="501">
        <f t="shared" si="28"/>
        <v>100</v>
      </c>
      <c r="K113" s="501">
        <f t="shared" si="28"/>
        <v>100</v>
      </c>
      <c r="L113" s="501">
        <f t="shared" si="28"/>
        <v>100</v>
      </c>
      <c r="M113" s="502">
        <f t="shared" si="28"/>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6"/>
      <c r="B114" s="495" t="s">
        <v>2616</v>
      </c>
      <c r="C114" s="511"/>
      <c r="D114" s="511"/>
      <c r="E114" s="540"/>
      <c r="F114" s="540"/>
      <c r="G114" s="540"/>
      <c r="H114" s="540"/>
      <c r="I114" s="540"/>
      <c r="J114" s="540"/>
      <c r="K114" s="541"/>
      <c r="L114" s="542"/>
      <c r="M114" s="543"/>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1"/>
      <c r="B115" s="500"/>
      <c r="C115" s="501">
        <v>100</v>
      </c>
      <c r="D115" s="501">
        <f t="shared" ref="D115:M115" si="29">C115-$K37</f>
        <v>100</v>
      </c>
      <c r="E115" s="501">
        <f t="shared" si="29"/>
        <v>100</v>
      </c>
      <c r="F115" s="501">
        <f t="shared" si="29"/>
        <v>100</v>
      </c>
      <c r="G115" s="501">
        <f t="shared" si="29"/>
        <v>100</v>
      </c>
      <c r="H115" s="501">
        <f t="shared" si="29"/>
        <v>100</v>
      </c>
      <c r="I115" s="501">
        <f t="shared" si="29"/>
        <v>100</v>
      </c>
      <c r="J115" s="501">
        <f t="shared" si="29"/>
        <v>100</v>
      </c>
      <c r="K115" s="501">
        <f t="shared" si="29"/>
        <v>100</v>
      </c>
      <c r="L115" s="501">
        <f t="shared" si="29"/>
        <v>100</v>
      </c>
      <c r="M115" s="502">
        <f t="shared" si="29"/>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6"/>
      <c r="B116" s="495">
        <f>B38</f>
        <v>111</v>
      </c>
      <c r="C116" s="511"/>
      <c r="D116" s="511"/>
      <c r="E116" s="511"/>
      <c r="F116" s="511"/>
      <c r="G116" s="511"/>
      <c r="H116" s="540"/>
      <c r="I116" s="540"/>
      <c r="J116" s="540"/>
      <c r="K116" s="541"/>
      <c r="L116" s="542"/>
      <c r="M116" s="543"/>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1"/>
      <c r="B117" s="500"/>
      <c r="C117" s="517"/>
      <c r="D117" s="493"/>
      <c r="E117" s="493"/>
      <c r="F117" s="493"/>
      <c r="G117" s="493"/>
      <c r="H117" s="493"/>
      <c r="I117" s="493"/>
      <c r="J117" s="493"/>
      <c r="K117" s="493"/>
      <c r="L117" s="493"/>
      <c r="M117" s="494"/>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6"/>
      <c r="B118" s="495">
        <f>B39</f>
        <v>111</v>
      </c>
      <c r="C118" s="511"/>
      <c r="D118" s="511"/>
      <c r="E118" s="511"/>
      <c r="F118" s="511"/>
      <c r="G118" s="540"/>
      <c r="H118" s="540"/>
      <c r="I118" s="540"/>
      <c r="J118" s="540"/>
      <c r="K118" s="541"/>
      <c r="L118" s="542"/>
      <c r="M118" s="543"/>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1"/>
      <c r="B119" s="500"/>
      <c r="C119" s="517"/>
      <c r="D119" s="517"/>
      <c r="E119" s="517"/>
      <c r="F119" s="517"/>
      <c r="G119" s="493"/>
      <c r="H119" s="493"/>
      <c r="I119" s="493"/>
      <c r="J119" s="493"/>
      <c r="K119" s="493"/>
      <c r="L119" s="493"/>
      <c r="M119" s="494"/>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30" customFormat="1" ht="15" thickTop="1">
      <c r="A120" s="550"/>
      <c r="B120" s="495">
        <f>B40</f>
        <v>111</v>
      </c>
      <c r="C120" s="480"/>
      <c r="D120" s="480"/>
      <c r="E120" s="480"/>
      <c r="F120" s="480"/>
      <c r="G120" s="512"/>
      <c r="H120" s="512"/>
      <c r="I120" s="512"/>
      <c r="J120" s="512"/>
      <c r="K120" s="512"/>
      <c r="L120" s="513"/>
      <c r="M120" s="514"/>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30" customFormat="1" ht="15.75" thickBot="1">
      <c r="A121" s="525"/>
      <c r="B121" s="656"/>
      <c r="C121" s="527"/>
      <c r="D121" s="527"/>
      <c r="E121" s="527"/>
      <c r="F121" s="527"/>
      <c r="G121" s="548"/>
      <c r="H121" s="548"/>
      <c r="I121" s="548"/>
      <c r="J121" s="548"/>
      <c r="K121" s="548"/>
      <c r="L121" s="548"/>
      <c r="M121" s="549"/>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6" zoomScale="70" zoomScaleNormal="70" zoomScaleSheetLayoutView="70" workbookViewId="0">
      <selection activeCell="H50" sqref="H5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6</v>
      </c>
      <c r="D1" s="1546"/>
      <c r="E1" s="1547" t="s">
        <v>1352</v>
      </c>
      <c r="F1" s="1193">
        <f ca="1">J53</f>
        <v>40.9</v>
      </c>
      <c r="G1" s="1562">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13479</v>
      </c>
      <c r="C2" s="1571" t="s">
        <v>1481</v>
      </c>
      <c r="D2" s="1571"/>
      <c r="E2" s="1572"/>
      <c r="F2" s="1573"/>
      <c r="G2" s="2935"/>
      <c r="H2" s="2924"/>
      <c r="I2" s="2924"/>
      <c r="J2" s="2924"/>
      <c r="K2" s="2925"/>
      <c r="L2" s="2924"/>
      <c r="M2" s="2924"/>
    </row>
    <row r="3" spans="1:37" ht="18" customHeight="1" thickBot="1">
      <c r="A3" s="1574" t="s">
        <v>1482</v>
      </c>
      <c r="B3" s="1575">
        <f ca="1">IF(ISERROR(B2*10000/F43),0,ROUND(B2*10000/F43,0))</f>
        <v>4203</v>
      </c>
      <c r="C3" s="1571" t="s">
        <v>1483</v>
      </c>
      <c r="D3" s="1571"/>
      <c r="E3" s="1572"/>
      <c r="F3" s="1573"/>
      <c r="G3" s="2935"/>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784</v>
      </c>
      <c r="D5" s="1548" t="s">
        <v>1367</v>
      </c>
      <c r="E5" s="1203"/>
      <c r="F5" s="1204"/>
      <c r="G5" s="1568"/>
      <c r="H5" s="305">
        <v>1</v>
      </c>
      <c r="I5" s="306" t="s">
        <v>1366</v>
      </c>
      <c r="J5" s="1202">
        <f ca="1">J6+J10+J12</f>
        <v>0</v>
      </c>
      <c r="K5" s="1548" t="s">
        <v>1367</v>
      </c>
      <c r="L5" s="1203"/>
      <c r="M5" s="1204"/>
    </row>
    <row r="6" spans="1:37" ht="18" customHeight="1">
      <c r="A6" s="1201" t="s">
        <v>1003</v>
      </c>
      <c r="B6" s="3254" t="s">
        <v>1368</v>
      </c>
      <c r="C6" s="1206">
        <f ca="1">ROUND(F6*F8*F7*(1-F9)/10000,0)</f>
        <v>784</v>
      </c>
      <c r="D6" s="160" t="s">
        <v>2850</v>
      </c>
      <c r="E6" s="308" t="s">
        <v>1370</v>
      </c>
      <c r="F6" s="309">
        <f ca="1">INDIRECT("'数据-取费表'!u"&amp;$G$1)</f>
        <v>0.8</v>
      </c>
      <c r="G6" s="1568"/>
      <c r="H6" s="1201" t="s">
        <v>1003</v>
      </c>
      <c r="I6" s="3254" t="s">
        <v>1368</v>
      </c>
      <c r="J6" s="307">
        <f ca="1">ROUND(M6*M8*M7*(1-M9)/10000,0)</f>
        <v>0</v>
      </c>
      <c r="K6" s="160" t="s">
        <v>2849</v>
      </c>
      <c r="L6" s="308" t="s">
        <v>1370</v>
      </c>
      <c r="M6" s="309">
        <f ca="1">INDIRECT("'数据-取费表'!z"&amp;$G$1)</f>
        <v>0</v>
      </c>
    </row>
    <row r="7" spans="1:37" ht="18" customHeight="1">
      <c r="A7" s="1205"/>
      <c r="B7" s="3255"/>
      <c r="C7" s="1207"/>
      <c r="D7" s="313"/>
      <c r="E7" s="1208" t="s">
        <v>1371</v>
      </c>
      <c r="F7" s="309">
        <f ca="1">IF(INDIRECT("'数据-取费表'!ah"&amp;$G$1)="",INDIRECT("'数据-取费表'!k"&amp;$G$1),INDIRECT("'数据-取费表'!ah"&amp;$G$1))</f>
        <v>29839.7</v>
      </c>
      <c r="G7" s="1568"/>
      <c r="H7" s="310"/>
      <c r="I7" s="3255"/>
      <c r="J7" s="312"/>
      <c r="K7" s="313"/>
      <c r="L7" s="308" t="s">
        <v>1371</v>
      </c>
      <c r="M7" s="309">
        <f ca="1">F7</f>
        <v>29839.7</v>
      </c>
    </row>
    <row r="8" spans="1:37" ht="18" customHeight="1">
      <c r="A8" s="310"/>
      <c r="B8" s="3255"/>
      <c r="C8" s="312"/>
      <c r="D8" s="313"/>
      <c r="E8" s="308" t="s">
        <v>1372</v>
      </c>
      <c r="F8" s="309">
        <f ca="1">INDIRECT("'数据-取费表'!ai"&amp;$G$1)</f>
        <v>365</v>
      </c>
      <c r="G8" s="1568"/>
      <c r="H8" s="310"/>
      <c r="I8" s="3255"/>
      <c r="J8" s="312"/>
      <c r="K8" s="313"/>
      <c r="L8" s="308" t="s">
        <v>1372</v>
      </c>
      <c r="M8" s="309">
        <f ca="1">INDIRECT("'数据-取费表'!ai"&amp;$G$1)</f>
        <v>365</v>
      </c>
    </row>
    <row r="9" spans="1:37" ht="18" customHeight="1">
      <c r="A9" s="310"/>
      <c r="B9" s="3256"/>
      <c r="C9" s="312"/>
      <c r="D9" s="313"/>
      <c r="E9" s="308" t="s">
        <v>1373</v>
      </c>
      <c r="F9" s="318">
        <f ca="1">INDIRECT("'数据-取费表'!w"&amp;$G$1)</f>
        <v>0.1</v>
      </c>
      <c r="G9" s="1568"/>
      <c r="H9" s="310"/>
      <c r="I9" s="3256"/>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2858</v>
      </c>
      <c r="E10" s="319" t="s">
        <v>1375</v>
      </c>
      <c r="F10" s="1276"/>
      <c r="G10" s="1568"/>
      <c r="H10" s="1201" t="s">
        <v>1007</v>
      </c>
      <c r="I10" s="1549" t="s">
        <v>1374</v>
      </c>
      <c r="J10" s="307">
        <f ca="1">ROUND(IF(M10="押一",J6/12*M11,IF(M10="押二",J6/12*2*M11,IF(M10="押三",J6/12*3*M11,J11*M11))),0)</f>
        <v>0</v>
      </c>
      <c r="K10" s="1550" t="s">
        <v>2857</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10698</v>
      </c>
      <c r="D13" s="1241" t="s">
        <v>1380</v>
      </c>
      <c r="E13" s="1241" t="s">
        <v>1381</v>
      </c>
      <c r="F13" s="1242">
        <f ca="1">INDIRECT("'数据-取费表'!y"&amp;$G$1)</f>
        <v>0.86</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8980</v>
      </c>
      <c r="D14" s="1529" t="s">
        <v>1383</v>
      </c>
      <c r="E14" s="1526"/>
      <c r="F14" s="325"/>
      <c r="G14" s="1568"/>
      <c r="H14" s="1113" t="s">
        <v>1003</v>
      </c>
      <c r="I14" s="308" t="s">
        <v>1384</v>
      </c>
      <c r="J14" s="24">
        <f ca="1">C29</f>
        <v>12440</v>
      </c>
      <c r="K14" s="15"/>
      <c r="L14" s="916"/>
      <c r="M14" s="917"/>
    </row>
    <row r="15" spans="1:37" s="1581" customFormat="1" ht="18" customHeight="1" thickBot="1">
      <c r="A15" s="1113" t="s">
        <v>1004</v>
      </c>
      <c r="B15" s="308" t="s">
        <v>1385</v>
      </c>
      <c r="C15" s="24">
        <f ca="1">ROUND(C14*F15,0)</f>
        <v>269</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238</v>
      </c>
      <c r="K16" s="1247" t="s">
        <v>1390</v>
      </c>
      <c r="L16" s="1248"/>
      <c r="M16" s="1204"/>
    </row>
    <row r="17" spans="1:37" s="1581" customFormat="1" ht="18" customHeight="1">
      <c r="A17" s="1113" t="s">
        <v>1355</v>
      </c>
      <c r="B17" s="308" t="s">
        <v>1391</v>
      </c>
      <c r="C17" s="24">
        <f ca="1">ROUND(F17*(F43+INDIRECT("'数据-取费表'!S"&amp;$G$1))/10000,0)</f>
        <v>641</v>
      </c>
      <c r="D17" s="308" t="s">
        <v>1392</v>
      </c>
      <c r="E17" s="308" t="s">
        <v>1393</v>
      </c>
      <c r="F17" s="26">
        <f>'数据-取费表'!B35</f>
        <v>200</v>
      </c>
      <c r="G17" s="1580"/>
      <c r="H17" s="1113" t="s">
        <v>1003</v>
      </c>
      <c r="I17" s="308" t="s">
        <v>1394</v>
      </c>
      <c r="J17" s="2534">
        <f ca="1">ROUND(IF(AND(项目基本情况!B11="自然人",项目基本情况!B10="北京市"),J6*M17/(1+'数据-取费表'!C42),J18+J19+J20),0)</f>
        <v>114</v>
      </c>
      <c r="K17" s="1529" t="s">
        <v>1395</v>
      </c>
      <c r="L17" s="1528" t="s">
        <v>1396</v>
      </c>
      <c r="M17" s="2533">
        <f ca="1">IF(项目基本情况!B11="企业","",IF('数据-取费表'!B10="住宅",IF(M6*M7*M8/12/(1+'数据-取费表'!F30)&gt;100000,4%,2.5%),IF(M6*M7*M8/12/(1+'数据-取费表'!F30)&gt;100000,12%,7%)))</f>
        <v>7.0000000000000007E-2</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135</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10025</v>
      </c>
      <c r="D19" s="136" t="s">
        <v>1401</v>
      </c>
      <c r="E19" s="1544"/>
      <c r="F19" s="26"/>
      <c r="G19" s="1568"/>
      <c r="H19" s="1113" t="s">
        <v>1004</v>
      </c>
      <c r="I19" s="308" t="s">
        <v>1402</v>
      </c>
      <c r="J19" s="24">
        <f ca="1">IF(K19="按租金收入计税",ROUND(J6*M19/(1+'数据-取费表'!C42),2),ROUND(C29*M19*0.7,2))</f>
        <v>104.5</v>
      </c>
      <c r="K19" s="1554" t="s">
        <v>1403</v>
      </c>
      <c r="L19" s="308" t="s">
        <v>1387</v>
      </c>
      <c r="M19" s="328">
        <f>IF(K19="按租金收入计税",'数据-取费表'!B51,'数据-取费表'!B50)</f>
        <v>1.2E-2</v>
      </c>
    </row>
    <row r="20" spans="1:37" s="1581" customFormat="1" ht="18" customHeight="1">
      <c r="A20" s="1113" t="s">
        <v>1007</v>
      </c>
      <c r="B20" s="308" t="s">
        <v>1404</v>
      </c>
      <c r="C20" s="24">
        <f ca="1">ROUND(C19*F20,0)</f>
        <v>251</v>
      </c>
      <c r="D20" s="329" t="s">
        <v>1405</v>
      </c>
      <c r="E20" s="308" t="s">
        <v>1387</v>
      </c>
      <c r="F20" s="328">
        <f>'数据-取费表'!B37</f>
        <v>2.5000000000000001E-2</v>
      </c>
      <c r="G20" s="1580"/>
      <c r="H20" s="1113" t="s">
        <v>1354</v>
      </c>
      <c r="I20" s="160" t="s">
        <v>1406</v>
      </c>
      <c r="J20" s="25">
        <f ca="1">ROUND(M20*M21/10000,2)</f>
        <v>9.1</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2.5000000000000001E-2</v>
      </c>
      <c r="G21" s="1580"/>
      <c r="H21" s="332"/>
      <c r="I21" s="317"/>
      <c r="J21" s="29"/>
      <c r="K21" s="333"/>
      <c r="L21" s="308" t="s">
        <v>1412</v>
      </c>
      <c r="M21" s="309">
        <f ca="1">INDIRECT("'数据-取费表'!r"&amp;$G$1)</f>
        <v>60655.3</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124.4</v>
      </c>
      <c r="K22" s="1528" t="s">
        <v>1415</v>
      </c>
      <c r="L22" s="308" t="s">
        <v>1387</v>
      </c>
      <c r="M22" s="334">
        <f ca="1">INDIRECT("'数据-取费表'!Ak"&amp;$G$1)</f>
        <v>0.01</v>
      </c>
    </row>
    <row r="23" spans="1:37" s="1581" customFormat="1" ht="18" customHeight="1">
      <c r="A23" s="1113" t="s">
        <v>1002</v>
      </c>
      <c r="B23" s="308" t="s">
        <v>1416</v>
      </c>
      <c r="C23" s="24">
        <f ca="1">IF('数据-取费表'!B22&lt;=1,ROUND(C19*F24*F23/2,0)+ROUND(C20*F24*F23/2,0),ROUND(C19*(POWER((1+F24),F23/2)-1),0)+ROUND(C20*(POWER((1+F24),F23/2)-1),0))</f>
        <v>333</v>
      </c>
      <c r="D23" s="335" t="str">
        <f>IF(F23&lt;=1,"(建造成本+管理费用)×利率×(建设周期÷2)","(建造成本+管理费用)×((1+利率)^(建设周期÷2)-1)")</f>
        <v>(建造成本+管理费用)×((1+利率)^(建设周期÷2)-1)</v>
      </c>
      <c r="E23" s="308" t="s">
        <v>1417</v>
      </c>
      <c r="F23" s="331">
        <f>'数据-取费表'!B20</f>
        <v>1.5</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8.0000000000000004E-4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-238</v>
      </c>
      <c r="K25" s="1255" t="s">
        <v>1429</v>
      </c>
      <c r="L25" s="1256"/>
      <c r="M25" s="1257"/>
    </row>
    <row r="26" spans="1:37">
      <c r="A26" s="1113" t="s">
        <v>1002</v>
      </c>
      <c r="B26" s="308" t="s">
        <v>1430</v>
      </c>
      <c r="C26" s="24">
        <f ca="1">ROUND((C19+C20)*F26,0)</f>
        <v>822</v>
      </c>
      <c r="D26" s="329" t="s">
        <v>1431</v>
      </c>
      <c r="E26" s="319" t="s">
        <v>1432</v>
      </c>
      <c r="F26" s="318">
        <f ca="1">INDIRECT("'数据-取费表'!q"&amp;$G$1)</f>
        <v>0.08</v>
      </c>
      <c r="G26" s="1568"/>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2E-3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12440</v>
      </c>
      <c r="D29" s="1252"/>
      <c r="E29" s="1250"/>
      <c r="F29" s="1253"/>
      <c r="G29" s="1580"/>
      <c r="H29" s="340" t="s">
        <v>1001</v>
      </c>
      <c r="I29" s="341" t="s">
        <v>1444</v>
      </c>
      <c r="J29" s="342">
        <f ca="1">ROUND(J26/(1+F40)^F41,0)</f>
        <v>0</v>
      </c>
      <c r="K29" s="343" t="s">
        <v>1445</v>
      </c>
      <c r="L29" s="344"/>
      <c r="M29" s="345">
        <f ca="1">INDIRECT("'数据-取费表'!k"&amp;$G$1)</f>
        <v>32069.72</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289</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141</v>
      </c>
      <c r="D31" s="1529" t="s">
        <v>1395</v>
      </c>
      <c r="E31" s="1528" t="s">
        <v>1446</v>
      </c>
      <c r="F31" s="2533">
        <f ca="1">IF(项目基本情况!B11="企业","——",IF('数据-取费表'!B10="住宅",IF(F6*F7*F8/12/(1+'数据-取费表'!F30)&gt;100000,4%,2.5%),IF(F6*F7*F8/12/(1+'数据-取费表'!F30)&gt;100000,12%,7%)))</f>
        <v>0.12</v>
      </c>
      <c r="G31" s="1568"/>
      <c r="H31" s="3039" t="s">
        <v>3057</v>
      </c>
      <c r="I31" s="1582"/>
      <c r="J31" s="1583"/>
      <c r="K31" s="2701"/>
      <c r="L31" s="2927"/>
      <c r="M31" s="2928"/>
    </row>
    <row r="32" spans="1:37" ht="18" customHeight="1">
      <c r="A32" s="1113" t="s">
        <v>1002</v>
      </c>
      <c r="B32" s="308" t="s">
        <v>1398</v>
      </c>
      <c r="C32" s="24">
        <f ca="1">IF(项目基本情况!B11="自然人","——",ROUND(C6*F32/(1+'数据-取费表'!C42),2))</f>
        <v>41.81</v>
      </c>
      <c r="D32" s="1528" t="s">
        <v>1399</v>
      </c>
      <c r="E32" s="308" t="s">
        <v>1387</v>
      </c>
      <c r="F32" s="337">
        <f>'数据-取费表'!B41</f>
        <v>5.6000000000000001E-2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89.6</v>
      </c>
      <c r="D33" s="1554" t="s">
        <v>3575</v>
      </c>
      <c r="E33" s="308" t="s">
        <v>1387</v>
      </c>
      <c r="F33" s="328">
        <f>IF(D33="按票据","——",IF(D33="按租金收入计税",'数据-取费表'!B51,'数据-取费表'!B50))</f>
        <v>0.12</v>
      </c>
      <c r="G33" s="1568"/>
      <c r="H33" s="2929"/>
      <c r="I33" s="1582"/>
      <c r="J33" s="1583"/>
      <c r="K33" s="2930"/>
      <c r="L33" s="2929"/>
      <c r="M33" s="2929"/>
    </row>
    <row r="34" spans="1:18" ht="18" customHeight="1">
      <c r="A34" s="1201" t="s">
        <v>1354</v>
      </c>
      <c r="B34" s="160" t="s">
        <v>1406</v>
      </c>
      <c r="C34" s="25">
        <f ca="1">IF(项目基本情况!B11="自然人","——",ROUND(F34*F35/10000,2))</f>
        <v>9.1</v>
      </c>
      <c r="D34" s="330" t="s">
        <v>1407</v>
      </c>
      <c r="E34" s="308" t="s">
        <v>1408</v>
      </c>
      <c r="F34" s="331">
        <f>'数据-取费表'!B52</f>
        <v>1.5</v>
      </c>
      <c r="G34" s="1568"/>
      <c r="H34" s="2926"/>
      <c r="I34" s="1582"/>
      <c r="J34" s="1583"/>
      <c r="K34" s="2931"/>
      <c r="L34" s="2932"/>
      <c r="M34" s="2932"/>
    </row>
    <row r="35" spans="1:18" ht="18" customHeight="1">
      <c r="A35" s="1263"/>
      <c r="B35" s="1261"/>
      <c r="C35" s="29"/>
      <c r="D35" s="333"/>
      <c r="E35" s="308" t="s">
        <v>1412</v>
      </c>
      <c r="F35" s="309">
        <f ca="1">INDIRECT("'数据-取费表'!r"&amp;$G$1)</f>
        <v>60655.3</v>
      </c>
      <c r="G35" s="1568"/>
      <c r="H35" s="2926"/>
      <c r="I35" s="1582"/>
      <c r="J35" s="1583"/>
      <c r="K35" s="2930"/>
      <c r="L35" s="2929"/>
      <c r="M35" s="2929"/>
    </row>
    <row r="36" spans="1:18" ht="18" customHeight="1">
      <c r="A36" s="1262" t="s">
        <v>1007</v>
      </c>
      <c r="B36" s="308" t="s">
        <v>1414</v>
      </c>
      <c r="C36" s="24">
        <f ca="1">ROUND(C29*F36,1)</f>
        <v>124.4</v>
      </c>
      <c r="D36" s="1528" t="s">
        <v>1447</v>
      </c>
      <c r="E36" s="308" t="s">
        <v>1387</v>
      </c>
      <c r="F36" s="334">
        <f ca="1">INDIRECT("'数据-取费表'!Ak"&amp;$G$1)</f>
        <v>0.01</v>
      </c>
      <c r="G36" s="1568"/>
      <c r="H36" s="2929"/>
      <c r="I36" s="1582"/>
      <c r="J36" s="1583"/>
      <c r="K36" s="2770"/>
      <c r="L36" s="2929"/>
      <c r="M36" s="2929"/>
    </row>
    <row r="37" spans="1:18" ht="18" customHeight="1">
      <c r="A37" s="1113" t="s">
        <v>1043</v>
      </c>
      <c r="B37" s="308" t="s">
        <v>1418</v>
      </c>
      <c r="C37" s="24">
        <f ca="1">ROUND(C13*F37,1)</f>
        <v>16</v>
      </c>
      <c r="D37" s="1528" t="s">
        <v>1419</v>
      </c>
      <c r="E37" s="308" t="s">
        <v>1420</v>
      </c>
      <c r="F37" s="336">
        <f ca="1">INDIRECT("'数据-取费表'!Al"&amp;$G$1)</f>
        <v>1.5E-3</v>
      </c>
      <c r="G37" s="1568"/>
      <c r="H37" s="2929"/>
      <c r="I37" s="1582"/>
      <c r="J37" s="1583"/>
      <c r="K37" s="2770"/>
      <c r="L37" s="2929"/>
      <c r="M37" s="2929"/>
    </row>
    <row r="38" spans="1:18" ht="18" customHeight="1" thickBot="1">
      <c r="A38" s="1249" t="s">
        <v>1358</v>
      </c>
      <c r="B38" s="1250" t="s">
        <v>1404</v>
      </c>
      <c r="C38" s="1251">
        <f ca="1">ROUND(C5*F38,1)</f>
        <v>7.8</v>
      </c>
      <c r="D38" s="1252" t="s">
        <v>1424</v>
      </c>
      <c r="E38" s="1250" t="s">
        <v>1420</v>
      </c>
      <c r="F38" s="1246">
        <f ca="1">INDIRECT("'数据-取费表'!Am"&amp;$G$1)</f>
        <v>0.01</v>
      </c>
      <c r="G38" s="1568"/>
      <c r="H38" s="2929"/>
      <c r="I38" s="1582"/>
      <c r="J38" s="1583"/>
      <c r="K38" s="2933"/>
      <c r="L38" s="2929"/>
      <c r="M38" s="2929"/>
    </row>
    <row r="39" spans="1:18" ht="24.6" customHeight="1" thickTop="1">
      <c r="A39" s="1239" t="s">
        <v>999</v>
      </c>
      <c r="B39" s="1254" t="s">
        <v>1448</v>
      </c>
      <c r="C39" s="316">
        <f ca="1">C5-C30</f>
        <v>495</v>
      </c>
      <c r="D39" s="1255" t="s">
        <v>1449</v>
      </c>
      <c r="E39" s="1256"/>
      <c r="F39" s="1257"/>
      <c r="G39" s="1568"/>
      <c r="H39" s="2929"/>
      <c r="I39" s="1582"/>
      <c r="J39" s="1583"/>
      <c r="K39" s="2933"/>
      <c r="L39" s="2929"/>
      <c r="M39" s="2929"/>
    </row>
    <row r="40" spans="1:18" ht="18" customHeight="1">
      <c r="A40" s="305" t="s">
        <v>1000</v>
      </c>
      <c r="B40" s="306" t="s">
        <v>1450</v>
      </c>
      <c r="C40" s="307">
        <f ca="1">ROUND(C39*(1-((1+F42)/(1+F40))^F41)/(F40-F42),0)</f>
        <v>13479</v>
      </c>
      <c r="D40" s="330" t="s">
        <v>1434</v>
      </c>
      <c r="E40" s="308" t="s">
        <v>1435</v>
      </c>
      <c r="F40" s="318">
        <f ca="1">INDIRECT("'数据-取费表'!I"&amp;$G$1)</f>
        <v>0.05</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40.9</v>
      </c>
      <c r="G41" s="1568"/>
      <c r="H41" s="1353"/>
      <c r="I41" s="1582"/>
      <c r="J41" s="1583"/>
      <c r="K41" s="2770"/>
      <c r="L41" s="1353"/>
      <c r="M41" s="1353"/>
    </row>
    <row r="42" spans="1:18" ht="18" customHeight="1">
      <c r="A42" s="314"/>
      <c r="B42" s="315"/>
      <c r="C42" s="316"/>
      <c r="D42" s="333"/>
      <c r="E42" s="308" t="s">
        <v>1442</v>
      </c>
      <c r="F42" s="318">
        <f ca="1">INDIRECT("'数据-取费表'!v"&amp;$G$1)</f>
        <v>0.03</v>
      </c>
      <c r="G42" s="1568"/>
      <c r="H42" s="1353"/>
      <c r="I42" s="1582"/>
      <c r="J42" s="1583"/>
      <c r="K42" s="2770"/>
      <c r="L42" s="1353"/>
      <c r="M42" s="1353"/>
    </row>
    <row r="43" spans="1:18" ht="18" customHeight="1" thickBot="1">
      <c r="A43" s="340" t="s">
        <v>1001</v>
      </c>
      <c r="B43" s="341" t="s">
        <v>1452</v>
      </c>
      <c r="C43" s="342">
        <f ca="1">ROUND(C40*10000/F43,0)</f>
        <v>4203</v>
      </c>
      <c r="D43" s="343" t="s">
        <v>1453</v>
      </c>
      <c r="E43" s="344" t="s">
        <v>1454</v>
      </c>
      <c r="F43" s="345">
        <f ca="1">INDIRECT("'数据-取费表'!k"&amp;$G$1)</f>
        <v>32069.72</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4" t="s">
        <v>1484</v>
      </c>
      <c r="P45" s="1645"/>
      <c r="Q45" s="1645"/>
      <c r="R45" s="1645"/>
    </row>
    <row r="46" spans="1:18" s="1568" customFormat="1" ht="13.5" thickBot="1">
      <c r="A46" s="1588" t="s">
        <v>1485</v>
      </c>
      <c r="C46" s="1589">
        <f ca="1">C68-C40</f>
        <v>-34113</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3576</v>
      </c>
      <c r="K47" s="1600" t="s">
        <v>1492</v>
      </c>
      <c r="L47" s="1601">
        <f ca="1">INDIRECT("'数据-取费表'!d"&amp;$G$1)</f>
        <v>50</v>
      </c>
      <c r="M47" s="1564" t="str">
        <f>IF(ISNUMBER(FIND("住宅",C1)),"住宅","非住宅")</f>
        <v>非住宅</v>
      </c>
      <c r="O47" s="1602" t="s">
        <v>1008</v>
      </c>
      <c r="P47" s="1603" t="s">
        <v>1493</v>
      </c>
      <c r="Q47" s="1604">
        <f ca="1">C40+J29</f>
        <v>13479</v>
      </c>
      <c r="R47" s="1604" t="s">
        <v>1494</v>
      </c>
    </row>
    <row r="48" spans="1:18" s="1568" customFormat="1" ht="28.5" thickBot="1">
      <c r="A48" s="1270" t="s">
        <v>1103</v>
      </c>
      <c r="B48" s="306" t="s">
        <v>1366</v>
      </c>
      <c r="C48" s="1543">
        <f ca="1">C49+C53+C55</f>
        <v>0</v>
      </c>
      <c r="D48" s="1272"/>
      <c r="E48" s="1273"/>
      <c r="F48" s="1093"/>
      <c r="G48" s="731"/>
      <c r="H48" s="732"/>
      <c r="I48" s="1605" t="s">
        <v>1495</v>
      </c>
      <c r="J48" s="1606" t="s">
        <v>3577</v>
      </c>
      <c r="K48" s="1607" t="s">
        <v>1496</v>
      </c>
      <c r="L48" s="1608">
        <f ca="1">INDIRECT("'数据-取费表'!f"&amp;$G$1)</f>
        <v>40.9</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2851</v>
      </c>
      <c r="E49" s="1556" t="s">
        <v>1456</v>
      </c>
      <c r="F49" s="1191"/>
      <c r="G49" s="1609"/>
      <c r="H49" s="732"/>
      <c r="I49" s="1605" t="s">
        <v>1499</v>
      </c>
      <c r="J49" s="1610"/>
      <c r="K49" s="1607" t="s">
        <v>1500</v>
      </c>
      <c r="L49" s="1611"/>
      <c r="O49" s="1612" t="s">
        <v>1010</v>
      </c>
      <c r="P49" s="1603" t="s">
        <v>1501</v>
      </c>
      <c r="Q49" s="1604">
        <f ca="1">C29</f>
        <v>12440</v>
      </c>
      <c r="R49" s="1604" t="s">
        <v>1494</v>
      </c>
    </row>
    <row r="50" spans="1:18" s="1568" customFormat="1" ht="13.5" thickBot="1">
      <c r="A50" s="1107"/>
      <c r="B50" s="1110"/>
      <c r="C50" s="1278"/>
      <c r="D50" s="1084"/>
      <c r="E50" s="1187" t="s">
        <v>1371</v>
      </c>
      <c r="F50" s="1188">
        <f ca="1">F7</f>
        <v>29839.7</v>
      </c>
      <c r="H50" s="732"/>
      <c r="I50" s="1605" t="s">
        <v>1502</v>
      </c>
      <c r="J50" s="1613">
        <f>SUMPRODUCT((I63:I65=J47)*(J62:L62=J48)*(J63:L65))</f>
        <v>50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50</v>
      </c>
      <c r="K51" s="1618" t="s">
        <v>1506</v>
      </c>
      <c r="L51" s="1619">
        <f ca="1">ROUND(-PV(INDIRECT("'数据-取费表'!h"&amp;$G$1),J51,(C39-C13*C76),0),0)</f>
        <v>-8188</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40.9</v>
      </c>
      <c r="R52" s="1604" t="s">
        <v>1511</v>
      </c>
    </row>
    <row r="53" spans="1:18" s="1568" customFormat="1" ht="24.75" thickBot="1">
      <c r="A53" s="1314" t="s">
        <v>1105</v>
      </c>
      <c r="B53" s="1557"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40.9</v>
      </c>
      <c r="K53" s="3252" t="s">
        <v>1513</v>
      </c>
      <c r="L53" s="3253"/>
      <c r="O53" s="1602" t="s">
        <v>1014</v>
      </c>
      <c r="P53" s="1603" t="s">
        <v>1514</v>
      </c>
      <c r="Q53" s="1604">
        <f ca="1">Q47+Q48</f>
        <v>13479</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10698</v>
      </c>
      <c r="D56" s="1631"/>
      <c r="E56" s="1632"/>
      <c r="F56" s="1624"/>
      <c r="I56" s="1633" t="s">
        <v>1519</v>
      </c>
      <c r="J56" s="1634" t="s">
        <v>3076</v>
      </c>
      <c r="K56" s="1605" t="s">
        <v>1520</v>
      </c>
      <c r="L56" s="1608" t="str">
        <f ca="1">IF(L48&lt;J51,"——",L48-J53)</f>
        <v>——</v>
      </c>
      <c r="O56" s="1602" t="s">
        <v>1008</v>
      </c>
      <c r="P56" s="1603" t="s">
        <v>1493</v>
      </c>
      <c r="Q56" s="1604">
        <f ca="1">C40+J29</f>
        <v>13479</v>
      </c>
      <c r="R56" s="1604" t="s">
        <v>1494</v>
      </c>
    </row>
    <row r="57" spans="1:18" s="1568" customFormat="1" ht="24.75" thickBot="1">
      <c r="A57" s="1635"/>
      <c r="B57" s="1081" t="s">
        <v>1443</v>
      </c>
      <c r="C57" s="244">
        <f ca="1">C29</f>
        <v>12440</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1194</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1054</v>
      </c>
      <c r="D59" s="1094" t="s">
        <v>1395</v>
      </c>
      <c r="E59" s="1095" t="s">
        <v>1396</v>
      </c>
      <c r="F59" s="2533">
        <f ca="1">IF(项目基本情况!B11="企业","——",IF('数据-取费表'!B10="住宅",IF(F49*F50*F51/12/(1+'数据-取费表'!F30)&gt;100000,4%,2.5%),IF(F49*F50*F51/12/(1+'数据-取费表'!F30)&gt;100000,12%,7%)))</f>
        <v>7.0000000000000007E-2</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1044.96</v>
      </c>
      <c r="D61" s="1554" t="s">
        <v>1403</v>
      </c>
      <c r="E61" s="1081" t="s">
        <v>1459</v>
      </c>
      <c r="F61" s="328">
        <f t="shared" si="0"/>
        <v>0.12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9.1</v>
      </c>
      <c r="D62" s="1096" t="s">
        <v>1462</v>
      </c>
      <c r="E62" s="1081" t="s">
        <v>1463</v>
      </c>
      <c r="F62" s="331">
        <f t="shared" si="0"/>
        <v>1.5</v>
      </c>
      <c r="I62" s="1646" t="s">
        <v>1535</v>
      </c>
      <c r="J62" s="1647" t="s">
        <v>1536</v>
      </c>
      <c r="K62" s="1647" t="s">
        <v>1537</v>
      </c>
      <c r="L62" s="1647" t="s">
        <v>1538</v>
      </c>
      <c r="M62" s="1648" t="s">
        <v>1539</v>
      </c>
      <c r="O62" s="1602" t="s">
        <v>1014</v>
      </c>
      <c r="P62" s="1603" t="s">
        <v>1540</v>
      </c>
      <c r="Q62" s="1604">
        <f ca="1">Q56+Q57</f>
        <v>13479</v>
      </c>
      <c r="R62" s="1604" t="s">
        <v>1015</v>
      </c>
    </row>
    <row r="63" spans="1:18" s="1568" customFormat="1" ht="13.5" thickBot="1">
      <c r="A63" s="332"/>
      <c r="B63" s="1087"/>
      <c r="C63" s="29"/>
      <c r="D63" s="1097"/>
      <c r="E63" s="1081" t="s">
        <v>1464</v>
      </c>
      <c r="F63" s="309">
        <f t="shared" ca="1" si="0"/>
        <v>60655.3</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124.4</v>
      </c>
      <c r="D64" s="1095" t="s">
        <v>1467</v>
      </c>
      <c r="E64" s="1081" t="s">
        <v>1459</v>
      </c>
      <c r="F64" s="334">
        <f t="shared" ca="1" si="0"/>
        <v>0.01</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16</v>
      </c>
      <c r="D65" s="1095" t="s">
        <v>1419</v>
      </c>
      <c r="E65" s="1081" t="s">
        <v>1420</v>
      </c>
      <c r="F65" s="336">
        <f t="shared" ca="1" si="0"/>
        <v>1.5E-3</v>
      </c>
      <c r="I65" s="1646" t="s">
        <v>1544</v>
      </c>
      <c r="J65" s="1647">
        <v>40</v>
      </c>
      <c r="K65" s="1647">
        <v>30</v>
      </c>
      <c r="L65" s="1647">
        <v>50</v>
      </c>
      <c r="M65" s="1649">
        <v>0.02</v>
      </c>
      <c r="O65" s="1602" t="s">
        <v>1008</v>
      </c>
      <c r="P65" s="1603" t="s">
        <v>1545</v>
      </c>
      <c r="Q65" s="1604">
        <f ca="1">C40+J29</f>
        <v>13479</v>
      </c>
      <c r="R65" s="1604" t="s">
        <v>1494</v>
      </c>
    </row>
    <row r="66" spans="1:18" s="1568" customFormat="1" ht="16.5" thickBot="1">
      <c r="A66" s="1113" t="s">
        <v>1469</v>
      </c>
      <c r="B66" s="1081" t="s">
        <v>1404</v>
      </c>
      <c r="C66" s="24">
        <f ca="1">ROUND(C48*F66,1)</f>
        <v>0</v>
      </c>
      <c r="D66" s="1095" t="s">
        <v>1470</v>
      </c>
      <c r="E66" s="1081" t="s">
        <v>1387</v>
      </c>
      <c r="F66" s="318">
        <f t="shared" ca="1" si="0"/>
        <v>0.01</v>
      </c>
      <c r="O66" s="1602" t="s">
        <v>1009</v>
      </c>
      <c r="P66" s="1603" t="s">
        <v>1523</v>
      </c>
      <c r="Q66" s="1604">
        <f ca="1">L60</f>
        <v>0</v>
      </c>
      <c r="R66" s="1604" t="s">
        <v>1546</v>
      </c>
    </row>
    <row r="67" spans="1:18" s="1568" customFormat="1" ht="16.5" thickBot="1">
      <c r="A67" s="1088" t="s">
        <v>999</v>
      </c>
      <c r="B67" s="1098" t="s">
        <v>1428</v>
      </c>
      <c r="C67" s="322">
        <f ca="1">C48-C58</f>
        <v>-1194</v>
      </c>
      <c r="D67" s="1094" t="s">
        <v>1429</v>
      </c>
      <c r="E67" s="1099"/>
      <c r="F67" s="1100"/>
      <c r="O67" s="1612" t="s">
        <v>1010</v>
      </c>
      <c r="P67" s="1603" t="s">
        <v>1527</v>
      </c>
      <c r="Q67" s="1650">
        <f ca="1">L51</f>
        <v>-8188</v>
      </c>
      <c r="R67" s="1604" t="s">
        <v>1547</v>
      </c>
    </row>
    <row r="68" spans="1:18" s="1568" customFormat="1" ht="16.5" thickBot="1">
      <c r="A68" s="1078" t="s">
        <v>1000</v>
      </c>
      <c r="B68" s="1079" t="s">
        <v>1450</v>
      </c>
      <c r="C68" s="307">
        <f ca="1">ROUND(C67*(1-((1+F70)/(1+F68))^F69)/(F68-F70),0)</f>
        <v>-20634</v>
      </c>
      <c r="D68" s="1096" t="s">
        <v>1434</v>
      </c>
      <c r="E68" s="1081" t="s">
        <v>1435</v>
      </c>
      <c r="F68" s="318">
        <f ca="1">F40</f>
        <v>0.05</v>
      </c>
      <c r="O68" s="1612" t="s">
        <v>1011</v>
      </c>
      <c r="P68" s="1651" t="s">
        <v>1548</v>
      </c>
      <c r="Q68" s="1604">
        <f ca="1">ROUND(Q69-Q70*Q71,0)</f>
        <v>-414</v>
      </c>
      <c r="R68" s="1604" t="s">
        <v>1019</v>
      </c>
    </row>
    <row r="69" spans="1:18" s="1568" customFormat="1" ht="13.5" thickBot="1">
      <c r="A69" s="1082"/>
      <c r="B69" s="1083"/>
      <c r="C69" s="312"/>
      <c r="D69" s="1101" t="s">
        <v>1438</v>
      </c>
      <c r="E69" s="1081" t="s">
        <v>1439</v>
      </c>
      <c r="F69" s="339">
        <f ca="1">F41</f>
        <v>40.9</v>
      </c>
      <c r="O69" s="1612" t="s">
        <v>1016</v>
      </c>
      <c r="P69" s="1651" t="s">
        <v>1549</v>
      </c>
      <c r="Q69" s="1604">
        <f ca="1">C39</f>
        <v>495</v>
      </c>
      <c r="R69" s="1604" t="s">
        <v>1494</v>
      </c>
    </row>
    <row r="70" spans="1:18" s="1568" customFormat="1" ht="13.5" thickBot="1">
      <c r="A70" s="1085"/>
      <c r="B70" s="1086"/>
      <c r="C70" s="316"/>
      <c r="D70" s="1097"/>
      <c r="E70" s="1081" t="s">
        <v>1442</v>
      </c>
      <c r="F70" s="1185"/>
      <c r="O70" s="1612" t="s">
        <v>1017</v>
      </c>
      <c r="P70" s="1651" t="s">
        <v>1550</v>
      </c>
      <c r="Q70" s="1604">
        <f ca="1">C13</f>
        <v>10698</v>
      </c>
      <c r="R70" s="1604" t="s">
        <v>1494</v>
      </c>
    </row>
    <row r="71" spans="1:18" s="1568" customFormat="1" ht="13.5" thickBot="1">
      <c r="A71" s="1102" t="s">
        <v>1001</v>
      </c>
      <c r="B71" s="1103" t="s">
        <v>1452</v>
      </c>
      <c r="C71" s="342">
        <f ca="1">ROUND(C68*10000/F71,0)</f>
        <v>-6434</v>
      </c>
      <c r="D71" s="1104" t="s">
        <v>1453</v>
      </c>
      <c r="E71" s="1105" t="s">
        <v>1454</v>
      </c>
      <c r="F71" s="345">
        <f ca="1">F43</f>
        <v>32069.72</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909</v>
      </c>
      <c r="D75" s="1568"/>
      <c r="E75" s="1568"/>
      <c r="F75" s="1568"/>
      <c r="K75" s="1586"/>
      <c r="L75" s="1568"/>
      <c r="O75" s="1602" t="s">
        <v>1014</v>
      </c>
      <c r="P75" s="1603" t="s">
        <v>1514</v>
      </c>
      <c r="Q75" s="1604">
        <f ca="1">Q65+Q66</f>
        <v>13479</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-0.83600000000000008</v>
      </c>
    </row>
    <row r="80" spans="1:18">
      <c r="B80" s="346" t="s">
        <v>1476</v>
      </c>
      <c r="C80" s="280">
        <f ca="1">ROUND(C75/C39,3)</f>
        <v>1.8360000000000001</v>
      </c>
    </row>
    <row r="81" spans="2:3">
      <c r="B81" s="276" t="s">
        <v>1477</v>
      </c>
      <c r="C81" s="244"/>
    </row>
    <row r="82" spans="2:3">
      <c r="B82" s="279" t="s">
        <v>1478</v>
      </c>
      <c r="C82" s="281">
        <f ca="1">1-C83</f>
        <v>0.20599999999999996</v>
      </c>
    </row>
    <row r="83" spans="2:3">
      <c r="B83" s="279" t="s">
        <v>1479</v>
      </c>
      <c r="C83" s="280">
        <f ca="1">ROUND(C13/C40,3)</f>
        <v>0.79400000000000004</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5"/>
      <c r="H2" s="2924"/>
      <c r="I2" s="2924"/>
      <c r="J2" s="2924"/>
      <c r="K2" s="2925"/>
      <c r="L2" s="2924"/>
      <c r="M2" s="2924"/>
    </row>
    <row r="3" spans="1:37" ht="18" customHeight="1" thickBot="1">
      <c r="A3" s="1574" t="s">
        <v>1558</v>
      </c>
      <c r="B3" s="1575">
        <f ca="1">IF(ISERROR(D2/F43),0,ROUND(D2/F43,0))</f>
        <v>0</v>
      </c>
      <c r="C3" s="1571" t="s">
        <v>1559</v>
      </c>
      <c r="D3" s="1571"/>
      <c r="E3" s="1572"/>
      <c r="F3" s="1573"/>
      <c r="G3" s="2935"/>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254" t="s">
        <v>1368</v>
      </c>
      <c r="C6" s="1206">
        <f ca="1">ROUND(F6*F8*F7*(1-F9),0)</f>
        <v>0</v>
      </c>
      <c r="D6" s="160" t="s">
        <v>2847</v>
      </c>
      <c r="E6" s="308" t="s">
        <v>1370</v>
      </c>
      <c r="F6" s="309">
        <f ca="1">INDIRECT("'数据-取费表'!u"&amp;$G$1)</f>
        <v>0</v>
      </c>
      <c r="G6" s="1568"/>
      <c r="H6" s="1201" t="s">
        <v>1003</v>
      </c>
      <c r="I6" s="3254" t="s">
        <v>1368</v>
      </c>
      <c r="J6" s="307">
        <f ca="1">ROUND(M6*M8*M7*(1-M9),0)</f>
        <v>0</v>
      </c>
      <c r="K6" s="1560" t="s">
        <v>2848</v>
      </c>
      <c r="L6" s="308" t="s">
        <v>1370</v>
      </c>
      <c r="M6" s="309">
        <f ca="1">INDIRECT("'数据-取费表'!z"&amp;$G$1)</f>
        <v>0</v>
      </c>
    </row>
    <row r="7" spans="1:37" ht="18" customHeight="1">
      <c r="A7" s="1205"/>
      <c r="B7" s="3255"/>
      <c r="C7" s="1207"/>
      <c r="D7" s="313"/>
      <c r="E7" s="1208" t="s">
        <v>1371</v>
      </c>
      <c r="F7" s="309">
        <f ca="1">IF(INDIRECT("'数据-取费表'!ah"&amp;$G$1)="",INDIRECT("'数据-取费表'!k"&amp;$G$1),INDIRECT("'数据-取费表'!ah"&amp;$G$1))</f>
        <v>0</v>
      </c>
      <c r="G7" s="1568"/>
      <c r="H7" s="310"/>
      <c r="I7" s="3255"/>
      <c r="J7" s="312"/>
      <c r="K7" s="313"/>
      <c r="L7" s="308" t="s">
        <v>1371</v>
      </c>
      <c r="M7" s="309">
        <f ca="1">F7</f>
        <v>0</v>
      </c>
    </row>
    <row r="8" spans="1:37" ht="18" customHeight="1">
      <c r="A8" s="310"/>
      <c r="B8" s="3255"/>
      <c r="C8" s="312"/>
      <c r="D8" s="313"/>
      <c r="E8" s="308" t="s">
        <v>1372</v>
      </c>
      <c r="F8" s="309">
        <f ca="1">INDIRECT("'数据-取费表'!ai"&amp;$G$1)</f>
        <v>0</v>
      </c>
      <c r="G8" s="1568"/>
      <c r="H8" s="310"/>
      <c r="I8" s="3255"/>
      <c r="J8" s="312"/>
      <c r="K8" s="313"/>
      <c r="L8" s="308" t="s">
        <v>1372</v>
      </c>
      <c r="M8" s="309">
        <f ca="1">INDIRECT("'数据-取费表'!ai"&amp;$G$1)</f>
        <v>0</v>
      </c>
    </row>
    <row r="9" spans="1:37" ht="18" customHeight="1">
      <c r="A9" s="310"/>
      <c r="B9" s="3256"/>
      <c r="C9" s="312"/>
      <c r="D9" s="313"/>
      <c r="E9" s="308" t="s">
        <v>1373</v>
      </c>
      <c r="F9" s="318">
        <f ca="1">INDIRECT("'数据-取费表'!w"&amp;$G$1)</f>
        <v>0</v>
      </c>
      <c r="G9" s="1568"/>
      <c r="H9" s="310"/>
      <c r="I9" s="3256"/>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2857</v>
      </c>
      <c r="E10" s="319" t="s">
        <v>1375</v>
      </c>
      <c r="F10" s="1276"/>
      <c r="G10" s="1568"/>
      <c r="H10" s="1201" t="s">
        <v>1007</v>
      </c>
      <c r="I10" s="1549" t="s">
        <v>1374</v>
      </c>
      <c r="J10" s="307">
        <f ca="1">ROUND(IF(M10="押一",J6/12*M11,IF(M10="押二",J6/12*2*M11,IF(M10="押三",J6/12*3*M11,J11*M11))),0)</f>
        <v>0</v>
      </c>
      <c r="K10" s="1561" t="s">
        <v>2859</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f ca="1">IF(项目基本情况!B11="企业","",IF('数据-取费表'!B10="住宅",IF(M6*M7*M8/12/(1+'数据-取费表'!F30)&gt;100000,4%,2.5%),IF(M6*M7*M8/12/(1+'数据-取费表'!F30)&gt;100000,12%,7%)))</f>
        <v>7.0000000000000007E-2</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2.5000000000000001E-2</v>
      </c>
      <c r="G20" s="1580"/>
      <c r="H20" s="1113" t="s">
        <v>1354</v>
      </c>
      <c r="I20" s="160" t="s">
        <v>1406</v>
      </c>
      <c r="J20" s="25">
        <f ca="1">ROUND(M20*M21,0)</f>
        <v>0</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2.5000000000000001E-2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1.5</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8.0000000000000004E-4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f ca="1">IF(项目基本情况!B11="企业","——",IF('数据-取费表'!B10="住宅",IF(F6*F7*F8/12/(1+'数据-取费表'!F30)&gt;100000,4%,2.5%),IF(F6*F7*F8/12/(1+'数据-取费表'!F30)&gt;100000,12%,7%)))</f>
        <v>7.0000000000000007E-2</v>
      </c>
      <c r="G31" s="1568"/>
      <c r="H31" s="3039" t="s">
        <v>3057</v>
      </c>
      <c r="I31" s="1582"/>
      <c r="J31" s="1583"/>
      <c r="K31" s="2701"/>
      <c r="L31" s="2927"/>
      <c r="M31" s="2928"/>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9"/>
      <c r="I33" s="1582"/>
      <c r="J33" s="1583"/>
      <c r="K33" s="2930"/>
      <c r="L33" s="2929"/>
      <c r="M33" s="2929"/>
    </row>
    <row r="34" spans="1:18" ht="18" customHeight="1">
      <c r="A34" s="1201" t="s">
        <v>1354</v>
      </c>
      <c r="B34" s="160" t="s">
        <v>1406</v>
      </c>
      <c r="C34" s="25">
        <f ca="1">IF(项目基本情况!B11="自然人","——",ROUND(F34*F35,))</f>
        <v>0</v>
      </c>
      <c r="D34" s="330" t="s">
        <v>1407</v>
      </c>
      <c r="E34" s="308" t="s">
        <v>1408</v>
      </c>
      <c r="F34" s="331">
        <f>'数据-取费表'!B52</f>
        <v>1.5</v>
      </c>
      <c r="G34" s="1568"/>
      <c r="H34" s="2926"/>
      <c r="I34" s="1582"/>
      <c r="J34" s="1583"/>
      <c r="K34" s="2931"/>
      <c r="L34" s="2932"/>
      <c r="M34" s="2932"/>
    </row>
    <row r="35" spans="1:18" ht="18" customHeight="1">
      <c r="A35" s="1263"/>
      <c r="B35" s="1261"/>
      <c r="C35" s="29"/>
      <c r="D35" s="333"/>
      <c r="E35" s="308" t="s">
        <v>1412</v>
      </c>
      <c r="F35" s="309">
        <f ca="1">INDIRECT("'数据-取费表'!r"&amp;$G$1)</f>
        <v>0</v>
      </c>
      <c r="G35" s="1568"/>
      <c r="H35" s="2926"/>
      <c r="I35" s="1582"/>
      <c r="J35" s="1583"/>
      <c r="K35" s="2930"/>
      <c r="L35" s="2929"/>
      <c r="M35" s="2929"/>
    </row>
    <row r="36" spans="1:18" ht="18" customHeight="1">
      <c r="A36" s="1262" t="s">
        <v>1007</v>
      </c>
      <c r="B36" s="308" t="s">
        <v>1414</v>
      </c>
      <c r="C36" s="24">
        <f ca="1">ROUND(C29*F36,0)</f>
        <v>0</v>
      </c>
      <c r="D36" s="1528" t="s">
        <v>1447</v>
      </c>
      <c r="E36" s="308" t="s">
        <v>1387</v>
      </c>
      <c r="F36" s="334">
        <f ca="1">INDIRECT("'数据-取费表'!Ak"&amp;$G$1)</f>
        <v>0</v>
      </c>
      <c r="G36" s="1568"/>
      <c r="H36" s="2929"/>
      <c r="I36" s="1582"/>
      <c r="J36" s="1583"/>
      <c r="K36" s="2770"/>
      <c r="L36" s="2929"/>
      <c r="M36" s="2929"/>
    </row>
    <row r="37" spans="1:18" ht="18" customHeight="1">
      <c r="A37" s="1113" t="s">
        <v>1043</v>
      </c>
      <c r="B37" s="308" t="s">
        <v>1418</v>
      </c>
      <c r="C37" s="24">
        <f ca="1">ROUND(C13*F37,0)</f>
        <v>0</v>
      </c>
      <c r="D37" s="1528" t="s">
        <v>1419</v>
      </c>
      <c r="E37" s="308" t="s">
        <v>1420</v>
      </c>
      <c r="F37" s="336">
        <f ca="1">INDIRECT("'数据-取费表'!Al"&amp;$G$1)</f>
        <v>0</v>
      </c>
      <c r="G37" s="1568"/>
      <c r="H37" s="2929"/>
      <c r="I37" s="1582"/>
      <c r="J37" s="1583"/>
      <c r="K37" s="2770"/>
      <c r="L37" s="2929"/>
      <c r="M37" s="2929"/>
    </row>
    <row r="38" spans="1:18" ht="18" customHeight="1" thickBot="1">
      <c r="A38" s="1249" t="s">
        <v>1358</v>
      </c>
      <c r="B38" s="1250" t="s">
        <v>1404</v>
      </c>
      <c r="C38" s="1251">
        <f ca="1">ROUND(C5*F38,1)</f>
        <v>0</v>
      </c>
      <c r="D38" s="1252" t="s">
        <v>1424</v>
      </c>
      <c r="E38" s="1250" t="s">
        <v>1420</v>
      </c>
      <c r="F38" s="1246">
        <f ca="1">INDIRECT("'数据-取费表'!Am"&amp;$G$1)</f>
        <v>0</v>
      </c>
      <c r="G38" s="1568"/>
      <c r="H38" s="2929"/>
      <c r="I38" s="1582"/>
      <c r="J38" s="1583"/>
      <c r="K38" s="2933"/>
      <c r="L38" s="2929"/>
      <c r="M38" s="2929"/>
    </row>
    <row r="39" spans="1:18" ht="24.6" customHeight="1" thickTop="1">
      <c r="A39" s="1239" t="s">
        <v>999</v>
      </c>
      <c r="B39" s="1254" t="s">
        <v>1448</v>
      </c>
      <c r="C39" s="316">
        <f ca="1">C5-C30</f>
        <v>0</v>
      </c>
      <c r="D39" s="1255" t="s">
        <v>1449</v>
      </c>
      <c r="E39" s="1256"/>
      <c r="F39" s="1257"/>
      <c r="G39" s="1568"/>
      <c r="H39" s="2929"/>
      <c r="I39" s="1582"/>
      <c r="J39" s="1583"/>
      <c r="K39" s="2933"/>
      <c r="L39" s="2929"/>
      <c r="M39" s="2929"/>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2860</v>
      </c>
      <c r="E53" s="319" t="s">
        <v>1375</v>
      </c>
      <c r="F53" s="1276"/>
      <c r="I53" s="1623" t="s">
        <v>1512</v>
      </c>
      <c r="J53" s="2386">
        <f ca="1">IF(M47="住宅",IF(D1="——",MAX(J51,L48),MAX(J51,L48-'数据-取费表'!B24)),IF(D1="——",MIN(J51,L48),MIN(J51,L48-'数据-取费表'!B24)))</f>
        <v>0</v>
      </c>
      <c r="K53" s="3252" t="s">
        <v>1513</v>
      </c>
      <c r="L53" s="3253"/>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f ca="1">IF(项目基本情况!B11="企业","——",IF('数据-取费表'!B10="住宅",IF(F49*F50*F51/12/(1+'数据-取费表'!F30)&gt;100000,4%,2.5%),IF(F49*F50*F51/12/(1+'数据-取费表'!F30)&gt;100000,12%,7%)))</f>
        <v>7.0000000000000007E-2</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1.5</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6"/>
      <c r="G1" s="1674"/>
      <c r="H1" s="1674"/>
      <c r="I1" s="1674"/>
      <c r="J1" s="1674"/>
      <c r="K1" s="1674"/>
      <c r="L1" s="1674"/>
      <c r="M1" s="1674"/>
      <c r="N1" s="1674"/>
      <c r="O1" s="1674"/>
      <c r="P1" s="1674"/>
      <c r="Q1" s="1674"/>
      <c r="R1" s="1674"/>
      <c r="S1" s="1674"/>
    </row>
    <row r="2" spans="1:22" ht="15.75">
      <c r="A2" s="2056" t="s">
        <v>2148</v>
      </c>
      <c r="B2" s="2057">
        <f ca="1">SUMIF(B6:B13,"&lt;&gt;#ref!",B6:B13)</f>
        <v>13479</v>
      </c>
      <c r="C2" s="2058" t="s">
        <v>2340</v>
      </c>
      <c r="D2" s="2059" t="s">
        <v>2341</v>
      </c>
      <c r="E2" s="2833">
        <f>SUM(E6:E13)</f>
        <v>32069.72</v>
      </c>
      <c r="F2" s="2936"/>
      <c r="G2" s="1674"/>
      <c r="H2" s="1674"/>
      <c r="I2" s="1674"/>
      <c r="J2" s="1674"/>
      <c r="K2" s="1674"/>
      <c r="L2" s="1674"/>
      <c r="M2" s="1674"/>
      <c r="N2" s="1674"/>
      <c r="O2" s="1674"/>
      <c r="P2" s="1674"/>
      <c r="Q2" s="1674"/>
      <c r="R2" s="1674"/>
      <c r="S2" s="1674"/>
    </row>
    <row r="3" spans="1:22" ht="15.75">
      <c r="A3" s="2056" t="s">
        <v>1360</v>
      </c>
      <c r="B3" s="2827">
        <f ca="1">ROUND(B2*10000/E2,0)</f>
        <v>4203</v>
      </c>
      <c r="C3" s="2058" t="s">
        <v>2348</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2342</v>
      </c>
      <c r="B5" s="3257" t="s">
        <v>2343</v>
      </c>
      <c r="C5" s="3258"/>
      <c r="D5" s="2937"/>
      <c r="E5" s="2060" t="s">
        <v>2344</v>
      </c>
      <c r="F5" s="2061" t="s">
        <v>2345</v>
      </c>
      <c r="G5" s="1674"/>
      <c r="H5" s="1674"/>
      <c r="I5" s="1674"/>
      <c r="J5" s="1674"/>
      <c r="K5" s="1674"/>
      <c r="L5" s="1674"/>
      <c r="M5" s="1674"/>
      <c r="N5" s="1674"/>
      <c r="O5" s="1674"/>
      <c r="P5" s="1674"/>
      <c r="Q5" s="1674"/>
      <c r="R5" s="1674"/>
      <c r="S5" s="1674"/>
    </row>
    <row r="6" spans="1:22">
      <c r="A6" s="2830" t="str">
        <f>'数据-取费表'!AN6</f>
        <v>收益法</v>
      </c>
      <c r="B6" s="2828">
        <f ca="1">IF(F6="是",'数据-取费表'!AO6,0)</f>
        <v>13479</v>
      </c>
      <c r="C6" s="2058" t="s">
        <v>2340</v>
      </c>
      <c r="D6" s="2938"/>
      <c r="E6" s="2832">
        <f>IF(OR(A6=0,F6="否"),0,'数据-取费表'!K6+'数据-取费表'!S6)</f>
        <v>32069.72</v>
      </c>
      <c r="F6" s="2062" t="s">
        <v>2346</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2340</v>
      </c>
      <c r="D7" s="2938"/>
      <c r="E7" s="2832">
        <f>IF(OR(A7=0,F7="否"),0,'数据-取费表'!K7+'数据-取费表'!S7)</f>
        <v>0</v>
      </c>
      <c r="F7" s="2062" t="s">
        <v>2346</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2340</v>
      </c>
      <c r="D8" s="2938"/>
      <c r="E8" s="2832">
        <f>IF(OR(A8=0,F8="否"),0,'数据-取费表'!K8+'数据-取费表'!S8)</f>
        <v>0</v>
      </c>
      <c r="F8" s="2062" t="s">
        <v>2346</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2340</v>
      </c>
      <c r="D9" s="2938"/>
      <c r="E9" s="2832">
        <f>IF(OR(A9=0,F9="否"),0,'数据-取费表'!K9+'数据-取费表'!S9)</f>
        <v>0</v>
      </c>
      <c r="F9" s="2062" t="s">
        <v>2346</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2340</v>
      </c>
      <c r="D10" s="2938"/>
      <c r="E10" s="2832">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2340</v>
      </c>
      <c r="D11" s="2938"/>
      <c r="E11" s="2832">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2340</v>
      </c>
      <c r="D12" s="2938"/>
      <c r="E12" s="2832">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2340</v>
      </c>
      <c r="D13" s="2939"/>
      <c r="E13" s="2832">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H5" sqref="H5"/>
    </sheetView>
  </sheetViews>
  <sheetFormatPr defaultRowHeight="13.5"/>
  <cols>
    <col min="1" max="1" width="10.5" customWidth="1"/>
    <col min="2" max="2" width="12.875" customWidth="1"/>
    <col min="3" max="3" width="8.75" customWidth="1"/>
  </cols>
  <sheetData>
    <row r="1" spans="1:9" ht="14.25">
      <c r="A1" s="3275" t="s">
        <v>1044</v>
      </c>
      <c r="B1" s="3276"/>
      <c r="C1" s="3277"/>
      <c r="D1" s="3278">
        <f>SUM(I10,I15,I20,I21,I23)</f>
        <v>0</v>
      </c>
      <c r="E1" s="3278"/>
      <c r="F1" s="3278"/>
      <c r="G1" s="3278"/>
      <c r="H1" s="3278"/>
      <c r="I1" s="3279"/>
    </row>
    <row r="2" spans="1:9">
      <c r="A2" s="3265" t="s">
        <v>1045</v>
      </c>
      <c r="B2" s="3266" t="s">
        <v>1046</v>
      </c>
      <c r="C2" s="3266"/>
      <c r="D2" s="1211" t="s">
        <v>1047</v>
      </c>
      <c r="E2" s="1211" t="s">
        <v>1048</v>
      </c>
      <c r="F2" s="1211" t="s">
        <v>1049</v>
      </c>
      <c r="G2" s="1211" t="s">
        <v>1050</v>
      </c>
      <c r="H2" s="1211" t="s">
        <v>1051</v>
      </c>
      <c r="I2" s="1212" t="s">
        <v>1052</v>
      </c>
    </row>
    <row r="3" spans="1:9">
      <c r="A3" s="3265"/>
      <c r="B3" s="3266" t="s">
        <v>1053</v>
      </c>
      <c r="C3" s="3266"/>
      <c r="D3" s="1213"/>
      <c r="E3" s="1211"/>
      <c r="F3" s="1214"/>
      <c r="G3" s="1214"/>
      <c r="H3" s="1215"/>
      <c r="I3" s="1216">
        <f>ROUND(D3*E3*F3*G3*H3/10000,0)</f>
        <v>0</v>
      </c>
    </row>
    <row r="4" spans="1:9">
      <c r="A4" s="3265"/>
      <c r="B4" s="3266" t="s">
        <v>1054</v>
      </c>
      <c r="C4" s="3266"/>
      <c r="D4" s="1213"/>
      <c r="E4" s="1211"/>
      <c r="F4" s="1214"/>
      <c r="G4" s="1214"/>
      <c r="H4" s="1215"/>
      <c r="I4" s="1216">
        <f t="shared" ref="I4:I9" si="0">ROUND(D4*E4*F4*G4*H4/10000,0)</f>
        <v>0</v>
      </c>
    </row>
    <row r="5" spans="1:9">
      <c r="A5" s="3265"/>
      <c r="B5" s="3266" t="s">
        <v>1055</v>
      </c>
      <c r="C5" s="3266"/>
      <c r="D5" s="1213"/>
      <c r="E5" s="1211"/>
      <c r="F5" s="1214"/>
      <c r="G5" s="1214"/>
      <c r="H5" s="1215"/>
      <c r="I5" s="1216">
        <f t="shared" si="0"/>
        <v>0</v>
      </c>
    </row>
    <row r="6" spans="1:9">
      <c r="A6" s="3265"/>
      <c r="B6" s="3266" t="s">
        <v>1056</v>
      </c>
      <c r="C6" s="3266"/>
      <c r="D6" s="1213"/>
      <c r="E6" s="1211"/>
      <c r="F6" s="1214"/>
      <c r="G6" s="1214"/>
      <c r="H6" s="1215"/>
      <c r="I6" s="1216">
        <f t="shared" si="0"/>
        <v>0</v>
      </c>
    </row>
    <row r="7" spans="1:9">
      <c r="A7" s="3265"/>
      <c r="B7" s="3266" t="s">
        <v>1057</v>
      </c>
      <c r="C7" s="3266"/>
      <c r="D7" s="1213"/>
      <c r="E7" s="1211"/>
      <c r="F7" s="1214"/>
      <c r="G7" s="1214"/>
      <c r="H7" s="1215"/>
      <c r="I7" s="1216">
        <f t="shared" si="0"/>
        <v>0</v>
      </c>
    </row>
    <row r="8" spans="1:9">
      <c r="A8" s="3265"/>
      <c r="B8" s="3266" t="s">
        <v>1058</v>
      </c>
      <c r="C8" s="3266"/>
      <c r="D8" s="1213"/>
      <c r="E8" s="1211"/>
      <c r="F8" s="1214"/>
      <c r="G8" s="1214"/>
      <c r="H8" s="1215"/>
      <c r="I8" s="1216">
        <f t="shared" si="0"/>
        <v>0</v>
      </c>
    </row>
    <row r="9" spans="1:9">
      <c r="A9" s="3265"/>
      <c r="B9" s="3266" t="s">
        <v>1059</v>
      </c>
      <c r="C9" s="3266"/>
      <c r="D9" s="1213"/>
      <c r="E9" s="1211"/>
      <c r="F9" s="1214"/>
      <c r="G9" s="1214"/>
      <c r="H9" s="1215"/>
      <c r="I9" s="1216">
        <f t="shared" si="0"/>
        <v>0</v>
      </c>
    </row>
    <row r="10" spans="1:9">
      <c r="A10" s="3265"/>
      <c r="B10" s="3267" t="s">
        <v>1060</v>
      </c>
      <c r="C10" s="3267"/>
      <c r="D10" s="1217"/>
      <c r="E10" s="1217" t="e">
        <f>ROUND(D1*10000/D10/H9,0)</f>
        <v>#DIV/0!</v>
      </c>
      <c r="F10" s="1218"/>
      <c r="G10" s="1218"/>
      <c r="H10" s="1219"/>
      <c r="I10" s="1220">
        <f>SUM(I3:I9)</f>
        <v>0</v>
      </c>
    </row>
    <row r="11" spans="1:9" ht="14.25">
      <c r="A11" s="3265" t="s">
        <v>1061</v>
      </c>
      <c r="B11" s="3266" t="s">
        <v>1062</v>
      </c>
      <c r="C11" s="3266"/>
      <c r="D11" s="1213" t="s">
        <v>1063</v>
      </c>
      <c r="E11" s="1213" t="s">
        <v>1064</v>
      </c>
      <c r="F11" s="1214" t="s">
        <v>1065</v>
      </c>
      <c r="G11" s="1214" t="s">
        <v>1051</v>
      </c>
      <c r="H11" s="1221" t="s">
        <v>1066</v>
      </c>
      <c r="I11" s="1212" t="s">
        <v>1052</v>
      </c>
    </row>
    <row r="12" spans="1:9">
      <c r="A12" s="3265"/>
      <c r="B12" s="3266" t="s">
        <v>1067</v>
      </c>
      <c r="C12" s="3266"/>
      <c r="D12" s="1213"/>
      <c r="E12" s="1213"/>
      <c r="F12" s="1214"/>
      <c r="G12" s="1215"/>
      <c r="H12" s="1222"/>
      <c r="I12" s="1212">
        <f>ROUND(D12*E12*F12*G12/10000,0)</f>
        <v>0</v>
      </c>
    </row>
    <row r="13" spans="1:9">
      <c r="A13" s="3265"/>
      <c r="B13" s="3266" t="s">
        <v>1068</v>
      </c>
      <c r="C13" s="3266"/>
      <c r="D13" s="1213"/>
      <c r="E13" s="1213"/>
      <c r="F13" s="1214"/>
      <c r="G13" s="1215"/>
      <c r="H13" s="1222"/>
      <c r="I13" s="1212">
        <f>ROUND(D13*E13*F13*G13/10000,0)</f>
        <v>0</v>
      </c>
    </row>
    <row r="14" spans="1:9">
      <c r="A14" s="3265"/>
      <c r="B14" s="3266" t="s">
        <v>1069</v>
      </c>
      <c r="C14" s="3266"/>
      <c r="D14" s="1213"/>
      <c r="E14" s="1213"/>
      <c r="F14" s="1214"/>
      <c r="G14" s="1215"/>
      <c r="H14" s="1222"/>
      <c r="I14" s="1212">
        <f>ROUND(D14*E14*F14*G14/10000,0)</f>
        <v>0</v>
      </c>
    </row>
    <row r="15" spans="1:9">
      <c r="A15" s="3265"/>
      <c r="B15" s="3267" t="s">
        <v>1060</v>
      </c>
      <c r="C15" s="3267"/>
      <c r="D15" s="1217"/>
      <c r="E15" s="1217">
        <f>SUM(E12:E14)</f>
        <v>0</v>
      </c>
      <c r="F15" s="1218"/>
      <c r="G15" s="1215"/>
      <c r="H15" s="1222"/>
      <c r="I15" s="1223">
        <f>SUM(I12:I14)</f>
        <v>0</v>
      </c>
    </row>
    <row r="16" spans="1:9" ht="24">
      <c r="A16" s="3265" t="s">
        <v>1070</v>
      </c>
      <c r="B16" s="3266" t="s">
        <v>1071</v>
      </c>
      <c r="C16" s="3266"/>
      <c r="D16" s="1213" t="s">
        <v>1047</v>
      </c>
      <c r="E16" s="1224" t="s">
        <v>1072</v>
      </c>
      <c r="F16" s="1214" t="s">
        <v>1073</v>
      </c>
      <c r="G16" s="1215" t="s">
        <v>1051</v>
      </c>
      <c r="H16" s="1221" t="s">
        <v>1066</v>
      </c>
      <c r="I16" s="1212" t="s">
        <v>1052</v>
      </c>
    </row>
    <row r="17" spans="1:9" ht="14.25">
      <c r="A17" s="3265"/>
      <c r="B17" s="3266" t="s">
        <v>1074</v>
      </c>
      <c r="C17" s="3266"/>
      <c r="D17" s="1213"/>
      <c r="E17" s="1213"/>
      <c r="F17" s="1214"/>
      <c r="G17" s="1215"/>
      <c r="H17" s="1225"/>
      <c r="I17" s="1226">
        <f>ROUND(D17*E17*F17*G17/10000,0)</f>
        <v>0</v>
      </c>
    </row>
    <row r="18" spans="1:9" ht="14.25">
      <c r="A18" s="3265"/>
      <c r="B18" s="3266" t="s">
        <v>1075</v>
      </c>
      <c r="C18" s="3266"/>
      <c r="D18" s="1213"/>
      <c r="E18" s="1213"/>
      <c r="F18" s="1214"/>
      <c r="G18" s="1215"/>
      <c r="H18" s="1225"/>
      <c r="I18" s="1226">
        <f>ROUND(D18*E18*F18*G18/10000,0)</f>
        <v>0</v>
      </c>
    </row>
    <row r="19" spans="1:9" ht="14.25">
      <c r="A19" s="3265"/>
      <c r="B19" s="3266" t="s">
        <v>1076</v>
      </c>
      <c r="C19" s="3266"/>
      <c r="D19" s="1213"/>
      <c r="E19" s="1213"/>
      <c r="F19" s="1214"/>
      <c r="G19" s="1215"/>
      <c r="H19" s="1225"/>
      <c r="I19" s="1226">
        <f>ROUND(D19*E19*F19*G19/10000,0)</f>
        <v>0</v>
      </c>
    </row>
    <row r="20" spans="1:9">
      <c r="A20" s="3265"/>
      <c r="B20" s="3267" t="s">
        <v>1060</v>
      </c>
      <c r="C20" s="3267"/>
      <c r="D20" s="1217">
        <f>SUM(D17:D19)</f>
        <v>0</v>
      </c>
      <c r="E20" s="1217"/>
      <c r="F20" s="1218"/>
      <c r="G20" s="1215"/>
      <c r="H20" s="1222"/>
      <c r="I20" s="1223">
        <f>SUM(I17:I19)</f>
        <v>0</v>
      </c>
    </row>
    <row r="21" spans="1:9">
      <c r="A21" s="3265" t="s">
        <v>1077</v>
      </c>
      <c r="B21" s="3268"/>
      <c r="C21" s="3268"/>
      <c r="D21" s="3268"/>
      <c r="E21" s="3268"/>
      <c r="F21" s="3268"/>
      <c r="G21" s="3268"/>
      <c r="H21" s="1502">
        <v>0.1</v>
      </c>
      <c r="I21" s="1220">
        <f>ROUND(I10*H21,0)</f>
        <v>0</v>
      </c>
    </row>
    <row r="22" spans="1:9" ht="14.25">
      <c r="A22" s="3269" t="s">
        <v>1078</v>
      </c>
      <c r="B22" s="3270"/>
      <c r="C22" s="3271"/>
      <c r="D22" s="1227" t="s">
        <v>1079</v>
      </c>
      <c r="E22" s="1227" t="s">
        <v>1080</v>
      </c>
      <c r="F22" s="1228" t="s">
        <v>1081</v>
      </c>
      <c r="G22" s="1228" t="s">
        <v>1082</v>
      </c>
      <c r="H22" s="1221" t="s">
        <v>1083</v>
      </c>
      <c r="I22" s="1212" t="s">
        <v>1084</v>
      </c>
    </row>
    <row r="23" spans="1:9" ht="14.25" thickBot="1">
      <c r="A23" s="3272"/>
      <c r="B23" s="3273"/>
      <c r="C23" s="3274"/>
      <c r="D23" s="1229"/>
      <c r="E23" s="1229"/>
      <c r="F23" s="1229"/>
      <c r="G23" s="1230"/>
      <c r="H23" s="1231"/>
      <c r="I23" s="1232">
        <f>ROUND(E23*D23*F23*(1-G23)/10000,0)</f>
        <v>0</v>
      </c>
    </row>
    <row r="26" spans="1:9">
      <c r="A26" s="1233" t="s">
        <v>1085</v>
      </c>
      <c r="B26" s="1233"/>
      <c r="C26" s="1233"/>
      <c r="D26" s="1233"/>
      <c r="E26" s="3262">
        <f>C27-C30-C31-C32</f>
        <v>0</v>
      </c>
      <c r="F26" s="3262"/>
      <c r="G26" s="3262"/>
      <c r="H26" s="1499" t="s">
        <v>1306</v>
      </c>
    </row>
    <row r="27" spans="1:9">
      <c r="A27" s="1234">
        <v>1</v>
      </c>
      <c r="B27" s="1235" t="s">
        <v>1086</v>
      </c>
      <c r="C27" s="1235">
        <f>C28+C29</f>
        <v>0</v>
      </c>
      <c r="D27" s="1235"/>
      <c r="E27" s="3263"/>
      <c r="F27" s="3263"/>
      <c r="G27" s="3263"/>
    </row>
    <row r="28" spans="1:9">
      <c r="A28" s="1236" t="s">
        <v>1087</v>
      </c>
      <c r="B28" s="1235" t="s">
        <v>1088</v>
      </c>
      <c r="C28" s="1235"/>
      <c r="D28" s="1235"/>
      <c r="E28" s="3263"/>
      <c r="F28" s="3263"/>
      <c r="G28" s="3263"/>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64"/>
      <c r="F32" s="3264"/>
      <c r="G32" s="3264"/>
    </row>
    <row r="33" spans="1:7" hidden="1">
      <c r="A33" s="3259" t="s">
        <v>1097</v>
      </c>
      <c r="B33" s="3260"/>
      <c r="C33" s="3260"/>
      <c r="D33" s="3261"/>
      <c r="E33" s="3262"/>
      <c r="F33" s="3262"/>
      <c r="G33" s="3262"/>
    </row>
    <row r="34" spans="1:7" hidden="1">
      <c r="A34" s="1238">
        <v>1</v>
      </c>
      <c r="B34" s="1235" t="s">
        <v>1098</v>
      </c>
      <c r="C34" s="1235"/>
      <c r="D34" s="1235"/>
      <c r="E34" s="3263"/>
      <c r="F34" s="3263"/>
      <c r="G34" s="3263"/>
    </row>
    <row r="35" spans="1:7" hidden="1">
      <c r="A35" s="1238">
        <v>2</v>
      </c>
      <c r="B35" s="1235" t="s">
        <v>1099</v>
      </c>
      <c r="C35" s="1235"/>
      <c r="D35" s="1235"/>
      <c r="E35" s="3263"/>
      <c r="F35" s="3263"/>
      <c r="G35" s="3263"/>
    </row>
    <row r="36" spans="1:7" hidden="1">
      <c r="A36" s="1238">
        <v>3</v>
      </c>
      <c r="B36" s="1235" t="s">
        <v>1100</v>
      </c>
      <c r="C36" s="1235"/>
      <c r="D36" s="1235"/>
      <c r="E36" s="3263"/>
      <c r="F36" s="3263"/>
      <c r="G36" s="3263"/>
    </row>
    <row r="37" spans="1:7" hidden="1">
      <c r="A37" s="1238">
        <v>4</v>
      </c>
      <c r="B37" s="1235" t="s">
        <v>1101</v>
      </c>
      <c r="C37" s="1235"/>
      <c r="D37" s="1235"/>
      <c r="E37" s="3263"/>
      <c r="F37" s="3263"/>
      <c r="G37" s="3263"/>
    </row>
    <row r="38" spans="1:7" hidden="1">
      <c r="A38" s="3259" t="s">
        <v>1102</v>
      </c>
      <c r="B38" s="3260"/>
      <c r="C38" s="3260"/>
      <c r="D38" s="3261"/>
      <c r="E38" s="3262"/>
      <c r="F38" s="3262"/>
      <c r="G38" s="326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2350</v>
      </c>
      <c r="C1" s="1406" t="s">
        <v>2351</v>
      </c>
      <c r="D1" s="1393"/>
      <c r="E1" s="2544"/>
      <c r="F1" s="2065" t="s">
        <v>2352</v>
      </c>
      <c r="G1" s="1403" t="s">
        <v>2353</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2354</v>
      </c>
      <c r="F2" s="2069"/>
      <c r="G2" s="1038"/>
      <c r="H2" s="1038"/>
      <c r="I2" s="1038"/>
      <c r="J2" s="1038"/>
      <c r="K2" s="2070"/>
      <c r="L2" s="2942"/>
      <c r="M2" s="2943"/>
      <c r="N2" s="2943"/>
      <c r="O2" s="2943"/>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32069.72</v>
      </c>
      <c r="E3" s="1038"/>
      <c r="F3" s="2074"/>
      <c r="G3" s="1038"/>
      <c r="H3" s="1038"/>
      <c r="I3" s="1038"/>
      <c r="J3" s="1038"/>
      <c r="K3" s="2070"/>
      <c r="L3" s="2942"/>
      <c r="M3" s="2943"/>
      <c r="N3" s="2943"/>
      <c r="O3" s="2943"/>
      <c r="P3" s="2071"/>
      <c r="Q3" s="2072"/>
      <c r="R3" s="2072"/>
      <c r="S3" s="2072"/>
      <c r="T3" s="2072"/>
      <c r="U3" s="2072"/>
      <c r="V3" s="2072"/>
      <c r="W3" s="2072"/>
      <c r="X3" s="2072"/>
      <c r="Y3" s="2072"/>
      <c r="Z3" s="2072"/>
      <c r="AA3" s="2072"/>
      <c r="AB3" s="2072"/>
      <c r="AC3" s="1192"/>
    </row>
    <row r="4" spans="1:29" ht="15">
      <c r="A4" s="361" t="s">
        <v>2356</v>
      </c>
      <c r="B4" s="362"/>
      <c r="C4" s="3298" t="s">
        <v>2357</v>
      </c>
      <c r="D4" s="3299"/>
      <c r="E4" s="3300" t="s">
        <v>2358</v>
      </c>
      <c r="F4" s="3301"/>
      <c r="G4" s="3298" t="s">
        <v>2359</v>
      </c>
      <c r="H4" s="3299"/>
      <c r="I4" s="3298" t="s">
        <v>2360</v>
      </c>
      <c r="J4" s="3299"/>
      <c r="K4" s="2075" t="s">
        <v>2361</v>
      </c>
      <c r="L4" s="2944"/>
      <c r="M4" s="2945"/>
      <c r="N4" s="2945"/>
      <c r="O4" s="2945"/>
      <c r="P4" s="3302" t="s">
        <v>2362</v>
      </c>
      <c r="Q4" s="3303"/>
      <c r="R4" s="3308" t="s">
        <v>2358</v>
      </c>
      <c r="S4" s="3309"/>
      <c r="T4" s="3308" t="s">
        <v>2359</v>
      </c>
      <c r="U4" s="3309"/>
      <c r="V4" s="3314" t="s">
        <v>2360</v>
      </c>
      <c r="W4" s="3314"/>
      <c r="X4" s="1539"/>
      <c r="Y4" s="3308" t="s">
        <v>2362</v>
      </c>
      <c r="Z4" s="3309"/>
      <c r="AA4" s="3295" t="s">
        <v>2358</v>
      </c>
      <c r="AB4" s="3295" t="s">
        <v>2359</v>
      </c>
      <c r="AC4" s="3295" t="s">
        <v>2360</v>
      </c>
    </row>
    <row r="5" spans="1:29" ht="15">
      <c r="A5" s="364"/>
      <c r="B5" s="365"/>
      <c r="C5" s="3317" t="s">
        <v>2363</v>
      </c>
      <c r="D5" s="3318"/>
      <c r="E5" s="3324" t="s">
        <v>2364</v>
      </c>
      <c r="F5" s="3325"/>
      <c r="G5" s="3317" t="s">
        <v>2365</v>
      </c>
      <c r="H5" s="3318"/>
      <c r="I5" s="3317" t="s">
        <v>2366</v>
      </c>
      <c r="J5" s="3318"/>
      <c r="K5" s="2076"/>
      <c r="L5" s="2944"/>
      <c r="M5" s="2945"/>
      <c r="N5" s="2945"/>
      <c r="O5" s="2945"/>
      <c r="P5" s="3304"/>
      <c r="Q5" s="3305"/>
      <c r="R5" s="3310"/>
      <c r="S5" s="3311"/>
      <c r="T5" s="3310"/>
      <c r="U5" s="3311"/>
      <c r="V5" s="3314"/>
      <c r="W5" s="3314"/>
      <c r="X5" s="1539"/>
      <c r="Y5" s="3310"/>
      <c r="Z5" s="3311"/>
      <c r="AA5" s="3296"/>
      <c r="AB5" s="3296"/>
      <c r="AC5" s="3296"/>
    </row>
    <row r="6" spans="1:29" ht="15.75" thickBot="1">
      <c r="A6" s="366"/>
      <c r="B6" s="367"/>
      <c r="C6" s="3315" t="s">
        <v>2367</v>
      </c>
      <c r="D6" s="3316"/>
      <c r="E6" s="3322" t="s">
        <v>2367</v>
      </c>
      <c r="F6" s="3323"/>
      <c r="G6" s="3315" t="s">
        <v>2367</v>
      </c>
      <c r="H6" s="3316"/>
      <c r="I6" s="3315" t="s">
        <v>2367</v>
      </c>
      <c r="J6" s="3316"/>
      <c r="K6" s="2076" t="s">
        <v>2368</v>
      </c>
      <c r="L6" s="2944"/>
      <c r="M6" s="2945"/>
      <c r="N6" s="2945"/>
      <c r="O6" s="2945"/>
      <c r="P6" s="3306"/>
      <c r="Q6" s="3307"/>
      <c r="R6" s="3310"/>
      <c r="S6" s="3311"/>
      <c r="T6" s="3312"/>
      <c r="U6" s="3313"/>
      <c r="V6" s="3314"/>
      <c r="W6" s="3314"/>
      <c r="X6" s="1539"/>
      <c r="Y6" s="3312"/>
      <c r="Z6" s="3313"/>
      <c r="AA6" s="3297"/>
      <c r="AB6" s="3297"/>
      <c r="AC6" s="3297"/>
    </row>
    <row r="7" spans="1:29" s="113" customFormat="1" ht="15.75" thickBot="1">
      <c r="A7" s="368" t="s">
        <v>2369</v>
      </c>
      <c r="B7" s="369"/>
      <c r="C7" s="370">
        <f>'数据-取费表'!B2</f>
        <v>44371</v>
      </c>
      <c r="D7" s="371">
        <v>100</v>
      </c>
      <c r="E7" s="372"/>
      <c r="F7" s="373">
        <f>SUMIF(58:58,YEAR(E7)&amp;"-"&amp;MONTH(E7),59:59)</f>
        <v>0</v>
      </c>
      <c r="G7" s="372"/>
      <c r="H7" s="371">
        <f>SUMIF(58:58,YEAR(G7)&amp;"-"&amp;MONTH(G7),59:59)</f>
        <v>0</v>
      </c>
      <c r="I7" s="372"/>
      <c r="J7" s="371">
        <f>SUMIF(58:58,YEAR(I7)&amp;"-"&amp;MONTH(I7),59:59)</f>
        <v>0</v>
      </c>
      <c r="K7" s="2077"/>
      <c r="L7" s="2946"/>
      <c r="M7" s="2947"/>
      <c r="N7" s="2947"/>
      <c r="O7" s="2947"/>
      <c r="P7" s="3319" t="s">
        <v>2370</v>
      </c>
      <c r="Q7" s="3321"/>
      <c r="R7" s="710" t="s">
        <v>23</v>
      </c>
      <c r="S7" s="711">
        <f t="shared" ref="S7:S15" si="0">F7</f>
        <v>0</v>
      </c>
      <c r="T7" s="710" t="s">
        <v>23</v>
      </c>
      <c r="U7" s="711">
        <f t="shared" ref="U7:U15" si="1">H7</f>
        <v>0</v>
      </c>
      <c r="V7" s="710" t="s">
        <v>23</v>
      </c>
      <c r="W7" s="711">
        <f t="shared" ref="W7:W15" si="2">J7</f>
        <v>0</v>
      </c>
      <c r="X7" s="712"/>
      <c r="Y7" s="3319" t="s">
        <v>2370</v>
      </c>
      <c r="Z7" s="3320"/>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6"/>
      <c r="M8" s="2947"/>
      <c r="N8" s="2947"/>
      <c r="O8" s="2947"/>
      <c r="P8" s="3319" t="s">
        <v>2373</v>
      </c>
      <c r="Q8" s="3320"/>
      <c r="R8" s="710" t="s">
        <v>23</v>
      </c>
      <c r="S8" s="711">
        <f t="shared" si="0"/>
        <v>0</v>
      </c>
      <c r="T8" s="710" t="s">
        <v>23</v>
      </c>
      <c r="U8" s="711">
        <f t="shared" si="1"/>
        <v>0</v>
      </c>
      <c r="V8" s="710" t="s">
        <v>23</v>
      </c>
      <c r="W8" s="711">
        <f t="shared" si="2"/>
        <v>0</v>
      </c>
      <c r="X8" s="712"/>
      <c r="Y8" s="3319" t="s">
        <v>2373</v>
      </c>
      <c r="Z8" s="3320"/>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6"/>
      <c r="M9" s="2947"/>
      <c r="N9" s="2947"/>
      <c r="O9" s="2947"/>
      <c r="P9" s="3294"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8"/>
      <c r="M10" s="2949"/>
      <c r="N10" s="2949"/>
      <c r="O10" s="2949"/>
      <c r="P10" s="3294"/>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0"/>
      <c r="M11" s="2945"/>
      <c r="N11" s="2945"/>
      <c r="O11" s="2945"/>
      <c r="P11" s="3294"/>
      <c r="Q11" s="1527" t="str">
        <f t="shared" si="6"/>
        <v>容积率</v>
      </c>
      <c r="R11" s="710" t="s">
        <v>21</v>
      </c>
      <c r="S11" s="711" t="e">
        <f t="shared" si="0"/>
        <v>#N/A</v>
      </c>
      <c r="T11" s="710" t="s">
        <v>21</v>
      </c>
      <c r="U11" s="711" t="e">
        <f t="shared" si="1"/>
        <v>#N/A</v>
      </c>
      <c r="V11" s="710" t="s">
        <v>21</v>
      </c>
      <c r="W11" s="711" t="e">
        <f t="shared" si="2"/>
        <v>#N/A</v>
      </c>
      <c r="X11" s="712"/>
      <c r="Y11" s="3153"/>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6"/>
      <c r="M12" s="2947"/>
      <c r="N12" s="2947"/>
      <c r="O12" s="2947"/>
      <c r="P12" s="3294"/>
      <c r="Q12" s="1527">
        <f t="shared" si="6"/>
        <v>111</v>
      </c>
      <c r="R12" s="710" t="s">
        <v>21</v>
      </c>
      <c r="S12" s="711">
        <f t="shared" si="0"/>
        <v>100</v>
      </c>
      <c r="T12" s="710" t="s">
        <v>21</v>
      </c>
      <c r="U12" s="711">
        <f t="shared" si="1"/>
        <v>100</v>
      </c>
      <c r="V12" s="710" t="s">
        <v>21</v>
      </c>
      <c r="W12" s="711">
        <f t="shared" si="2"/>
        <v>100</v>
      </c>
      <c r="X12" s="712"/>
      <c r="Y12" s="3153"/>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1"/>
      <c r="M13" s="2945"/>
      <c r="N13" s="2945"/>
      <c r="O13" s="2945"/>
      <c r="P13" s="3294"/>
      <c r="Q13" s="1527">
        <f t="shared" si="6"/>
        <v>111</v>
      </c>
      <c r="R13" s="710" t="s">
        <v>21</v>
      </c>
      <c r="S13" s="711">
        <f t="shared" si="0"/>
        <v>100</v>
      </c>
      <c r="T13" s="710" t="s">
        <v>21</v>
      </c>
      <c r="U13" s="711">
        <f t="shared" si="1"/>
        <v>100</v>
      </c>
      <c r="V13" s="710" t="s">
        <v>21</v>
      </c>
      <c r="W13" s="711">
        <f t="shared" si="2"/>
        <v>100</v>
      </c>
      <c r="X13" s="712"/>
      <c r="Y13" s="3153"/>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1"/>
      <c r="M14" s="2945"/>
      <c r="N14" s="2945"/>
      <c r="O14" s="2945"/>
      <c r="P14" s="3294"/>
      <c r="Q14" s="1527">
        <f t="shared" si="6"/>
        <v>111</v>
      </c>
      <c r="R14" s="710" t="s">
        <v>21</v>
      </c>
      <c r="S14" s="711">
        <f t="shared" si="0"/>
        <v>100</v>
      </c>
      <c r="T14" s="710" t="s">
        <v>21</v>
      </c>
      <c r="U14" s="711">
        <f t="shared" si="1"/>
        <v>100</v>
      </c>
      <c r="V14" s="710" t="s">
        <v>21</v>
      </c>
      <c r="W14" s="711">
        <f t="shared" si="2"/>
        <v>100</v>
      </c>
      <c r="X14" s="712"/>
      <c r="Y14" s="3153"/>
      <c r="Z14" s="55">
        <f t="shared" si="7"/>
        <v>111</v>
      </c>
      <c r="AA14" s="713">
        <f t="shared" si="3"/>
        <v>1</v>
      </c>
      <c r="AB14" s="713">
        <f t="shared" si="4"/>
        <v>1</v>
      </c>
      <c r="AC14" s="713">
        <f t="shared" si="5"/>
        <v>1</v>
      </c>
    </row>
    <row r="15" spans="1:29" ht="99.75">
      <c r="A15" s="399" t="s">
        <v>2380</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1"/>
      <c r="M15" s="2945"/>
      <c r="N15" s="2945"/>
      <c r="O15" s="2945"/>
      <c r="P15" s="3292" t="s">
        <v>2381</v>
      </c>
      <c r="Q15" s="1536" t="str">
        <f t="shared" si="6"/>
        <v>居住社区成熟度</v>
      </c>
      <c r="R15" s="714" t="s">
        <v>21</v>
      </c>
      <c r="S15" s="715">
        <f t="shared" si="0"/>
        <v>100</v>
      </c>
      <c r="T15" s="714" t="s">
        <v>21</v>
      </c>
      <c r="U15" s="715">
        <f t="shared" si="1"/>
        <v>100</v>
      </c>
      <c r="V15" s="714" t="s">
        <v>21</v>
      </c>
      <c r="W15" s="715">
        <f t="shared" si="2"/>
        <v>100</v>
      </c>
      <c r="X15" s="1539"/>
      <c r="Y15" s="3285"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1"/>
      <c r="M16" s="2945"/>
      <c r="N16" s="2945"/>
      <c r="O16" s="2945"/>
      <c r="P16" s="3293"/>
      <c r="Q16" s="1536"/>
      <c r="R16" s="714"/>
      <c r="S16" s="715"/>
      <c r="T16" s="714"/>
      <c r="U16" s="715"/>
      <c r="V16" s="714"/>
      <c r="W16" s="715"/>
      <c r="X16" s="1539"/>
      <c r="Y16" s="3286"/>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1"/>
      <c r="M17" s="2945"/>
      <c r="N17" s="2945"/>
      <c r="O17" s="2945"/>
      <c r="P17" s="3293"/>
      <c r="Q17" s="1536" t="str">
        <f>B17</f>
        <v>交通便捷度</v>
      </c>
      <c r="R17" s="714" t="s">
        <v>21</v>
      </c>
      <c r="S17" s="715">
        <f>F17</f>
        <v>100</v>
      </c>
      <c r="T17" s="714" t="s">
        <v>21</v>
      </c>
      <c r="U17" s="715">
        <f>H17</f>
        <v>100</v>
      </c>
      <c r="V17" s="714" t="s">
        <v>21</v>
      </c>
      <c r="W17" s="715">
        <f>J17</f>
        <v>100</v>
      </c>
      <c r="X17" s="1539"/>
      <c r="Y17" s="3286"/>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1"/>
      <c r="M18" s="2945"/>
      <c r="N18" s="2945"/>
      <c r="O18" s="2945"/>
      <c r="P18" s="3293"/>
      <c r="Q18" s="1536"/>
      <c r="R18" s="714"/>
      <c r="S18" s="715"/>
      <c r="T18" s="714"/>
      <c r="U18" s="715"/>
      <c r="V18" s="714"/>
      <c r="W18" s="715"/>
      <c r="X18" s="1539"/>
      <c r="Y18" s="3286"/>
      <c r="Z18" s="1540"/>
      <c r="AA18" s="1537">
        <v>1</v>
      </c>
      <c r="AB18" s="1537">
        <v>1</v>
      </c>
      <c r="AC18" s="1537">
        <v>1</v>
      </c>
    </row>
    <row r="19" spans="1:29" ht="42.75">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1"/>
      <c r="M19" s="2945"/>
      <c r="N19" s="2945"/>
      <c r="O19" s="2945"/>
      <c r="P19" s="3293"/>
      <c r="Q19" s="1536" t="str">
        <f>B19</f>
        <v>公共配套设施</v>
      </c>
      <c r="R19" s="714" t="s">
        <v>21</v>
      </c>
      <c r="S19" s="715">
        <f>F19</f>
        <v>100</v>
      </c>
      <c r="T19" s="714" t="s">
        <v>21</v>
      </c>
      <c r="U19" s="715">
        <f>H19</f>
        <v>100</v>
      </c>
      <c r="V19" s="714" t="s">
        <v>21</v>
      </c>
      <c r="W19" s="715">
        <f>J19</f>
        <v>100</v>
      </c>
      <c r="X19" s="1539"/>
      <c r="Y19" s="3286"/>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1"/>
      <c r="M20" s="2945"/>
      <c r="N20" s="2945"/>
      <c r="O20" s="2945"/>
      <c r="P20" s="3293"/>
      <c r="Q20" s="1536"/>
      <c r="R20" s="714"/>
      <c r="S20" s="715"/>
      <c r="T20" s="714"/>
      <c r="U20" s="715"/>
      <c r="V20" s="714"/>
      <c r="W20" s="715"/>
      <c r="X20" s="1539"/>
      <c r="Y20" s="3286"/>
      <c r="Z20" s="1540"/>
      <c r="AA20" s="1537">
        <v>1</v>
      </c>
      <c r="AB20" s="1537">
        <v>1</v>
      </c>
      <c r="AC20" s="1537">
        <v>1</v>
      </c>
    </row>
    <row r="21" spans="1:29" ht="28.5">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1"/>
      <c r="M21" s="2945"/>
      <c r="N21" s="2945"/>
      <c r="O21" s="2945"/>
      <c r="P21" s="3293"/>
      <c r="Q21" s="1536" t="str">
        <f>B21</f>
        <v>基础设施水平</v>
      </c>
      <c r="R21" s="714" t="s">
        <v>17</v>
      </c>
      <c r="S21" s="715">
        <f>F21</f>
        <v>100</v>
      </c>
      <c r="T21" s="714" t="s">
        <v>17</v>
      </c>
      <c r="U21" s="715">
        <f>H21</f>
        <v>100</v>
      </c>
      <c r="V21" s="714" t="s">
        <v>17</v>
      </c>
      <c r="W21" s="715">
        <f>J21</f>
        <v>100</v>
      </c>
      <c r="X21" s="1539"/>
      <c r="Y21" s="328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1"/>
      <c r="M22" s="2945"/>
      <c r="N22" s="2945"/>
      <c r="O22" s="2945"/>
      <c r="P22" s="3293"/>
      <c r="Q22" s="1536"/>
      <c r="R22" s="714"/>
      <c r="S22" s="715"/>
      <c r="T22" s="714"/>
      <c r="U22" s="715"/>
      <c r="V22" s="714"/>
      <c r="W22" s="715"/>
      <c r="X22" s="1539"/>
      <c r="Y22" s="3286"/>
      <c r="Z22" s="1540"/>
      <c r="AA22" s="1537">
        <v>1</v>
      </c>
      <c r="AB22" s="1537">
        <v>1</v>
      </c>
      <c r="AC22" s="1537">
        <v>1</v>
      </c>
    </row>
    <row r="23" spans="1:29" ht="57">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1"/>
      <c r="M23" s="2945"/>
      <c r="N23" s="2945"/>
      <c r="O23" s="2945"/>
      <c r="P23" s="3293"/>
      <c r="Q23" s="1536" t="str">
        <f>B23</f>
        <v>自然及人文环境</v>
      </c>
      <c r="R23" s="714" t="s">
        <v>21</v>
      </c>
      <c r="S23" s="715">
        <f>F23</f>
        <v>100</v>
      </c>
      <c r="T23" s="714" t="s">
        <v>21</v>
      </c>
      <c r="U23" s="715">
        <f>H23</f>
        <v>100</v>
      </c>
      <c r="V23" s="714" t="s">
        <v>21</v>
      </c>
      <c r="W23" s="715">
        <f>J23</f>
        <v>100</v>
      </c>
      <c r="X23" s="1539"/>
      <c r="Y23" s="3286"/>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1"/>
      <c r="M24" s="2945"/>
      <c r="N24" s="2945"/>
      <c r="O24" s="2945"/>
      <c r="P24" s="3293"/>
      <c r="Q24" s="1536"/>
      <c r="R24" s="714"/>
      <c r="S24" s="715"/>
      <c r="T24" s="714"/>
      <c r="U24" s="715"/>
      <c r="V24" s="714"/>
      <c r="W24" s="715"/>
      <c r="X24" s="1539"/>
      <c r="Y24" s="3286"/>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51"/>
      <c r="M25" s="2945"/>
      <c r="N25" s="2945"/>
      <c r="O25" s="2945"/>
      <c r="P25" s="3293"/>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286"/>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51"/>
      <c r="M26" s="2945"/>
      <c r="N26" s="2945"/>
      <c r="O26" s="2945"/>
      <c r="P26" s="3293"/>
      <c r="Q26" s="1536" t="str">
        <f t="shared" si="11"/>
        <v>朝向</v>
      </c>
      <c r="R26" s="714" t="s">
        <v>21</v>
      </c>
      <c r="S26" s="715">
        <f t="shared" si="12"/>
        <v>100</v>
      </c>
      <c r="T26" s="714" t="s">
        <v>21</v>
      </c>
      <c r="U26" s="715">
        <f t="shared" si="13"/>
        <v>100</v>
      </c>
      <c r="V26" s="714" t="s">
        <v>21</v>
      </c>
      <c r="W26" s="715">
        <f t="shared" si="14"/>
        <v>100</v>
      </c>
      <c r="X26" s="1539"/>
      <c r="Y26" s="3286"/>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6"/>
      <c r="M27" s="2947"/>
      <c r="N27" s="2947"/>
      <c r="O27" s="2947"/>
      <c r="P27" s="3293"/>
      <c r="Q27" s="1527">
        <f t="shared" si="11"/>
        <v>111</v>
      </c>
      <c r="R27" s="710" t="s">
        <v>21</v>
      </c>
      <c r="S27" s="711">
        <f t="shared" si="12"/>
        <v>100</v>
      </c>
      <c r="T27" s="710" t="s">
        <v>21</v>
      </c>
      <c r="U27" s="711">
        <f t="shared" si="13"/>
        <v>100</v>
      </c>
      <c r="V27" s="710" t="s">
        <v>21</v>
      </c>
      <c r="W27" s="711">
        <f t="shared" si="14"/>
        <v>100</v>
      </c>
      <c r="X27" s="712"/>
      <c r="Y27" s="3286"/>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1"/>
      <c r="M28" s="2945"/>
      <c r="N28" s="2945"/>
      <c r="O28" s="2945"/>
      <c r="P28" s="3293"/>
      <c r="Q28" s="1536">
        <f t="shared" si="11"/>
        <v>111</v>
      </c>
      <c r="R28" s="714" t="s">
        <v>21</v>
      </c>
      <c r="S28" s="715">
        <f t="shared" si="12"/>
        <v>100</v>
      </c>
      <c r="T28" s="714" t="s">
        <v>21</v>
      </c>
      <c r="U28" s="715">
        <f t="shared" si="13"/>
        <v>100</v>
      </c>
      <c r="V28" s="714" t="s">
        <v>21</v>
      </c>
      <c r="W28" s="715">
        <f t="shared" si="14"/>
        <v>100</v>
      </c>
      <c r="X28" s="1539"/>
      <c r="Y28" s="3286"/>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1"/>
      <c r="M29" s="2945"/>
      <c r="N29" s="2945"/>
      <c r="O29" s="2945"/>
      <c r="P29" s="3293"/>
      <c r="Q29" s="1536">
        <f t="shared" si="11"/>
        <v>111</v>
      </c>
      <c r="R29" s="714" t="s">
        <v>21</v>
      </c>
      <c r="S29" s="715">
        <f t="shared" si="12"/>
        <v>100</v>
      </c>
      <c r="T29" s="714" t="s">
        <v>21</v>
      </c>
      <c r="U29" s="715">
        <f t="shared" si="13"/>
        <v>100</v>
      </c>
      <c r="V29" s="714" t="s">
        <v>21</v>
      </c>
      <c r="W29" s="715">
        <f t="shared" si="14"/>
        <v>100</v>
      </c>
      <c r="X29" s="1539"/>
      <c r="Y29" s="3286"/>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1"/>
      <c r="M30" s="2945"/>
      <c r="N30" s="2945"/>
      <c r="O30" s="2945"/>
      <c r="P30" s="3293"/>
      <c r="Q30" s="1536">
        <f t="shared" si="11"/>
        <v>111</v>
      </c>
      <c r="R30" s="714" t="s">
        <v>21</v>
      </c>
      <c r="S30" s="715">
        <f t="shared" si="12"/>
        <v>100</v>
      </c>
      <c r="T30" s="714" t="s">
        <v>21</v>
      </c>
      <c r="U30" s="715">
        <f t="shared" si="13"/>
        <v>100</v>
      </c>
      <c r="V30" s="714" t="s">
        <v>21</v>
      </c>
      <c r="W30" s="715">
        <f t="shared" si="14"/>
        <v>100</v>
      </c>
      <c r="X30" s="1539"/>
      <c r="Y30" s="3286"/>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1"/>
      <c r="M31" s="2945"/>
      <c r="N31" s="2945"/>
      <c r="O31" s="2945"/>
      <c r="P31" s="3293"/>
      <c r="Q31" s="1536">
        <f t="shared" si="11"/>
        <v>111</v>
      </c>
      <c r="R31" s="714" t="s">
        <v>21</v>
      </c>
      <c r="S31" s="715">
        <f t="shared" si="12"/>
        <v>100</v>
      </c>
      <c r="T31" s="714" t="s">
        <v>21</v>
      </c>
      <c r="U31" s="715">
        <f t="shared" si="13"/>
        <v>100</v>
      </c>
      <c r="V31" s="714" t="s">
        <v>21</v>
      </c>
      <c r="W31" s="715">
        <f t="shared" si="14"/>
        <v>100</v>
      </c>
      <c r="X31" s="1539"/>
      <c r="Y31" s="3286"/>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1"/>
      <c r="M32" s="2945"/>
      <c r="N32" s="2945"/>
      <c r="O32" s="2945"/>
      <c r="P32" s="3287" t="s">
        <v>2386</v>
      </c>
      <c r="Q32" s="1536" t="str">
        <f t="shared" si="11"/>
        <v>建筑类型</v>
      </c>
      <c r="R32" s="714" t="s">
        <v>21</v>
      </c>
      <c r="S32" s="715">
        <f t="shared" si="12"/>
        <v>100</v>
      </c>
      <c r="T32" s="714" t="s">
        <v>21</v>
      </c>
      <c r="U32" s="715">
        <f t="shared" si="13"/>
        <v>100</v>
      </c>
      <c r="V32" s="714" t="s">
        <v>21</v>
      </c>
      <c r="W32" s="715">
        <f t="shared" si="14"/>
        <v>100</v>
      </c>
      <c r="X32" s="1539"/>
      <c r="Y32" s="3290"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50"/>
      <c r="M33" s="2952"/>
      <c r="N33" s="2952"/>
      <c r="O33" s="2952"/>
      <c r="P33" s="3288"/>
      <c r="Q33" s="716" t="str">
        <f t="shared" si="11"/>
        <v>项目建筑规模</v>
      </c>
      <c r="R33" s="717" t="s">
        <v>21</v>
      </c>
      <c r="S33" s="718" t="e">
        <f t="shared" si="12"/>
        <v>#N/A</v>
      </c>
      <c r="T33" s="717" t="s">
        <v>21</v>
      </c>
      <c r="U33" s="718" t="e">
        <f t="shared" si="13"/>
        <v>#N/A</v>
      </c>
      <c r="V33" s="717" t="s">
        <v>21</v>
      </c>
      <c r="W33" s="718" t="e">
        <f t="shared" si="14"/>
        <v>#N/A</v>
      </c>
      <c r="X33" s="719"/>
      <c r="Y33" s="3290"/>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1"/>
      <c r="M34" s="2945"/>
      <c r="N34" s="2945"/>
      <c r="O34" s="2945"/>
      <c r="P34" s="3288"/>
      <c r="Q34" s="1536" t="str">
        <f t="shared" si="11"/>
        <v>建筑结构</v>
      </c>
      <c r="R34" s="714" t="s">
        <v>21</v>
      </c>
      <c r="S34" s="715">
        <f t="shared" si="12"/>
        <v>100</v>
      </c>
      <c r="T34" s="714" t="s">
        <v>21</v>
      </c>
      <c r="U34" s="715">
        <f t="shared" si="13"/>
        <v>100</v>
      </c>
      <c r="V34" s="714" t="s">
        <v>21</v>
      </c>
      <c r="W34" s="715">
        <f t="shared" si="14"/>
        <v>100</v>
      </c>
      <c r="X34" s="1539"/>
      <c r="Y34" s="3290"/>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1"/>
      <c r="M35" s="2945"/>
      <c r="N35" s="2945"/>
      <c r="O35" s="2945"/>
      <c r="P35" s="3288"/>
      <c r="Q35" s="1536" t="str">
        <f t="shared" si="11"/>
        <v>建筑品质</v>
      </c>
      <c r="R35" s="714" t="s">
        <v>21</v>
      </c>
      <c r="S35" s="715">
        <f t="shared" si="12"/>
        <v>100</v>
      </c>
      <c r="T35" s="714" t="s">
        <v>21</v>
      </c>
      <c r="U35" s="715">
        <f t="shared" si="13"/>
        <v>100</v>
      </c>
      <c r="V35" s="714" t="s">
        <v>21</v>
      </c>
      <c r="W35" s="715">
        <f t="shared" si="14"/>
        <v>100</v>
      </c>
      <c r="X35" s="1539"/>
      <c r="Y35" s="3290"/>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1"/>
      <c r="M36" s="2945"/>
      <c r="N36" s="2945"/>
      <c r="O36" s="2945"/>
      <c r="P36" s="3288"/>
      <c r="Q36" s="1536" t="str">
        <f t="shared" si="11"/>
        <v>公共部分装修</v>
      </c>
      <c r="R36" s="714" t="s">
        <v>21</v>
      </c>
      <c r="S36" s="715">
        <f t="shared" si="12"/>
        <v>100</v>
      </c>
      <c r="T36" s="714" t="s">
        <v>21</v>
      </c>
      <c r="U36" s="715">
        <f t="shared" si="13"/>
        <v>100</v>
      </c>
      <c r="V36" s="714" t="s">
        <v>21</v>
      </c>
      <c r="W36" s="715">
        <f t="shared" si="14"/>
        <v>100</v>
      </c>
      <c r="X36" s="1539"/>
      <c r="Y36" s="3290"/>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6"/>
      <c r="M37" s="2947"/>
      <c r="N37" s="2947"/>
      <c r="O37" s="2947"/>
      <c r="P37" s="3288"/>
      <c r="Q37" s="1527" t="str">
        <f t="shared" si="11"/>
        <v>成新度</v>
      </c>
      <c r="R37" s="710" t="s">
        <v>21</v>
      </c>
      <c r="S37" s="711" t="e">
        <f t="shared" si="12"/>
        <v>#N/A</v>
      </c>
      <c r="T37" s="710" t="s">
        <v>21</v>
      </c>
      <c r="U37" s="711" t="e">
        <f t="shared" si="13"/>
        <v>#N/A</v>
      </c>
      <c r="V37" s="710" t="s">
        <v>21</v>
      </c>
      <c r="W37" s="711" t="e">
        <f t="shared" si="14"/>
        <v>#N/A</v>
      </c>
      <c r="X37" s="712"/>
      <c r="Y37" s="3290"/>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1"/>
      <c r="M38" s="2945"/>
      <c r="N38" s="2945"/>
      <c r="O38" s="2945"/>
      <c r="P38" s="3288" t="s">
        <v>2386</v>
      </c>
      <c r="Q38" s="1536" t="str">
        <f t="shared" si="11"/>
        <v>物业管理</v>
      </c>
      <c r="R38" s="714" t="s">
        <v>21</v>
      </c>
      <c r="S38" s="715">
        <f t="shared" si="12"/>
        <v>100</v>
      </c>
      <c r="T38" s="714" t="s">
        <v>21</v>
      </c>
      <c r="U38" s="715">
        <f t="shared" si="13"/>
        <v>100</v>
      </c>
      <c r="V38" s="714" t="s">
        <v>21</v>
      </c>
      <c r="W38" s="715">
        <f t="shared" si="14"/>
        <v>100</v>
      </c>
      <c r="X38" s="1539"/>
      <c r="Y38" s="3290"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1"/>
      <c r="M39" s="2945"/>
      <c r="N39" s="2945"/>
      <c r="O39" s="2945"/>
      <c r="P39" s="3288"/>
      <c r="Q39" s="1536" t="str">
        <f t="shared" si="11"/>
        <v>市政基础设施</v>
      </c>
      <c r="R39" s="714" t="s">
        <v>21</v>
      </c>
      <c r="S39" s="715">
        <f t="shared" si="12"/>
        <v>100</v>
      </c>
      <c r="T39" s="714" t="s">
        <v>21</v>
      </c>
      <c r="U39" s="715">
        <f t="shared" si="13"/>
        <v>100</v>
      </c>
      <c r="V39" s="714" t="s">
        <v>21</v>
      </c>
      <c r="W39" s="715">
        <f t="shared" si="14"/>
        <v>100</v>
      </c>
      <c r="X39" s="1539"/>
      <c r="Y39" s="3290"/>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1"/>
      <c r="M40" s="2945"/>
      <c r="N40" s="2945"/>
      <c r="O40" s="2945"/>
      <c r="P40" s="3288"/>
      <c r="Q40" s="1536" t="str">
        <f t="shared" si="11"/>
        <v>房型</v>
      </c>
      <c r="R40" s="714" t="s">
        <v>21</v>
      </c>
      <c r="S40" s="715">
        <f t="shared" si="12"/>
        <v>100</v>
      </c>
      <c r="T40" s="714" t="s">
        <v>21</v>
      </c>
      <c r="U40" s="715">
        <f t="shared" si="13"/>
        <v>100</v>
      </c>
      <c r="V40" s="714" t="s">
        <v>21</v>
      </c>
      <c r="W40" s="715">
        <f t="shared" si="14"/>
        <v>100</v>
      </c>
      <c r="X40" s="1539"/>
      <c r="Y40" s="3290"/>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50"/>
      <c r="M41" s="2952"/>
      <c r="N41" s="2952"/>
      <c r="O41" s="2952"/>
      <c r="P41" s="3288"/>
      <c r="Q41" s="716" t="str">
        <f t="shared" si="11"/>
        <v>单套/主力户型建筑面积</v>
      </c>
      <c r="R41" s="717" t="s">
        <v>21</v>
      </c>
      <c r="S41" s="718">
        <f t="shared" si="12"/>
        <v>100</v>
      </c>
      <c r="T41" s="717" t="s">
        <v>21</v>
      </c>
      <c r="U41" s="718">
        <f t="shared" si="13"/>
        <v>100</v>
      </c>
      <c r="V41" s="717" t="s">
        <v>21</v>
      </c>
      <c r="W41" s="718">
        <f t="shared" si="14"/>
        <v>100</v>
      </c>
      <c r="X41" s="719"/>
      <c r="Y41" s="3290"/>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1"/>
      <c r="M42" s="2945"/>
      <c r="N42" s="2945"/>
      <c r="O42" s="2945"/>
      <c r="P42" s="3288"/>
      <c r="Q42" s="1536" t="str">
        <f t="shared" si="11"/>
        <v>内部装修</v>
      </c>
      <c r="R42" s="714" t="s">
        <v>21</v>
      </c>
      <c r="S42" s="715">
        <f t="shared" si="12"/>
        <v>100</v>
      </c>
      <c r="T42" s="714" t="s">
        <v>21</v>
      </c>
      <c r="U42" s="715">
        <f t="shared" si="13"/>
        <v>100</v>
      </c>
      <c r="V42" s="714" t="s">
        <v>21</v>
      </c>
      <c r="W42" s="715">
        <f t="shared" si="14"/>
        <v>100</v>
      </c>
      <c r="X42" s="1539"/>
      <c r="Y42" s="3290"/>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1"/>
      <c r="M43" s="2945"/>
      <c r="N43" s="2945"/>
      <c r="O43" s="2945"/>
      <c r="P43" s="3288"/>
      <c r="Q43" s="1536" t="str">
        <f t="shared" si="11"/>
        <v>内部装修维护情况</v>
      </c>
      <c r="R43" s="714" t="s">
        <v>21</v>
      </c>
      <c r="S43" s="715">
        <f t="shared" si="12"/>
        <v>100</v>
      </c>
      <c r="T43" s="714" t="s">
        <v>21</v>
      </c>
      <c r="U43" s="715">
        <f t="shared" si="13"/>
        <v>100</v>
      </c>
      <c r="V43" s="714" t="s">
        <v>21</v>
      </c>
      <c r="W43" s="715">
        <f t="shared" si="14"/>
        <v>100</v>
      </c>
      <c r="X43" s="1539"/>
      <c r="Y43" s="3290"/>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6"/>
      <c r="M44" s="2947"/>
      <c r="N44" s="2947"/>
      <c r="O44" s="2947"/>
      <c r="P44" s="3288"/>
      <c r="Q44" s="1527">
        <f t="shared" si="11"/>
        <v>111</v>
      </c>
      <c r="R44" s="710" t="s">
        <v>21</v>
      </c>
      <c r="S44" s="711">
        <f t="shared" si="12"/>
        <v>100</v>
      </c>
      <c r="T44" s="710" t="s">
        <v>21</v>
      </c>
      <c r="U44" s="711">
        <f t="shared" si="13"/>
        <v>100</v>
      </c>
      <c r="V44" s="710" t="s">
        <v>21</v>
      </c>
      <c r="W44" s="711">
        <f t="shared" si="14"/>
        <v>100</v>
      </c>
      <c r="X44" s="712"/>
      <c r="Y44" s="3290"/>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1"/>
      <c r="M45" s="2945"/>
      <c r="N45" s="2945"/>
      <c r="O45" s="2945"/>
      <c r="P45" s="3288"/>
      <c r="Q45" s="1536">
        <f t="shared" si="11"/>
        <v>111</v>
      </c>
      <c r="R45" s="714" t="s">
        <v>21</v>
      </c>
      <c r="S45" s="715">
        <f t="shared" si="12"/>
        <v>100</v>
      </c>
      <c r="T45" s="714" t="s">
        <v>21</v>
      </c>
      <c r="U45" s="715">
        <f t="shared" si="13"/>
        <v>100</v>
      </c>
      <c r="V45" s="714" t="s">
        <v>21</v>
      </c>
      <c r="W45" s="715">
        <f t="shared" si="14"/>
        <v>100</v>
      </c>
      <c r="X45" s="1539"/>
      <c r="Y45" s="3290"/>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1"/>
      <c r="M46" s="2945"/>
      <c r="N46" s="2945"/>
      <c r="O46" s="2945"/>
      <c r="P46" s="3289"/>
      <c r="Q46" s="1536">
        <f t="shared" si="11"/>
        <v>111</v>
      </c>
      <c r="R46" s="714" t="s">
        <v>20</v>
      </c>
      <c r="S46" s="715">
        <f t="shared" si="12"/>
        <v>100</v>
      </c>
      <c r="T46" s="714" t="s">
        <v>20</v>
      </c>
      <c r="U46" s="715">
        <f t="shared" si="13"/>
        <v>100</v>
      </c>
      <c r="V46" s="714" t="s">
        <v>20</v>
      </c>
      <c r="W46" s="715">
        <f t="shared" si="14"/>
        <v>100</v>
      </c>
      <c r="X46" s="1539"/>
      <c r="Y46" s="3291"/>
      <c r="Z46" s="1540">
        <f t="shared" si="18"/>
        <v>111</v>
      </c>
      <c r="AA46" s="1537">
        <f t="shared" si="15"/>
        <v>1</v>
      </c>
      <c r="AB46" s="1537">
        <f t="shared" si="16"/>
        <v>1</v>
      </c>
      <c r="AC46" s="1537">
        <f t="shared" si="17"/>
        <v>1</v>
      </c>
    </row>
    <row r="47" spans="1:29" ht="15">
      <c r="A47" s="438" t="s">
        <v>2398</v>
      </c>
      <c r="B47" s="439"/>
      <c r="C47" s="1316" t="s">
        <v>19</v>
      </c>
      <c r="D47" s="1317"/>
      <c r="E47" s="1318"/>
      <c r="F47" s="1319"/>
      <c r="G47" s="1320"/>
      <c r="H47" s="1321"/>
      <c r="I47" s="1318"/>
      <c r="J47" s="1321"/>
      <c r="K47" s="2100"/>
      <c r="L47" s="2953"/>
      <c r="M47" s="2954"/>
      <c r="N47" s="2945"/>
      <c r="O47" s="2954"/>
      <c r="P47" s="3283" t="str">
        <f>A47</f>
        <v>成交单价（元/平方米）</v>
      </c>
      <c r="Q47" s="3283"/>
      <c r="R47" s="3284">
        <f>E47</f>
        <v>0</v>
      </c>
      <c r="S47" s="3284"/>
      <c r="T47" s="3284">
        <f>G47</f>
        <v>0</v>
      </c>
      <c r="U47" s="3284"/>
      <c r="V47" s="3284">
        <f>I47</f>
        <v>0</v>
      </c>
      <c r="W47" s="3284"/>
      <c r="X47" s="699"/>
      <c r="Y47" s="721"/>
      <c r="Z47" s="699"/>
      <c r="AA47" s="699"/>
      <c r="AB47" s="699"/>
      <c r="AC47" s="699"/>
    </row>
    <row r="48" spans="1:29" ht="15.75" thickBot="1">
      <c r="A48" s="445" t="s">
        <v>2399</v>
      </c>
      <c r="B48" s="446"/>
      <c r="C48" s="1322" t="e">
        <f>R49</f>
        <v>#DIV/0!</v>
      </c>
      <c r="D48" s="2538" t="s">
        <v>2880</v>
      </c>
      <c r="E48" s="1323" t="e">
        <f>R48</f>
        <v>#DIV/0!</v>
      </c>
      <c r="F48" s="2539"/>
      <c r="G48" s="1322" t="e">
        <f>T48</f>
        <v>#DIV/0!</v>
      </c>
      <c r="H48" s="2539"/>
      <c r="I48" s="1323" t="e">
        <f>V48</f>
        <v>#DIV/0!</v>
      </c>
      <c r="J48" s="2539"/>
      <c r="K48" s="2540">
        <f>F48+H48+J48</f>
        <v>0</v>
      </c>
      <c r="L48" s="2953"/>
      <c r="M48" s="2954"/>
      <c r="N48" s="2954"/>
      <c r="O48" s="2954"/>
      <c r="P48" s="3283" t="str">
        <f>A48</f>
        <v>比较价值（元/平方米）</v>
      </c>
      <c r="Q48" s="3283"/>
      <c r="R48" s="3284" t="e">
        <f>IF(F1="售价",ROUND(PRODUCT(R47,AA7:AA46),0),ROUND(PRODUCT(R47,AA7:AA46),1))</f>
        <v>#DIV/0!</v>
      </c>
      <c r="S48" s="3284"/>
      <c r="T48" s="3284" t="e">
        <f>IF(F1="售价",ROUND(PRODUCT(T47,AB7:AB46),0),ROUND(PRODUCT(T47,AB7:AB46),1))</f>
        <v>#DIV/0!</v>
      </c>
      <c r="U48" s="3284"/>
      <c r="V48" s="3284" t="e">
        <f>IF(F1="售价",ROUND(PRODUCT(V47,AC7:AC46),0),ROUND(PRODUCT(V47,AC7:AC46),1))</f>
        <v>#DIV/0!</v>
      </c>
      <c r="W48" s="3284"/>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1"/>
      <c r="L49" s="2953"/>
      <c r="M49" s="2954"/>
      <c r="N49" s="2954"/>
      <c r="O49" s="2954"/>
      <c r="P49" s="3280" t="str">
        <f>A49</f>
        <v>估价对象XX用房的比较价值（楼面单价，元/平方米）</v>
      </c>
      <c r="Q49" s="3281"/>
      <c r="R49" s="3282" t="e">
        <f>IF(F1="售价",ROUND(IF(D48="简单平均",AVERAGE(R48:V48),R48*F48+T48*H48+V48*J48),0),ROUND(IF(D48="简单平均",AVERAGE(R48:V48),R48*F48+T48*H48+V48*J48),1))</f>
        <v>#DIV/0!</v>
      </c>
      <c r="S49" s="3282"/>
      <c r="T49" s="3282"/>
      <c r="U49" s="3282"/>
      <c r="V49" s="3282"/>
      <c r="W49" s="3282"/>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row>
    <row r="53" spans="1:29" ht="13.5" customHeight="1">
      <c r="A53" s="2954"/>
      <c r="B53" s="2954"/>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row>
    <row r="54" spans="1:29" s="459" customFormat="1" ht="13.5" customHeight="1">
      <c r="A54" s="2957"/>
      <c r="B54" s="2957"/>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103"/>
    </row>
    <row r="55" spans="1:29" s="459"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3" t="s">
        <v>2404</v>
      </c>
      <c r="B57" s="699"/>
      <c r="C57" s="704"/>
      <c r="D57" s="704"/>
      <c r="E57" s="704"/>
      <c r="F57" s="705"/>
      <c r="G57" s="705"/>
      <c r="H57" s="704"/>
      <c r="I57" s="704"/>
      <c r="J57" s="704"/>
      <c r="K57" s="1072"/>
      <c r="L57" s="1073"/>
      <c r="M57" s="1071"/>
      <c r="N57" s="1071"/>
      <c r="O57" s="1071"/>
      <c r="P57" s="2104"/>
      <c r="Q57" s="461"/>
    </row>
    <row r="58" spans="1:29" s="465" customFormat="1" ht="15">
      <c r="A58" s="462" t="s">
        <v>2405</v>
      </c>
      <c r="B58" s="463"/>
      <c r="C58" s="1348" t="str">
        <f>YEAR(C7)&amp;"-"&amp;MONTH(C7)</f>
        <v>2021-6</v>
      </c>
      <c r="D58" s="1347">
        <f>EDATE(C58,-1)</f>
        <v>44317</v>
      </c>
      <c r="E58" s="1347">
        <f>EDATE(D58,-1)</f>
        <v>44287</v>
      </c>
      <c r="F58" s="1347">
        <f t="shared" ref="F58:O58" si="19">EDATE(E58,-1)</f>
        <v>44256</v>
      </c>
      <c r="G58" s="1347">
        <f t="shared" si="19"/>
        <v>44228</v>
      </c>
      <c r="H58" s="1347">
        <f t="shared" si="19"/>
        <v>44197</v>
      </c>
      <c r="I58" s="1347">
        <f t="shared" si="19"/>
        <v>44166</v>
      </c>
      <c r="J58" s="1347">
        <f t="shared" si="19"/>
        <v>44136</v>
      </c>
      <c r="K58" s="1347">
        <f t="shared" si="19"/>
        <v>44105</v>
      </c>
      <c r="L58" s="1347">
        <f t="shared" si="19"/>
        <v>44075</v>
      </c>
      <c r="M58" s="1347">
        <f t="shared" si="19"/>
        <v>44044</v>
      </c>
      <c r="N58" s="1347">
        <f t="shared" si="19"/>
        <v>44013</v>
      </c>
      <c r="O58" s="1347">
        <f t="shared" si="19"/>
        <v>43983</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2409</v>
      </c>
      <c r="B63" s="485" t="s">
        <v>2375</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2431</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2432</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2384</v>
      </c>
      <c r="B100" s="485" t="s">
        <v>2433</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2435</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2436</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2437</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2438</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2439</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2440</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2441</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8">
        <v>6</v>
      </c>
      <c r="C139" s="999">
        <v>96</v>
      </c>
      <c r="D139" s="2126" t="s">
        <v>2452</v>
      </c>
      <c r="E139" s="1000">
        <v>100</v>
      </c>
      <c r="F139" s="1001">
        <v>102.5</v>
      </c>
      <c r="G139" s="2126" t="s">
        <v>2452</v>
      </c>
      <c r="H139" s="1002">
        <v>105</v>
      </c>
      <c r="I139" s="2127" t="s">
        <v>2453</v>
      </c>
      <c r="J139" s="999">
        <v>20</v>
      </c>
      <c r="K139" s="1003">
        <f>C145/(J139-2)</f>
        <v>4.0555555555555553E-3</v>
      </c>
    </row>
    <row r="140" spans="1:17" ht="15">
      <c r="B140" s="1004">
        <v>5</v>
      </c>
      <c r="C140" s="1005">
        <v>100</v>
      </c>
      <c r="D140" s="1005"/>
      <c r="E140" s="1006"/>
      <c r="F140" s="1007">
        <v>102</v>
      </c>
      <c r="G140" s="1005"/>
      <c r="H140" s="1008"/>
      <c r="I140" s="2128" t="s">
        <v>2454</v>
      </c>
      <c r="J140" s="277">
        <f>ROUNDUP((J139-1)/2,0)</f>
        <v>10</v>
      </c>
      <c r="K140" s="1009">
        <v>100</v>
      </c>
    </row>
    <row r="141" spans="1:17" ht="15">
      <c r="B141" s="1004">
        <v>4</v>
      </c>
      <c r="C141" s="1005">
        <v>102</v>
      </c>
      <c r="D141" s="1005"/>
      <c r="E141" s="1006"/>
      <c r="F141" s="1007">
        <v>101.5</v>
      </c>
      <c r="G141" s="1005"/>
      <c r="H141" s="1008"/>
      <c r="I141" s="2128" t="s">
        <v>2455</v>
      </c>
      <c r="J141" s="277">
        <v>1</v>
      </c>
      <c r="K141" s="1010">
        <f>ROUND(100+(J141-J140)*K139*100,1)</f>
        <v>96.4</v>
      </c>
    </row>
    <row r="142" spans="1:17" ht="15">
      <c r="B142" s="1004">
        <v>3</v>
      </c>
      <c r="C142" s="1005">
        <v>103</v>
      </c>
      <c r="D142" s="1005"/>
      <c r="E142" s="1006"/>
      <c r="F142" s="1007">
        <v>101</v>
      </c>
      <c r="G142" s="1005"/>
      <c r="H142" s="1008"/>
      <c r="I142" s="2128" t="s">
        <v>2456</v>
      </c>
      <c r="J142" s="277">
        <f>J139</f>
        <v>20</v>
      </c>
      <c r="K142" s="1011">
        <v>95</v>
      </c>
    </row>
    <row r="143" spans="1:17" ht="15">
      <c r="B143" s="1004">
        <v>2</v>
      </c>
      <c r="C143" s="1005">
        <v>100</v>
      </c>
      <c r="D143" s="1005"/>
      <c r="E143" s="1006"/>
      <c r="F143" s="1007">
        <v>100.5</v>
      </c>
      <c r="G143" s="1005"/>
      <c r="H143" s="1008"/>
      <c r="I143" s="2128" t="s">
        <v>2457</v>
      </c>
      <c r="J143" s="1005">
        <v>15</v>
      </c>
      <c r="K143" s="1010">
        <f>ROUND(100+(J143-J140)*K139*100,1)</f>
        <v>102</v>
      </c>
    </row>
    <row r="144" spans="1:17" ht="15">
      <c r="B144" s="1004">
        <v>1</v>
      </c>
      <c r="C144" s="1005">
        <v>98</v>
      </c>
      <c r="D144" s="2129" t="s">
        <v>2458</v>
      </c>
      <c r="E144" s="1006">
        <v>102</v>
      </c>
      <c r="F144" s="1012">
        <v>100</v>
      </c>
      <c r="G144" s="2129" t="s">
        <v>2458</v>
      </c>
      <c r="H144" s="1008">
        <v>105</v>
      </c>
      <c r="I144" s="2128" t="s">
        <v>2457</v>
      </c>
      <c r="J144" s="1005">
        <v>18</v>
      </c>
      <c r="K144" s="1010">
        <f>ROUND(100+(J144-J140)*K139*100,1)</f>
        <v>103.2</v>
      </c>
    </row>
    <row r="145" spans="2:11" ht="15.75" thickBot="1">
      <c r="B145" s="2130" t="s">
        <v>2459</v>
      </c>
      <c r="C145" s="1013">
        <f>ROUND(MAX(C139:C144)/MIN(C139:C144)-1,3)</f>
        <v>7.2999999999999995E-2</v>
      </c>
      <c r="D145" s="1014"/>
      <c r="E145" s="1014"/>
      <c r="F145" s="2131" t="s">
        <v>2460</v>
      </c>
      <c r="G145" s="2132"/>
      <c r="H145" s="2133"/>
      <c r="I145" s="2134" t="s">
        <v>2457</v>
      </c>
      <c r="J145" s="1015">
        <v>8</v>
      </c>
      <c r="K145" s="1016">
        <f>ROUND(100+(J145-J140)*K139*100,1)</f>
        <v>99.2</v>
      </c>
    </row>
    <row r="147" spans="2:11">
      <c r="B147" s="2115" t="s">
        <v>2461</v>
      </c>
    </row>
    <row r="148" spans="2:11">
      <c r="B148" s="2115" t="s">
        <v>2462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2463</v>
      </c>
      <c r="C1" s="1406" t="s">
        <v>2351</v>
      </c>
      <c r="D1" s="1393"/>
      <c r="E1" s="2543"/>
      <c r="F1" s="2065"/>
      <c r="G1" s="1403" t="s">
        <v>2464</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2465</v>
      </c>
      <c r="D3" s="359">
        <f>IF(D1="",'数据-汇总表'!E3,SUMIF('数据-汇总表'!$C19:$C33,D1,'数据-汇总表'!$E19:$E33))</f>
        <v>32069.72</v>
      </c>
      <c r="E3" s="2140"/>
      <c r="F3" s="1040"/>
      <c r="G3" s="1039"/>
      <c r="H3" s="1039"/>
      <c r="I3" s="1039"/>
      <c r="J3" s="1039"/>
      <c r="K3" s="1041"/>
      <c r="L3" s="2963"/>
      <c r="M3" s="2964"/>
      <c r="N3" s="2964"/>
      <c r="O3" s="2964"/>
      <c r="P3" s="2138"/>
      <c r="Q3" s="1043"/>
      <c r="R3" s="1043"/>
      <c r="S3" s="1043"/>
      <c r="T3" s="1043"/>
      <c r="U3" s="1043"/>
      <c r="V3" s="1043"/>
      <c r="W3" s="1043"/>
      <c r="X3" s="1043"/>
      <c r="Y3" s="1043"/>
      <c r="Z3" s="1043"/>
      <c r="AA3" s="1043"/>
      <c r="AB3" s="1043"/>
      <c r="AC3" s="2140"/>
    </row>
    <row r="4" spans="1:29" ht="15">
      <c r="A4" s="361" t="s">
        <v>2466</v>
      </c>
      <c r="B4" s="362"/>
      <c r="C4" s="3298" t="s">
        <v>2467</v>
      </c>
      <c r="D4" s="3299"/>
      <c r="E4" s="3300" t="s">
        <v>2468</v>
      </c>
      <c r="F4" s="3301"/>
      <c r="G4" s="3298" t="s">
        <v>2469</v>
      </c>
      <c r="H4" s="3299"/>
      <c r="I4" s="3298" t="s">
        <v>2470</v>
      </c>
      <c r="J4" s="3299"/>
      <c r="K4" s="567" t="s">
        <v>2471</v>
      </c>
      <c r="L4" s="2944"/>
      <c r="M4" s="2945"/>
      <c r="N4" s="2945"/>
      <c r="O4" s="2945"/>
      <c r="P4" s="3302" t="s">
        <v>2472</v>
      </c>
      <c r="Q4" s="3303"/>
      <c r="R4" s="3308" t="s">
        <v>2468</v>
      </c>
      <c r="S4" s="3309"/>
      <c r="T4" s="3308" t="s">
        <v>2469</v>
      </c>
      <c r="U4" s="3309"/>
      <c r="V4" s="3314" t="s">
        <v>2470</v>
      </c>
      <c r="W4" s="3314"/>
      <c r="X4" s="1539"/>
      <c r="Y4" s="3308" t="s">
        <v>2472</v>
      </c>
      <c r="Z4" s="3309"/>
      <c r="AA4" s="3295" t="s">
        <v>2468</v>
      </c>
      <c r="AB4" s="3314" t="s">
        <v>2469</v>
      </c>
      <c r="AC4" s="3295" t="s">
        <v>2470</v>
      </c>
    </row>
    <row r="5" spans="1:29" ht="15">
      <c r="A5" s="364"/>
      <c r="B5" s="365"/>
      <c r="C5" s="3317" t="s">
        <v>2363</v>
      </c>
      <c r="D5" s="3318"/>
      <c r="E5" s="3324" t="s">
        <v>2364</v>
      </c>
      <c r="F5" s="3325"/>
      <c r="G5" s="3317" t="s">
        <v>2365</v>
      </c>
      <c r="H5" s="3318"/>
      <c r="I5" s="3317" t="s">
        <v>2366</v>
      </c>
      <c r="J5" s="3318"/>
      <c r="K5" s="567"/>
      <c r="L5" s="2944"/>
      <c r="M5" s="2945"/>
      <c r="N5" s="2945"/>
      <c r="O5" s="2945"/>
      <c r="P5" s="3304"/>
      <c r="Q5" s="3305"/>
      <c r="R5" s="3310"/>
      <c r="S5" s="3311"/>
      <c r="T5" s="3310"/>
      <c r="U5" s="3311"/>
      <c r="V5" s="3314"/>
      <c r="W5" s="3314"/>
      <c r="X5" s="1539"/>
      <c r="Y5" s="3310"/>
      <c r="Z5" s="3311"/>
      <c r="AA5" s="3296"/>
      <c r="AB5" s="3314"/>
      <c r="AC5" s="3296"/>
    </row>
    <row r="6" spans="1:29" ht="15.75" thickBot="1">
      <c r="A6" s="366"/>
      <c r="B6" s="367"/>
      <c r="C6" s="3315" t="s">
        <v>2367</v>
      </c>
      <c r="D6" s="3316"/>
      <c r="E6" s="3322" t="s">
        <v>2367</v>
      </c>
      <c r="F6" s="3323"/>
      <c r="G6" s="3315" t="s">
        <v>2367</v>
      </c>
      <c r="H6" s="3316"/>
      <c r="I6" s="3315" t="s">
        <v>2367</v>
      </c>
      <c r="J6" s="3316"/>
      <c r="K6" s="567" t="s">
        <v>2368</v>
      </c>
      <c r="L6" s="2944"/>
      <c r="M6" s="2945"/>
      <c r="N6" s="2945"/>
      <c r="O6" s="2945"/>
      <c r="P6" s="3306"/>
      <c r="Q6" s="3307"/>
      <c r="R6" s="3310"/>
      <c r="S6" s="3311"/>
      <c r="T6" s="3312"/>
      <c r="U6" s="3313"/>
      <c r="V6" s="3314"/>
      <c r="W6" s="3314"/>
      <c r="X6" s="1539"/>
      <c r="Y6" s="3312"/>
      <c r="Z6" s="3313"/>
      <c r="AA6" s="3297"/>
      <c r="AB6" s="3314"/>
      <c r="AC6" s="3297"/>
    </row>
    <row r="7" spans="1:29" s="113" customFormat="1" ht="15.75" thickBot="1">
      <c r="A7" s="368" t="s">
        <v>2369</v>
      </c>
      <c r="B7" s="369"/>
      <c r="C7" s="370">
        <f>'数据-取费表'!B2</f>
        <v>44371</v>
      </c>
      <c r="D7" s="371">
        <v>100</v>
      </c>
      <c r="E7" s="372"/>
      <c r="F7" s="373">
        <f>SUMIF(58:58,YEAR(E7)&amp;"-"&amp;MONTH(E7),59:59)</f>
        <v>0</v>
      </c>
      <c r="G7" s="372"/>
      <c r="H7" s="371">
        <f>SUMIF(58:58,YEAR(G7)&amp;"-"&amp;MONTH(G7),59:59)</f>
        <v>0</v>
      </c>
      <c r="I7" s="372"/>
      <c r="J7" s="371">
        <f>SUMIF(58:58,YEAR(I7)&amp;"-"&amp;MONTH(I7),59:59)</f>
        <v>0</v>
      </c>
      <c r="K7" s="568"/>
      <c r="L7" s="2946"/>
      <c r="M7" s="2947"/>
      <c r="N7" s="2947"/>
      <c r="O7" s="2947"/>
      <c r="P7" s="3319" t="s">
        <v>2370</v>
      </c>
      <c r="Q7" s="3321"/>
      <c r="R7" s="710" t="s">
        <v>17</v>
      </c>
      <c r="S7" s="711">
        <f t="shared" ref="S7:S15" si="0">F7</f>
        <v>0</v>
      </c>
      <c r="T7" s="710" t="s">
        <v>17</v>
      </c>
      <c r="U7" s="711">
        <f t="shared" ref="U7:U15" si="1">H7</f>
        <v>0</v>
      </c>
      <c r="V7" s="710" t="s">
        <v>17</v>
      </c>
      <c r="W7" s="711">
        <f t="shared" ref="W7:W15" si="2">J7</f>
        <v>0</v>
      </c>
      <c r="X7" s="712"/>
      <c r="Y7" s="3319" t="s">
        <v>2370</v>
      </c>
      <c r="Z7" s="3320"/>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6"/>
      <c r="M8" s="2947"/>
      <c r="N8" s="2947"/>
      <c r="O8" s="2947"/>
      <c r="P8" s="3319" t="s">
        <v>2373</v>
      </c>
      <c r="Q8" s="3320"/>
      <c r="R8" s="710" t="s">
        <v>17</v>
      </c>
      <c r="S8" s="711">
        <f t="shared" si="0"/>
        <v>0</v>
      </c>
      <c r="T8" s="710" t="s">
        <v>17</v>
      </c>
      <c r="U8" s="711">
        <f t="shared" si="1"/>
        <v>0</v>
      </c>
      <c r="V8" s="710" t="s">
        <v>17</v>
      </c>
      <c r="W8" s="711">
        <f t="shared" si="2"/>
        <v>0</v>
      </c>
      <c r="X8" s="712"/>
      <c r="Y8" s="3319" t="s">
        <v>2373</v>
      </c>
      <c r="Z8" s="3320"/>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6"/>
      <c r="M9" s="2947"/>
      <c r="N9" s="2947"/>
      <c r="O9" s="2947"/>
      <c r="P9" s="3294"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8"/>
      <c r="M10" s="2949"/>
      <c r="N10" s="2949"/>
      <c r="O10" s="2949"/>
      <c r="P10" s="3294"/>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0"/>
      <c r="M11" s="2945"/>
      <c r="N11" s="2945"/>
      <c r="O11" s="2945"/>
      <c r="P11" s="3294"/>
      <c r="Q11" s="1527" t="str">
        <f t="shared" si="6"/>
        <v>容积率</v>
      </c>
      <c r="R11" s="710" t="s">
        <v>17</v>
      </c>
      <c r="S11" s="711" t="e">
        <f t="shared" si="0"/>
        <v>#N/A</v>
      </c>
      <c r="T11" s="710" t="s">
        <v>17</v>
      </c>
      <c r="U11" s="711" t="e">
        <f t="shared" si="1"/>
        <v>#N/A</v>
      </c>
      <c r="V11" s="710" t="s">
        <v>17</v>
      </c>
      <c r="W11" s="711" t="e">
        <f t="shared" si="2"/>
        <v>#N/A</v>
      </c>
      <c r="X11" s="712"/>
      <c r="Y11" s="3153"/>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6"/>
      <c r="M12" s="2947"/>
      <c r="N12" s="2947"/>
      <c r="O12" s="2947"/>
      <c r="P12" s="3294"/>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1"/>
      <c r="M13" s="2945"/>
      <c r="N13" s="2945"/>
      <c r="O13" s="2945"/>
      <c r="P13" s="3294"/>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1"/>
      <c r="M14" s="2945"/>
      <c r="N14" s="2945"/>
      <c r="O14" s="2945"/>
      <c r="P14" s="3294"/>
      <c r="Q14" s="1527">
        <f t="shared" si="6"/>
        <v>111</v>
      </c>
      <c r="R14" s="710" t="s">
        <v>17</v>
      </c>
      <c r="S14" s="711">
        <f t="shared" si="0"/>
        <v>100</v>
      </c>
      <c r="T14" s="710" t="s">
        <v>17</v>
      </c>
      <c r="U14" s="711">
        <f t="shared" si="1"/>
        <v>100</v>
      </c>
      <c r="V14" s="710" t="s">
        <v>17</v>
      </c>
      <c r="W14" s="711">
        <f t="shared" si="2"/>
        <v>100</v>
      </c>
      <c r="X14" s="712"/>
      <c r="Y14" s="3153"/>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1"/>
      <c r="M15" s="2945"/>
      <c r="N15" s="2945"/>
      <c r="O15" s="2945"/>
      <c r="P15" s="3292" t="s">
        <v>2381</v>
      </c>
      <c r="Q15" s="1536" t="str">
        <f t="shared" si="6"/>
        <v>商业繁华度</v>
      </c>
      <c r="R15" s="714" t="s">
        <v>17</v>
      </c>
      <c r="S15" s="715">
        <f t="shared" si="0"/>
        <v>100</v>
      </c>
      <c r="T15" s="714" t="s">
        <v>17</v>
      </c>
      <c r="U15" s="715">
        <f t="shared" si="1"/>
        <v>100</v>
      </c>
      <c r="V15" s="714" t="s">
        <v>17</v>
      </c>
      <c r="W15" s="715">
        <f t="shared" si="2"/>
        <v>100</v>
      </c>
      <c r="X15" s="1539"/>
      <c r="Y15" s="3285" t="s">
        <v>2381</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1"/>
      <c r="M16" s="2945"/>
      <c r="N16" s="2945"/>
      <c r="O16" s="2945"/>
      <c r="P16" s="3293"/>
      <c r="Q16" s="1536"/>
      <c r="R16" s="714"/>
      <c r="S16" s="715"/>
      <c r="T16" s="714"/>
      <c r="U16" s="715"/>
      <c r="V16" s="714"/>
      <c r="W16" s="715"/>
      <c r="X16" s="1539"/>
      <c r="Y16" s="3286"/>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1"/>
      <c r="M17" s="2945"/>
      <c r="N17" s="2945"/>
      <c r="O17" s="2945"/>
      <c r="P17" s="3293"/>
      <c r="Q17" s="1536" t="str">
        <f>B17</f>
        <v>交通便捷度</v>
      </c>
      <c r="R17" s="714" t="s">
        <v>17</v>
      </c>
      <c r="S17" s="715">
        <f>F17</f>
        <v>100</v>
      </c>
      <c r="T17" s="714" t="s">
        <v>17</v>
      </c>
      <c r="U17" s="715">
        <f>H17</f>
        <v>100</v>
      </c>
      <c r="V17" s="714" t="s">
        <v>17</v>
      </c>
      <c r="W17" s="715">
        <f>J17</f>
        <v>100</v>
      </c>
      <c r="X17" s="1539"/>
      <c r="Y17" s="328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1"/>
      <c r="M18" s="2945"/>
      <c r="N18" s="2945"/>
      <c r="O18" s="2945"/>
      <c r="P18" s="3293"/>
      <c r="Q18" s="1536"/>
      <c r="R18" s="714"/>
      <c r="S18" s="715"/>
      <c r="T18" s="714"/>
      <c r="U18" s="715"/>
      <c r="V18" s="714"/>
      <c r="W18" s="715"/>
      <c r="X18" s="1539"/>
      <c r="Y18" s="3286"/>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1"/>
      <c r="M19" s="2945"/>
      <c r="N19" s="2945"/>
      <c r="O19" s="2945"/>
      <c r="P19" s="3293"/>
      <c r="Q19" s="1536" t="str">
        <f>B19</f>
        <v>公共配套设施</v>
      </c>
      <c r="R19" s="714" t="s">
        <v>17</v>
      </c>
      <c r="S19" s="715">
        <f>F19</f>
        <v>100</v>
      </c>
      <c r="T19" s="714" t="s">
        <v>17</v>
      </c>
      <c r="U19" s="715">
        <f>H19</f>
        <v>100</v>
      </c>
      <c r="V19" s="714" t="s">
        <v>17</v>
      </c>
      <c r="W19" s="715">
        <f>J19</f>
        <v>100</v>
      </c>
      <c r="X19" s="1539"/>
      <c r="Y19" s="328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1"/>
      <c r="M20" s="2945"/>
      <c r="N20" s="2945"/>
      <c r="O20" s="2945"/>
      <c r="P20" s="3293"/>
      <c r="Q20" s="1536"/>
      <c r="R20" s="714"/>
      <c r="S20" s="715"/>
      <c r="T20" s="714"/>
      <c r="U20" s="715"/>
      <c r="V20" s="714"/>
      <c r="W20" s="715"/>
      <c r="X20" s="1539"/>
      <c r="Y20" s="3286"/>
      <c r="Z20" s="1540"/>
      <c r="AA20" s="1537">
        <v>1</v>
      </c>
      <c r="AB20" s="1537">
        <v>1</v>
      </c>
      <c r="AC20" s="1537">
        <v>1</v>
      </c>
    </row>
    <row r="21" spans="1:29" ht="28.5">
      <c r="A21" s="387"/>
      <c r="B21" s="1293"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1"/>
      <c r="M21" s="2945"/>
      <c r="N21" s="2945"/>
      <c r="O21" s="2945"/>
      <c r="P21" s="3293"/>
      <c r="Q21" s="1536" t="str">
        <f>B21</f>
        <v>基础设施水平</v>
      </c>
      <c r="R21" s="714" t="s">
        <v>17</v>
      </c>
      <c r="S21" s="715">
        <f>F21</f>
        <v>100</v>
      </c>
      <c r="T21" s="714" t="s">
        <v>17</v>
      </c>
      <c r="U21" s="715">
        <f>H21</f>
        <v>100</v>
      </c>
      <c r="V21" s="714" t="s">
        <v>17</v>
      </c>
      <c r="W21" s="715">
        <f>J21</f>
        <v>100</v>
      </c>
      <c r="X21" s="1539"/>
      <c r="Y21" s="328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1"/>
      <c r="M22" s="2945"/>
      <c r="N22" s="2945"/>
      <c r="O22" s="2945"/>
      <c r="P22" s="3293"/>
      <c r="Q22" s="1536"/>
      <c r="R22" s="714"/>
      <c r="S22" s="715"/>
      <c r="T22" s="714"/>
      <c r="U22" s="715"/>
      <c r="V22" s="714"/>
      <c r="W22" s="715"/>
      <c r="X22" s="1539"/>
      <c r="Y22" s="3286"/>
      <c r="Z22" s="1540"/>
      <c r="AA22" s="1537">
        <v>1</v>
      </c>
      <c r="AB22" s="1537">
        <v>1</v>
      </c>
      <c r="AC22" s="1537">
        <v>1</v>
      </c>
    </row>
    <row r="23" spans="1:29" ht="57">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1"/>
      <c r="M23" s="2945"/>
      <c r="N23" s="2945"/>
      <c r="O23" s="2945"/>
      <c r="P23" s="3293"/>
      <c r="Q23" s="1536" t="str">
        <f>B23</f>
        <v>自然及人文环境</v>
      </c>
      <c r="R23" s="714" t="s">
        <v>17</v>
      </c>
      <c r="S23" s="715">
        <f>F23</f>
        <v>100</v>
      </c>
      <c r="T23" s="714" t="s">
        <v>17</v>
      </c>
      <c r="U23" s="715">
        <f>H23</f>
        <v>100</v>
      </c>
      <c r="V23" s="714" t="s">
        <v>17</v>
      </c>
      <c r="W23" s="715">
        <f>J23</f>
        <v>100</v>
      </c>
      <c r="X23" s="1539"/>
      <c r="Y23" s="3286"/>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1"/>
      <c r="M24" s="2945"/>
      <c r="N24" s="2945"/>
      <c r="O24" s="2945"/>
      <c r="P24" s="3293"/>
      <c r="Q24" s="1536"/>
      <c r="R24" s="714"/>
      <c r="S24" s="715"/>
      <c r="T24" s="714"/>
      <c r="U24" s="715"/>
      <c r="V24" s="714"/>
      <c r="W24" s="715"/>
      <c r="X24" s="1539"/>
      <c r="Y24" s="3286"/>
      <c r="Z24" s="1540"/>
      <c r="AA24" s="1537">
        <v>1</v>
      </c>
      <c r="AB24" s="1537">
        <v>1</v>
      </c>
      <c r="AC24" s="1537">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1"/>
      <c r="M25" s="2945"/>
      <c r="N25" s="2945"/>
      <c r="O25" s="2945"/>
      <c r="P25" s="3293"/>
      <c r="Q25" s="1536" t="str">
        <f t="shared" ref="Q25:Q46" si="11">B25</f>
        <v>临街状况</v>
      </c>
      <c r="R25" s="714" t="s">
        <v>17</v>
      </c>
      <c r="S25" s="715">
        <f>F25</f>
        <v>100</v>
      </c>
      <c r="T25" s="714" t="s">
        <v>17</v>
      </c>
      <c r="U25" s="715">
        <f>H25</f>
        <v>100</v>
      </c>
      <c r="V25" s="714" t="s">
        <v>17</v>
      </c>
      <c r="W25" s="715">
        <f>J25</f>
        <v>100</v>
      </c>
      <c r="X25" s="1539"/>
      <c r="Y25" s="3286"/>
      <c r="Z25" s="1540" t="str">
        <f>Q25</f>
        <v>临街状况</v>
      </c>
      <c r="AA25" s="1537">
        <f t="shared" si="3"/>
        <v>1</v>
      </c>
      <c r="AB25" s="1537">
        <f t="shared" si="4"/>
        <v>1</v>
      </c>
      <c r="AC25" s="1537">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1"/>
      <c r="M26" s="2945"/>
      <c r="N26" s="2945"/>
      <c r="O26" s="2945"/>
      <c r="P26" s="3293"/>
      <c r="Q26" s="1536" t="str">
        <f t="shared" si="11"/>
        <v>平面位置/可视性</v>
      </c>
      <c r="R26" s="714" t="s">
        <v>17</v>
      </c>
      <c r="S26" s="715">
        <f>F26</f>
        <v>100</v>
      </c>
      <c r="T26" s="714" t="s">
        <v>17</v>
      </c>
      <c r="U26" s="715">
        <f>H26</f>
        <v>100</v>
      </c>
      <c r="V26" s="714" t="s">
        <v>17</v>
      </c>
      <c r="W26" s="715">
        <f>J26</f>
        <v>100</v>
      </c>
      <c r="X26" s="1539"/>
      <c r="Y26" s="3286"/>
      <c r="Z26" s="1540" t="str">
        <f>Q26</f>
        <v>平面位置/可视性</v>
      </c>
      <c r="AA26" s="1537">
        <f t="shared" si="3"/>
        <v>1</v>
      </c>
      <c r="AB26" s="1537">
        <f t="shared" si="4"/>
        <v>1</v>
      </c>
      <c r="AC26" s="1537">
        <f t="shared" si="5"/>
        <v>1</v>
      </c>
    </row>
    <row r="27" spans="1:29" s="113" customFormat="1" ht="15">
      <c r="A27" s="390"/>
      <c r="B27" s="410" t="s">
        <v>2479</v>
      </c>
      <c r="C27" s="2142"/>
      <c r="D27" s="421">
        <v>100</v>
      </c>
      <c r="E27" s="2142"/>
      <c r="F27" s="423">
        <f>SUMIF(90:90,E27,91:91)-SUMIF(90:90,C27,91:91)+100</f>
        <v>100</v>
      </c>
      <c r="G27" s="2142"/>
      <c r="H27" s="421">
        <f>SUMIF(90:90,G27,91:91)-SUMIF(90:90,C27,91:91)+100</f>
        <v>100</v>
      </c>
      <c r="I27" s="2142"/>
      <c r="J27" s="421">
        <f>SUMIF(90:90,I27,91:91)-SUMIF(90:90,C27,91:91)+100</f>
        <v>100</v>
      </c>
      <c r="K27" s="569"/>
      <c r="L27" s="2946"/>
      <c r="M27" s="2947"/>
      <c r="N27" s="2947"/>
      <c r="O27" s="2947"/>
      <c r="P27" s="3293"/>
      <c r="Q27" s="1527" t="str">
        <f t="shared" si="11"/>
        <v>人流量</v>
      </c>
      <c r="R27" s="710" t="s">
        <v>17</v>
      </c>
      <c r="S27" s="711">
        <f>F27</f>
        <v>100</v>
      </c>
      <c r="T27" s="710" t="s">
        <v>17</v>
      </c>
      <c r="U27" s="711">
        <f>H27</f>
        <v>100</v>
      </c>
      <c r="V27" s="710" t="s">
        <v>17</v>
      </c>
      <c r="W27" s="711">
        <f>J27</f>
        <v>100</v>
      </c>
      <c r="X27" s="712"/>
      <c r="Y27" s="3286"/>
      <c r="Z27" s="55" t="str">
        <f>Q27</f>
        <v>人流量</v>
      </c>
      <c r="AA27" s="1537">
        <f>D27/F27</f>
        <v>1</v>
      </c>
      <c r="AB27" s="1537">
        <f>D27/H27</f>
        <v>1</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1"/>
      <c r="M28" s="2945"/>
      <c r="N28" s="2945"/>
      <c r="O28" s="2945"/>
      <c r="P28" s="3293"/>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286"/>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1"/>
      <c r="M29" s="2945"/>
      <c r="N29" s="2945"/>
      <c r="O29" s="2945"/>
      <c r="P29" s="3293"/>
      <c r="Q29" s="1536">
        <f t="shared" si="11"/>
        <v>111</v>
      </c>
      <c r="R29" s="714" t="s">
        <v>17</v>
      </c>
      <c r="S29" s="715">
        <f t="shared" si="12"/>
        <v>100</v>
      </c>
      <c r="T29" s="714" t="s">
        <v>17</v>
      </c>
      <c r="U29" s="715">
        <f t="shared" si="13"/>
        <v>100</v>
      </c>
      <c r="V29" s="714" t="s">
        <v>17</v>
      </c>
      <c r="W29" s="715">
        <f t="shared" si="14"/>
        <v>100</v>
      </c>
      <c r="X29" s="1539"/>
      <c r="Y29" s="3286"/>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1"/>
      <c r="M30" s="2945"/>
      <c r="N30" s="2945"/>
      <c r="O30" s="2945"/>
      <c r="P30" s="3293"/>
      <c r="Q30" s="1536">
        <f t="shared" si="11"/>
        <v>111</v>
      </c>
      <c r="R30" s="714" t="s">
        <v>17</v>
      </c>
      <c r="S30" s="715">
        <f t="shared" si="12"/>
        <v>100</v>
      </c>
      <c r="T30" s="714" t="s">
        <v>17</v>
      </c>
      <c r="U30" s="715">
        <f t="shared" si="13"/>
        <v>100</v>
      </c>
      <c r="V30" s="714" t="s">
        <v>17</v>
      </c>
      <c r="W30" s="715">
        <f t="shared" si="14"/>
        <v>100</v>
      </c>
      <c r="X30" s="1539"/>
      <c r="Y30" s="3286"/>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1"/>
      <c r="M31" s="2945"/>
      <c r="N31" s="2945"/>
      <c r="O31" s="2945"/>
      <c r="P31" s="3293"/>
      <c r="Q31" s="1536">
        <f t="shared" si="11"/>
        <v>111</v>
      </c>
      <c r="R31" s="714" t="s">
        <v>17</v>
      </c>
      <c r="S31" s="715">
        <f t="shared" si="12"/>
        <v>100</v>
      </c>
      <c r="T31" s="714" t="s">
        <v>17</v>
      </c>
      <c r="U31" s="715">
        <f t="shared" si="13"/>
        <v>100</v>
      </c>
      <c r="V31" s="714" t="s">
        <v>17</v>
      </c>
      <c r="W31" s="715">
        <f t="shared" si="14"/>
        <v>100</v>
      </c>
      <c r="X31" s="1539"/>
      <c r="Y31" s="3286"/>
      <c r="Z31" s="1540">
        <f t="shared" si="15"/>
        <v>111</v>
      </c>
      <c r="AA31" s="1537">
        <f t="shared" si="3"/>
        <v>1</v>
      </c>
      <c r="AB31" s="1537">
        <f t="shared" si="4"/>
        <v>1</v>
      </c>
      <c r="AC31" s="1537">
        <f t="shared" si="5"/>
        <v>1</v>
      </c>
    </row>
    <row r="32" spans="1:29" ht="15">
      <c r="A32" s="399" t="s">
        <v>2384</v>
      </c>
      <c r="B32" s="67" t="s">
        <v>2481</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1"/>
      <c r="M32" s="2945"/>
      <c r="N32" s="2945"/>
      <c r="O32" s="2945"/>
      <c r="P32" s="3287" t="s">
        <v>2386</v>
      </c>
      <c r="Q32" s="1536" t="str">
        <f t="shared" si="11"/>
        <v>商业类型</v>
      </c>
      <c r="R32" s="714" t="s">
        <v>17</v>
      </c>
      <c r="S32" s="715">
        <f t="shared" si="12"/>
        <v>100</v>
      </c>
      <c r="T32" s="714" t="s">
        <v>17</v>
      </c>
      <c r="U32" s="715">
        <f t="shared" si="13"/>
        <v>100</v>
      </c>
      <c r="V32" s="714" t="s">
        <v>17</v>
      </c>
      <c r="W32" s="715">
        <f t="shared" si="14"/>
        <v>100</v>
      </c>
      <c r="X32" s="1539"/>
      <c r="Y32" s="3290" t="s">
        <v>2386</v>
      </c>
      <c r="Z32" s="1540" t="str">
        <f t="shared" si="15"/>
        <v>商业类型</v>
      </c>
      <c r="AA32" s="1537">
        <f t="shared" si="3"/>
        <v>1</v>
      </c>
      <c r="AB32" s="1537">
        <f t="shared" si="4"/>
        <v>1</v>
      </c>
      <c r="AC32" s="1537">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0"/>
      <c r="M33" s="2952"/>
      <c r="N33" s="2952"/>
      <c r="O33" s="2952"/>
      <c r="P33" s="3288"/>
      <c r="Q33" s="716" t="str">
        <f t="shared" si="11"/>
        <v>项目建筑规模</v>
      </c>
      <c r="R33" s="717" t="s">
        <v>17</v>
      </c>
      <c r="S33" s="718" t="e">
        <f t="shared" si="12"/>
        <v>#N/A</v>
      </c>
      <c r="T33" s="717" t="s">
        <v>17</v>
      </c>
      <c r="U33" s="718" t="e">
        <f t="shared" si="13"/>
        <v>#N/A</v>
      </c>
      <c r="V33" s="717" t="s">
        <v>17</v>
      </c>
      <c r="W33" s="718" t="e">
        <f t="shared" si="14"/>
        <v>#N/A</v>
      </c>
      <c r="X33" s="719"/>
      <c r="Y33" s="3290"/>
      <c r="Z33" s="720" t="str">
        <f t="shared" si="15"/>
        <v>项目建筑规模</v>
      </c>
      <c r="AA33" s="1537" t="e">
        <f t="shared" si="3"/>
        <v>#N/A</v>
      </c>
      <c r="AB33" s="1537" t="e">
        <f t="shared" si="4"/>
        <v>#N/A</v>
      </c>
      <c r="AC33" s="1537" t="e">
        <f t="shared" si="5"/>
        <v>#N/A</v>
      </c>
    </row>
    <row r="34" spans="1:29" ht="15">
      <c r="A34" s="431"/>
      <c r="B34" s="381" t="s">
        <v>2388</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1"/>
      <c r="M34" s="2945"/>
      <c r="N34" s="2945"/>
      <c r="O34" s="2945"/>
      <c r="P34" s="3288"/>
      <c r="Q34" s="1536" t="str">
        <f t="shared" si="11"/>
        <v>建筑结构</v>
      </c>
      <c r="R34" s="714" t="s">
        <v>17</v>
      </c>
      <c r="S34" s="715">
        <f t="shared" si="12"/>
        <v>100</v>
      </c>
      <c r="T34" s="714" t="s">
        <v>17</v>
      </c>
      <c r="U34" s="715">
        <f t="shared" si="13"/>
        <v>100</v>
      </c>
      <c r="V34" s="714" t="s">
        <v>17</v>
      </c>
      <c r="W34" s="715">
        <f t="shared" si="14"/>
        <v>100</v>
      </c>
      <c r="X34" s="1539"/>
      <c r="Y34" s="3290"/>
      <c r="Z34" s="1540" t="str">
        <f t="shared" si="15"/>
        <v>建筑结构</v>
      </c>
      <c r="AA34" s="1537">
        <f t="shared" si="3"/>
        <v>1</v>
      </c>
      <c r="AB34" s="1537">
        <f t="shared" si="4"/>
        <v>1</v>
      </c>
      <c r="AC34" s="1537">
        <f t="shared" si="5"/>
        <v>1</v>
      </c>
    </row>
    <row r="35" spans="1:29" ht="15">
      <c r="A35" s="431"/>
      <c r="B35" s="381" t="s">
        <v>2482</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1"/>
      <c r="M35" s="2945"/>
      <c r="N35" s="2945"/>
      <c r="O35" s="2945"/>
      <c r="P35" s="3288"/>
      <c r="Q35" s="1536" t="str">
        <f t="shared" si="11"/>
        <v>公共部分装修</v>
      </c>
      <c r="R35" s="714" t="s">
        <v>17</v>
      </c>
      <c r="S35" s="715">
        <f t="shared" si="12"/>
        <v>100</v>
      </c>
      <c r="T35" s="714" t="s">
        <v>17</v>
      </c>
      <c r="U35" s="715">
        <f t="shared" si="13"/>
        <v>100</v>
      </c>
      <c r="V35" s="714" t="s">
        <v>17</v>
      </c>
      <c r="W35" s="715">
        <f t="shared" si="14"/>
        <v>100</v>
      </c>
      <c r="X35" s="1539"/>
      <c r="Y35" s="3290"/>
      <c r="Z35" s="1540" t="str">
        <f t="shared" si="15"/>
        <v>公共部分装修</v>
      </c>
      <c r="AA35" s="1537">
        <f t="shared" si="3"/>
        <v>1</v>
      </c>
      <c r="AB35" s="1537">
        <f t="shared" si="4"/>
        <v>1</v>
      </c>
      <c r="AC35" s="1537">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1"/>
      <c r="M36" s="2945"/>
      <c r="N36" s="2945"/>
      <c r="O36" s="2945"/>
      <c r="P36" s="3288"/>
      <c r="Q36" s="1536" t="str">
        <f t="shared" si="11"/>
        <v>成新度</v>
      </c>
      <c r="R36" s="714" t="s">
        <v>17</v>
      </c>
      <c r="S36" s="715" t="e">
        <f t="shared" si="12"/>
        <v>#N/A</v>
      </c>
      <c r="T36" s="714" t="s">
        <v>17</v>
      </c>
      <c r="U36" s="715" t="e">
        <f t="shared" si="13"/>
        <v>#N/A</v>
      </c>
      <c r="V36" s="714" t="s">
        <v>17</v>
      </c>
      <c r="W36" s="715" t="e">
        <f t="shared" si="14"/>
        <v>#N/A</v>
      </c>
      <c r="X36" s="1539"/>
      <c r="Y36" s="3290"/>
      <c r="Z36" s="1540" t="str">
        <f t="shared" si="15"/>
        <v>成新度</v>
      </c>
      <c r="AA36" s="1537" t="e">
        <f t="shared" si="3"/>
        <v>#N/A</v>
      </c>
      <c r="AB36" s="1537" t="e">
        <f t="shared" si="4"/>
        <v>#N/A</v>
      </c>
      <c r="AC36" s="1537" t="e">
        <f t="shared" si="5"/>
        <v>#N/A</v>
      </c>
    </row>
    <row r="37" spans="1:29" s="113" customFormat="1" ht="15">
      <c r="A37" s="432"/>
      <c r="B37" s="381" t="s">
        <v>2484</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6"/>
      <c r="M37" s="2947"/>
      <c r="N37" s="2947"/>
      <c r="O37" s="2947"/>
      <c r="P37" s="3288"/>
      <c r="Q37" s="1527" t="str">
        <f t="shared" si="11"/>
        <v>市政基础设施</v>
      </c>
      <c r="R37" s="710" t="s">
        <v>17</v>
      </c>
      <c r="S37" s="711">
        <f t="shared" si="12"/>
        <v>100</v>
      </c>
      <c r="T37" s="710" t="s">
        <v>17</v>
      </c>
      <c r="U37" s="711">
        <f t="shared" si="13"/>
        <v>100</v>
      </c>
      <c r="V37" s="710" t="s">
        <v>17</v>
      </c>
      <c r="W37" s="711">
        <f t="shared" si="14"/>
        <v>100</v>
      </c>
      <c r="X37" s="712"/>
      <c r="Y37" s="3290"/>
      <c r="Z37" s="55" t="str">
        <f t="shared" si="15"/>
        <v>市政基础设施</v>
      </c>
      <c r="AA37" s="713">
        <f t="shared" si="3"/>
        <v>1</v>
      </c>
      <c r="AB37" s="713">
        <f t="shared" si="4"/>
        <v>1</v>
      </c>
      <c r="AC37" s="713">
        <f t="shared" si="5"/>
        <v>1</v>
      </c>
    </row>
    <row r="38" spans="1:29" ht="15">
      <c r="A38" s="431"/>
      <c r="B38" s="381" t="s">
        <v>2485</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1"/>
      <c r="M38" s="2945"/>
      <c r="N38" s="2945"/>
      <c r="O38" s="2945"/>
      <c r="P38" s="3288" t="s">
        <v>2386</v>
      </c>
      <c r="Q38" s="1536" t="str">
        <f t="shared" si="11"/>
        <v>业态</v>
      </c>
      <c r="R38" s="714" t="s">
        <v>17</v>
      </c>
      <c r="S38" s="715">
        <f t="shared" si="12"/>
        <v>100</v>
      </c>
      <c r="T38" s="714" t="s">
        <v>17</v>
      </c>
      <c r="U38" s="715">
        <f t="shared" si="13"/>
        <v>100</v>
      </c>
      <c r="V38" s="714" t="s">
        <v>17</v>
      </c>
      <c r="W38" s="715">
        <f t="shared" si="14"/>
        <v>100</v>
      </c>
      <c r="X38" s="1539"/>
      <c r="Y38" s="3290" t="s">
        <v>2386</v>
      </c>
      <c r="Z38" s="1540" t="str">
        <f t="shared" si="15"/>
        <v>业态</v>
      </c>
      <c r="AA38" s="1537">
        <f t="shared" si="3"/>
        <v>1</v>
      </c>
      <c r="AB38" s="1537">
        <f t="shared" si="4"/>
        <v>1</v>
      </c>
      <c r="AC38" s="1537">
        <f t="shared" si="5"/>
        <v>1</v>
      </c>
    </row>
    <row r="39" spans="1:29" ht="15">
      <c r="A39" s="431"/>
      <c r="B39" s="381" t="s">
        <v>2486</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1"/>
      <c r="M39" s="2945"/>
      <c r="N39" s="2945"/>
      <c r="O39" s="2945"/>
      <c r="P39" s="3288"/>
      <c r="Q39" s="1536" t="str">
        <f t="shared" si="11"/>
        <v>层高</v>
      </c>
      <c r="R39" s="714" t="s">
        <v>17</v>
      </c>
      <c r="S39" s="715">
        <f t="shared" si="12"/>
        <v>100</v>
      </c>
      <c r="T39" s="714" t="s">
        <v>17</v>
      </c>
      <c r="U39" s="715">
        <f t="shared" si="13"/>
        <v>100</v>
      </c>
      <c r="V39" s="714" t="s">
        <v>17</v>
      </c>
      <c r="W39" s="715">
        <f t="shared" si="14"/>
        <v>100</v>
      </c>
      <c r="X39" s="1539"/>
      <c r="Y39" s="3290"/>
      <c r="Z39" s="1540" t="str">
        <f t="shared" si="15"/>
        <v>层高</v>
      </c>
      <c r="AA39" s="1537">
        <f t="shared" si="3"/>
        <v>1</v>
      </c>
      <c r="AB39" s="1537">
        <f t="shared" si="4"/>
        <v>1</v>
      </c>
      <c r="AC39" s="1537">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1"/>
      <c r="M40" s="2945"/>
      <c r="N40" s="2945"/>
      <c r="O40" s="2945"/>
      <c r="P40" s="3288"/>
      <c r="Q40" s="1536" t="str">
        <f t="shared" si="11"/>
        <v>单套建筑面积</v>
      </c>
      <c r="R40" s="714" t="s">
        <v>17</v>
      </c>
      <c r="S40" s="715">
        <f t="shared" si="12"/>
        <v>100</v>
      </c>
      <c r="T40" s="714" t="s">
        <v>17</v>
      </c>
      <c r="U40" s="715">
        <f t="shared" si="13"/>
        <v>100</v>
      </c>
      <c r="V40" s="714" t="s">
        <v>17</v>
      </c>
      <c r="W40" s="715">
        <f t="shared" si="14"/>
        <v>100</v>
      </c>
      <c r="X40" s="1539"/>
      <c r="Y40" s="3290"/>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0"/>
      <c r="M41" s="2952"/>
      <c r="N41" s="2952"/>
      <c r="O41" s="2952"/>
      <c r="P41" s="3288"/>
      <c r="Q41" s="716" t="str">
        <f t="shared" si="11"/>
        <v>进深比</v>
      </c>
      <c r="R41" s="717" t="s">
        <v>17</v>
      </c>
      <c r="S41" s="718">
        <f t="shared" si="12"/>
        <v>100</v>
      </c>
      <c r="T41" s="717" t="s">
        <v>17</v>
      </c>
      <c r="U41" s="718">
        <f t="shared" si="13"/>
        <v>100</v>
      </c>
      <c r="V41" s="717" t="s">
        <v>17</v>
      </c>
      <c r="W41" s="718">
        <f t="shared" si="14"/>
        <v>100</v>
      </c>
      <c r="X41" s="719"/>
      <c r="Y41" s="3290"/>
      <c r="Z41" s="720" t="str">
        <f t="shared" si="15"/>
        <v>进深比</v>
      </c>
      <c r="AA41" s="1537">
        <f t="shared" si="3"/>
        <v>1</v>
      </c>
      <c r="AB41" s="1537">
        <f t="shared" si="4"/>
        <v>1</v>
      </c>
      <c r="AC41" s="1537">
        <f t="shared" si="5"/>
        <v>1</v>
      </c>
    </row>
    <row r="42" spans="1:29" ht="15">
      <c r="A42" s="431"/>
      <c r="B42" s="381" t="s">
        <v>2489</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1"/>
      <c r="M42" s="2945"/>
      <c r="N42" s="2945"/>
      <c r="O42" s="2945"/>
      <c r="P42" s="3288"/>
      <c r="Q42" s="1536" t="str">
        <f t="shared" si="11"/>
        <v>内部装修</v>
      </c>
      <c r="R42" s="714" t="s">
        <v>17</v>
      </c>
      <c r="S42" s="715">
        <f t="shared" si="12"/>
        <v>100</v>
      </c>
      <c r="T42" s="714" t="s">
        <v>17</v>
      </c>
      <c r="U42" s="715">
        <f t="shared" si="13"/>
        <v>100</v>
      </c>
      <c r="V42" s="714" t="s">
        <v>17</v>
      </c>
      <c r="W42" s="715">
        <f t="shared" si="14"/>
        <v>100</v>
      </c>
      <c r="X42" s="1539"/>
      <c r="Y42" s="3290"/>
      <c r="Z42" s="1540" t="str">
        <f t="shared" si="15"/>
        <v>内部装修</v>
      </c>
      <c r="AA42" s="1537">
        <f t="shared" si="3"/>
        <v>1</v>
      </c>
      <c r="AB42" s="1537">
        <f t="shared" si="4"/>
        <v>1</v>
      </c>
      <c r="AC42" s="1537">
        <f t="shared" si="5"/>
        <v>1</v>
      </c>
    </row>
    <row r="43" spans="1:29" ht="15">
      <c r="A43" s="431"/>
      <c r="B43" s="381" t="s">
        <v>2397</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1"/>
      <c r="M43" s="2945"/>
      <c r="N43" s="2945"/>
      <c r="O43" s="2945"/>
      <c r="P43" s="3288"/>
      <c r="Q43" s="1536" t="str">
        <f t="shared" si="11"/>
        <v>内部装修维护情况</v>
      </c>
      <c r="R43" s="714" t="s">
        <v>17</v>
      </c>
      <c r="S43" s="715">
        <f t="shared" si="12"/>
        <v>100</v>
      </c>
      <c r="T43" s="714" t="s">
        <v>17</v>
      </c>
      <c r="U43" s="715">
        <f t="shared" si="13"/>
        <v>100</v>
      </c>
      <c r="V43" s="714" t="s">
        <v>17</v>
      </c>
      <c r="W43" s="715">
        <f t="shared" si="14"/>
        <v>100</v>
      </c>
      <c r="X43" s="1539"/>
      <c r="Y43" s="3290"/>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6"/>
      <c r="M44" s="2947"/>
      <c r="N44" s="2947"/>
      <c r="O44" s="2947"/>
      <c r="P44" s="3288"/>
      <c r="Q44" s="1527">
        <f t="shared" si="11"/>
        <v>111</v>
      </c>
      <c r="R44" s="710" t="s">
        <v>17</v>
      </c>
      <c r="S44" s="711">
        <f t="shared" si="12"/>
        <v>100</v>
      </c>
      <c r="T44" s="710" t="s">
        <v>17</v>
      </c>
      <c r="U44" s="711">
        <f t="shared" si="13"/>
        <v>100</v>
      </c>
      <c r="V44" s="710" t="s">
        <v>17</v>
      </c>
      <c r="W44" s="711">
        <f t="shared" si="14"/>
        <v>100</v>
      </c>
      <c r="X44" s="712"/>
      <c r="Y44" s="3290"/>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1"/>
      <c r="M45" s="2945"/>
      <c r="N45" s="2945"/>
      <c r="O45" s="2945"/>
      <c r="P45" s="3288"/>
      <c r="Q45" s="1536">
        <f t="shared" si="11"/>
        <v>111</v>
      </c>
      <c r="R45" s="714" t="s">
        <v>17</v>
      </c>
      <c r="S45" s="715">
        <f t="shared" si="12"/>
        <v>100</v>
      </c>
      <c r="T45" s="714" t="s">
        <v>17</v>
      </c>
      <c r="U45" s="715">
        <f t="shared" si="13"/>
        <v>100</v>
      </c>
      <c r="V45" s="714" t="s">
        <v>17</v>
      </c>
      <c r="W45" s="715">
        <f t="shared" si="14"/>
        <v>100</v>
      </c>
      <c r="X45" s="1539"/>
      <c r="Y45" s="3290"/>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1"/>
      <c r="M46" s="2945"/>
      <c r="N46" s="2945"/>
      <c r="O46" s="2945"/>
      <c r="P46" s="3289"/>
      <c r="Q46" s="1536">
        <f t="shared" si="11"/>
        <v>111</v>
      </c>
      <c r="R46" s="714" t="s">
        <v>17</v>
      </c>
      <c r="S46" s="715">
        <f t="shared" si="12"/>
        <v>100</v>
      </c>
      <c r="T46" s="714" t="s">
        <v>17</v>
      </c>
      <c r="U46" s="715">
        <f t="shared" si="13"/>
        <v>100</v>
      </c>
      <c r="V46" s="714" t="s">
        <v>17</v>
      </c>
      <c r="W46" s="715">
        <f t="shared" si="14"/>
        <v>100</v>
      </c>
      <c r="X46" s="1539"/>
      <c r="Y46" s="3291"/>
      <c r="Z46" s="1540">
        <f t="shared" si="15"/>
        <v>111</v>
      </c>
      <c r="AA46" s="1537">
        <f t="shared" si="3"/>
        <v>1</v>
      </c>
      <c r="AB46" s="1537">
        <f t="shared" si="4"/>
        <v>1</v>
      </c>
      <c r="AC46" s="1537">
        <f t="shared" si="5"/>
        <v>1</v>
      </c>
    </row>
    <row r="47" spans="1:29" ht="15">
      <c r="A47" s="438" t="s">
        <v>2398</v>
      </c>
      <c r="B47" s="439"/>
      <c r="C47" s="1316" t="s">
        <v>1</v>
      </c>
      <c r="D47" s="1317"/>
      <c r="E47" s="1318"/>
      <c r="F47" s="1319"/>
      <c r="G47" s="1320"/>
      <c r="H47" s="1321"/>
      <c r="I47" s="1318"/>
      <c r="J47" s="1321"/>
      <c r="K47" s="723"/>
      <c r="L47" s="2953"/>
      <c r="M47" s="2954"/>
      <c r="N47" s="2945"/>
      <c r="O47" s="2954"/>
      <c r="P47" s="3283" t="str">
        <f>A47</f>
        <v>成交单价（元/平方米）</v>
      </c>
      <c r="Q47" s="3283"/>
      <c r="R47" s="3314">
        <f>E47</f>
        <v>0</v>
      </c>
      <c r="S47" s="3314"/>
      <c r="T47" s="3314">
        <f>G47</f>
        <v>0</v>
      </c>
      <c r="U47" s="3314"/>
      <c r="V47" s="3314">
        <f>I47</f>
        <v>0</v>
      </c>
      <c r="W47" s="3314"/>
      <c r="X47" s="699"/>
      <c r="Y47" s="721"/>
      <c r="Z47" s="699"/>
      <c r="AA47" s="699"/>
      <c r="AB47" s="699"/>
      <c r="AC47" s="699"/>
    </row>
    <row r="48" spans="1:29" ht="15.75" thickBot="1">
      <c r="A48" s="445" t="s">
        <v>2490</v>
      </c>
      <c r="B48" s="446"/>
      <c r="C48" s="1322" t="e">
        <f>R49</f>
        <v>#DIV/0!</v>
      </c>
      <c r="D48" s="2538" t="s">
        <v>2880</v>
      </c>
      <c r="E48" s="1323" t="e">
        <f>R48</f>
        <v>#DIV/0!</v>
      </c>
      <c r="F48" s="2539"/>
      <c r="G48" s="1322" t="e">
        <f>T48</f>
        <v>#DIV/0!</v>
      </c>
      <c r="H48" s="2539"/>
      <c r="I48" s="1323" t="e">
        <f>V48</f>
        <v>#DIV/0!</v>
      </c>
      <c r="J48" s="2539"/>
      <c r="K48" s="2541">
        <f>F48+H48+J48</f>
        <v>0</v>
      </c>
      <c r="L48" s="2953"/>
      <c r="M48" s="2954"/>
      <c r="N48" s="2945"/>
      <c r="O48" s="2954"/>
      <c r="P48" s="3283" t="str">
        <f>A48</f>
        <v>比较价值（元/平方米）</v>
      </c>
      <c r="Q48" s="3283"/>
      <c r="R48" s="3284" t="e">
        <f>IF(F1="售价",ROUND(PRODUCT(R47,AA7:AA46),0),ROUND(PRODUCT(R47,AA7:AA46),1))</f>
        <v>#DIV/0!</v>
      </c>
      <c r="S48" s="3284"/>
      <c r="T48" s="3284" t="e">
        <f>IF(F1="售价",ROUND(PRODUCT(T47,AB7:AB46),0),ROUND(PRODUCT(T47,AB7:AB46),1))</f>
        <v>#DIV/0!</v>
      </c>
      <c r="U48" s="3284"/>
      <c r="V48" s="3284" t="e">
        <f>IF(F1="售价",ROUND(PRODUCT(V47,AC7:AC46),0),ROUND(PRODUCT(V47,AC7:AC46),1))</f>
        <v>#DIV/0!</v>
      </c>
      <c r="W48" s="3284"/>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3"/>
      <c r="M49" s="2954"/>
      <c r="N49" s="2945"/>
      <c r="O49" s="2954"/>
      <c r="P49" s="3280" t="str">
        <f>A49</f>
        <v>估价对象XX用房的比较价值（楼面单价，元/平方米）</v>
      </c>
      <c r="Q49" s="3281"/>
      <c r="R49" s="3282" t="e">
        <f>IF(F1="售价",ROUND(IF(D48="简单平均",AVERAGE(R48:V48),R48*F48+T48*H48+V48*J48),0),ROUND(IF(D48="简单平均",AVERAGE(R48:V48),R48*F48+T48*H48+V48*J48),1))</f>
        <v>#DIV/0!</v>
      </c>
      <c r="S49" s="3282"/>
      <c r="T49" s="3282"/>
      <c r="U49" s="3282"/>
      <c r="V49" s="3282"/>
      <c r="W49" s="3282"/>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9" customFormat="1" ht="13.5" customHeight="1">
      <c r="A54" s="2957"/>
      <c r="B54" s="2957"/>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9"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3" t="s">
        <v>2495</v>
      </c>
      <c r="B57" s="699"/>
      <c r="C57" s="704"/>
      <c r="D57" s="704"/>
      <c r="E57" s="704"/>
      <c r="F57" s="705"/>
      <c r="G57" s="705"/>
      <c r="H57" s="704"/>
      <c r="I57" s="704"/>
      <c r="J57" s="704"/>
      <c r="K57" s="706"/>
      <c r="L57" s="1073"/>
      <c r="M57" s="1071"/>
      <c r="N57" s="1071"/>
      <c r="O57" s="1071"/>
      <c r="P57" s="2967"/>
      <c r="Q57" s="2968"/>
      <c r="R57" s="2954"/>
      <c r="S57" s="2954"/>
      <c r="T57" s="2954"/>
      <c r="U57" s="2954"/>
      <c r="V57" s="2954"/>
      <c r="W57" s="2954"/>
      <c r="X57" s="2954"/>
      <c r="Y57" s="2954"/>
      <c r="Z57" s="2954"/>
      <c r="AA57" s="2954"/>
      <c r="AB57" s="2954"/>
      <c r="AC57" s="2954"/>
    </row>
    <row r="58" spans="1:29" s="465" customFormat="1" ht="15">
      <c r="A58" s="462" t="s">
        <v>2369</v>
      </c>
      <c r="B58" s="463"/>
      <c r="C58" s="1346" t="str">
        <f>YEAR(C7)&amp;"-"&amp;MONTH(C7)</f>
        <v>2021-6</v>
      </c>
      <c r="D58" s="1347">
        <f>EDATE(C58,-1)</f>
        <v>44317</v>
      </c>
      <c r="E58" s="1347">
        <f t="shared" ref="E58:N58" si="16">EDATE(D58,-1)</f>
        <v>44287</v>
      </c>
      <c r="F58" s="1347">
        <f t="shared" si="16"/>
        <v>44256</v>
      </c>
      <c r="G58" s="1347">
        <f t="shared" si="16"/>
        <v>44228</v>
      </c>
      <c r="H58" s="1347">
        <f t="shared" si="16"/>
        <v>44197</v>
      </c>
      <c r="I58" s="1347">
        <f t="shared" si="16"/>
        <v>44166</v>
      </c>
      <c r="J58" s="1347">
        <f t="shared" si="16"/>
        <v>44136</v>
      </c>
      <c r="K58" s="1347">
        <f t="shared" si="16"/>
        <v>44105</v>
      </c>
      <c r="L58" s="1347">
        <f t="shared" si="16"/>
        <v>44075</v>
      </c>
      <c r="M58" s="1347">
        <f t="shared" si="16"/>
        <v>44044</v>
      </c>
      <c r="N58" s="1347">
        <f t="shared" si="16"/>
        <v>44013</v>
      </c>
      <c r="O58" s="1347">
        <f>EDATE(N58,-1)</f>
        <v>43983</v>
      </c>
      <c r="P58" s="2969"/>
      <c r="Q58" s="2970"/>
      <c r="R58" s="2970"/>
      <c r="S58" s="2970"/>
      <c r="T58" s="2970"/>
      <c r="U58" s="2970"/>
      <c r="V58" s="2970"/>
      <c r="W58" s="2970"/>
      <c r="X58" s="2970"/>
      <c r="Y58" s="2970"/>
      <c r="Z58" s="2970"/>
      <c r="AA58" s="2970"/>
      <c r="AB58" s="2970"/>
      <c r="AC58" s="2970"/>
    </row>
    <row r="59" spans="1:29" s="113" customFormat="1" ht="15">
      <c r="A59" s="466"/>
      <c r="B59" s="467"/>
      <c r="C59" s="1345">
        <v>100</v>
      </c>
      <c r="D59" s="469"/>
      <c r="E59" s="469"/>
      <c r="F59" s="469"/>
      <c r="G59" s="469"/>
      <c r="H59" s="469"/>
      <c r="I59" s="469"/>
      <c r="J59" s="469"/>
      <c r="K59" s="469"/>
      <c r="L59" s="469"/>
      <c r="M59" s="470"/>
      <c r="N59" s="469"/>
      <c r="O59" s="470"/>
      <c r="P59" s="2971"/>
      <c r="Q59" s="2888"/>
      <c r="R59" s="2888"/>
      <c r="S59" s="2888"/>
      <c r="T59" s="2888"/>
      <c r="U59" s="2888"/>
      <c r="V59" s="2888"/>
      <c r="W59" s="2888"/>
      <c r="X59" s="2888"/>
      <c r="Y59" s="2888"/>
      <c r="Z59" s="2888"/>
      <c r="AA59" s="2888"/>
      <c r="AB59" s="2888"/>
      <c r="AC59" s="2888"/>
    </row>
    <row r="60" spans="1:29" s="113" customFormat="1" ht="15.75" thickBot="1">
      <c r="A60" s="472" t="s">
        <v>2406</v>
      </c>
      <c r="B60" s="473"/>
      <c r="C60" s="474"/>
      <c r="D60" s="475"/>
      <c r="E60" s="475"/>
      <c r="F60" s="475"/>
      <c r="G60" s="475"/>
      <c r="H60" s="475"/>
      <c r="I60" s="475"/>
      <c r="J60" s="475"/>
      <c r="K60" s="475"/>
      <c r="L60" s="475"/>
      <c r="M60" s="476"/>
      <c r="N60" s="475"/>
      <c r="O60" s="476"/>
      <c r="P60" s="2971"/>
      <c r="Q60" s="2968"/>
      <c r="R60" s="2888"/>
      <c r="S60" s="2888"/>
      <c r="T60" s="2888"/>
      <c r="U60" s="2888"/>
      <c r="V60" s="2888"/>
      <c r="W60" s="2888"/>
      <c r="X60" s="2888"/>
      <c r="Y60" s="2888"/>
      <c r="Z60" s="2888"/>
      <c r="AA60" s="2888"/>
      <c r="AB60" s="2888"/>
      <c r="AC60" s="2888"/>
    </row>
    <row r="61" spans="1:29" s="113" customFormat="1" ht="15">
      <c r="A61" s="478" t="s">
        <v>2371</v>
      </c>
      <c r="B61" s="467"/>
      <c r="C61" s="479" t="s">
        <v>2473</v>
      </c>
      <c r="D61" s="480"/>
      <c r="E61" s="480"/>
      <c r="F61" s="480"/>
      <c r="G61" s="480"/>
      <c r="H61" s="480"/>
      <c r="I61" s="480"/>
      <c r="J61" s="480"/>
      <c r="K61" s="480"/>
      <c r="L61" s="481"/>
      <c r="M61" s="482"/>
      <c r="N61" s="2981"/>
      <c r="O61" s="2981"/>
      <c r="P61" s="2972"/>
      <c r="Q61" s="2968"/>
      <c r="R61" s="2888"/>
      <c r="S61" s="2888"/>
      <c r="T61" s="2888"/>
      <c r="U61" s="2888"/>
      <c r="V61" s="2888"/>
      <c r="W61" s="2888"/>
      <c r="X61" s="2888"/>
      <c r="Y61" s="2888"/>
      <c r="Z61" s="2888"/>
      <c r="AA61" s="2888"/>
      <c r="AB61" s="2888"/>
      <c r="AC61" s="2888"/>
    </row>
    <row r="62" spans="1:29" s="113" customFormat="1" ht="15.75" thickBot="1">
      <c r="A62" s="478"/>
      <c r="B62" s="467"/>
      <c r="C62" s="468">
        <v>100</v>
      </c>
      <c r="D62" s="469"/>
      <c r="E62" s="469"/>
      <c r="F62" s="469"/>
      <c r="G62" s="469"/>
      <c r="H62" s="469"/>
      <c r="I62" s="469"/>
      <c r="J62" s="469"/>
      <c r="K62" s="469"/>
      <c r="L62" s="469"/>
      <c r="M62" s="471"/>
      <c r="N62" s="2981"/>
      <c r="O62" s="2981"/>
      <c r="P62" s="2971"/>
      <c r="Q62" s="2968"/>
      <c r="R62" s="2888"/>
      <c r="S62" s="2888"/>
      <c r="T62" s="2888"/>
      <c r="U62" s="2888"/>
      <c r="V62" s="2888"/>
      <c r="W62" s="2888"/>
      <c r="X62" s="2888"/>
      <c r="Y62" s="2888"/>
      <c r="Z62" s="2888"/>
      <c r="AA62" s="2888"/>
      <c r="AB62" s="2888"/>
      <c r="AC62" s="2888"/>
    </row>
    <row r="63" spans="1:29">
      <c r="A63" s="484" t="s">
        <v>2409</v>
      </c>
      <c r="B63" s="485" t="s">
        <v>2375</v>
      </c>
      <c r="C63" s="486">
        <f>C9</f>
        <v>0</v>
      </c>
      <c r="D63" s="487"/>
      <c r="E63" s="487"/>
      <c r="F63" s="487"/>
      <c r="G63" s="487"/>
      <c r="H63" s="487"/>
      <c r="I63" s="487"/>
      <c r="J63" s="487"/>
      <c r="K63" s="488"/>
      <c r="L63" s="489"/>
      <c r="M63" s="490"/>
      <c r="N63" s="2982"/>
      <c r="O63" s="2982"/>
      <c r="P63" s="2973"/>
      <c r="Q63" s="2968"/>
      <c r="R63" s="2954"/>
      <c r="S63" s="2954"/>
      <c r="T63" s="2954"/>
      <c r="U63" s="2954"/>
      <c r="V63" s="2954"/>
      <c r="W63" s="2954"/>
      <c r="X63" s="2954"/>
      <c r="Y63" s="2954"/>
      <c r="Z63" s="2954"/>
      <c r="AA63" s="2954"/>
      <c r="AB63" s="2954"/>
      <c r="AC63" s="2954"/>
    </row>
    <row r="64" spans="1:29" ht="15.75" thickBot="1">
      <c r="A64" s="491"/>
      <c r="B64" s="492"/>
      <c r="C64" s="493">
        <v>100</v>
      </c>
      <c r="D64" s="493"/>
      <c r="E64" s="493"/>
      <c r="F64" s="493"/>
      <c r="G64" s="493"/>
      <c r="H64" s="493"/>
      <c r="I64" s="493"/>
      <c r="J64" s="493"/>
      <c r="K64" s="493"/>
      <c r="L64" s="493"/>
      <c r="M64" s="494"/>
      <c r="N64" s="2983"/>
      <c r="O64" s="2983"/>
      <c r="P64" s="2973"/>
      <c r="Q64" s="2968"/>
      <c r="R64" s="2954"/>
      <c r="S64" s="2954"/>
      <c r="T64" s="2954"/>
      <c r="U64" s="2954"/>
      <c r="V64" s="2954"/>
      <c r="W64" s="2954"/>
      <c r="X64" s="2954"/>
      <c r="Y64" s="2954"/>
      <c r="Z64" s="2954"/>
      <c r="AA64" s="2954"/>
      <c r="AB64" s="2954"/>
      <c r="AC64" s="2954"/>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2"/>
      <c r="O65" s="2982"/>
      <c r="P65" s="2973"/>
      <c r="Q65" s="2968"/>
      <c r="R65" s="2954"/>
      <c r="S65" s="2954"/>
      <c r="T65" s="2954"/>
      <c r="U65" s="2954"/>
      <c r="V65" s="2954"/>
      <c r="W65" s="2954"/>
      <c r="X65" s="2954"/>
      <c r="Y65" s="2954"/>
      <c r="Z65" s="2954"/>
      <c r="AA65" s="2954"/>
      <c r="AB65" s="2954"/>
      <c r="AC65" s="295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3"/>
      <c r="O66" s="2983"/>
      <c r="P66" s="2973"/>
      <c r="Q66" s="2968"/>
      <c r="R66" s="2954"/>
      <c r="S66" s="2954"/>
      <c r="T66" s="2954"/>
      <c r="U66" s="2954"/>
      <c r="V66" s="2954"/>
      <c r="W66" s="2954"/>
      <c r="X66" s="2954"/>
      <c r="Y66" s="2954"/>
      <c r="Z66" s="2954"/>
      <c r="AA66" s="2954"/>
      <c r="AB66" s="2954"/>
      <c r="AC66" s="2954"/>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1"/>
      <c r="B68" s="505"/>
      <c r="C68" s="506"/>
      <c r="D68" s="506"/>
      <c r="E68" s="506"/>
      <c r="F68" s="506"/>
      <c r="G68" s="506"/>
      <c r="H68" s="506"/>
      <c r="I68" s="506"/>
      <c r="J68" s="506"/>
      <c r="K68" s="507"/>
      <c r="L68" s="508"/>
      <c r="M68" s="509"/>
      <c r="N68" s="2982"/>
      <c r="O68" s="2982"/>
      <c r="P68" s="2973"/>
      <c r="Q68" s="2968"/>
      <c r="R68" s="2954"/>
      <c r="S68" s="2954"/>
      <c r="T68" s="2954"/>
      <c r="U68" s="2954"/>
      <c r="V68" s="2954"/>
      <c r="W68" s="2954"/>
      <c r="X68" s="2954"/>
      <c r="Y68" s="2954"/>
      <c r="Z68" s="2954"/>
      <c r="AA68" s="2954"/>
      <c r="AB68" s="2954"/>
      <c r="AC68" s="295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3"/>
      <c r="O69" s="2983"/>
      <c r="P69" s="2973"/>
      <c r="Q69" s="2968"/>
      <c r="R69" s="2954"/>
      <c r="S69" s="2954"/>
      <c r="T69" s="2954"/>
      <c r="U69" s="2954"/>
      <c r="V69" s="2954"/>
      <c r="W69" s="2954"/>
      <c r="X69" s="2954"/>
      <c r="Y69" s="2954"/>
      <c r="Z69" s="2954"/>
      <c r="AA69" s="2954"/>
      <c r="AB69" s="2954"/>
      <c r="AC69" s="2954"/>
    </row>
    <row r="70" spans="1:29" s="430" customFormat="1" ht="15.75" thickTop="1">
      <c r="A70" s="510"/>
      <c r="B70" s="495">
        <f>B12</f>
        <v>111</v>
      </c>
      <c r="C70" s="511"/>
      <c r="D70" s="511"/>
      <c r="E70" s="511"/>
      <c r="F70" s="511"/>
      <c r="G70" s="511"/>
      <c r="H70" s="512"/>
      <c r="I70" s="512"/>
      <c r="J70" s="512"/>
      <c r="K70" s="512"/>
      <c r="L70" s="513"/>
      <c r="M70" s="514"/>
      <c r="N70" s="2984"/>
      <c r="O70" s="2984"/>
      <c r="P70" s="2974"/>
      <c r="Q70" s="2975"/>
      <c r="R70" s="2976"/>
      <c r="S70" s="2976"/>
      <c r="T70" s="2976"/>
      <c r="U70" s="2976"/>
      <c r="V70" s="2976"/>
      <c r="W70" s="2976"/>
      <c r="X70" s="2976"/>
      <c r="Y70" s="2976"/>
      <c r="Z70" s="2976"/>
      <c r="AA70" s="2976"/>
      <c r="AB70" s="2976"/>
      <c r="AC70" s="2976"/>
    </row>
    <row r="71" spans="1:29" s="430" customFormat="1" ht="15.75" thickBot="1">
      <c r="A71" s="510"/>
      <c r="B71" s="500"/>
      <c r="C71" s="517"/>
      <c r="D71" s="493"/>
      <c r="E71" s="493"/>
      <c r="F71" s="493"/>
      <c r="G71" s="493"/>
      <c r="H71" s="493"/>
      <c r="I71" s="493"/>
      <c r="J71" s="493"/>
      <c r="K71" s="493"/>
      <c r="L71" s="493"/>
      <c r="M71" s="494"/>
      <c r="N71" s="2983"/>
      <c r="O71" s="2983"/>
      <c r="P71" s="2974"/>
      <c r="Q71" s="2975"/>
      <c r="R71" s="2976"/>
      <c r="S71" s="2976"/>
      <c r="T71" s="2976"/>
      <c r="U71" s="2976"/>
      <c r="V71" s="2976"/>
      <c r="W71" s="2976"/>
      <c r="X71" s="2976"/>
      <c r="Y71" s="2976"/>
      <c r="Z71" s="2976"/>
      <c r="AA71" s="2976"/>
      <c r="AB71" s="2976"/>
      <c r="AC71" s="2976"/>
    </row>
    <row r="72" spans="1:29" s="430" customFormat="1" ht="15.75" thickTop="1">
      <c r="A72" s="510"/>
      <c r="B72" s="495">
        <f>B13</f>
        <v>111</v>
      </c>
      <c r="C72" s="511"/>
      <c r="D72" s="511"/>
      <c r="E72" s="511"/>
      <c r="F72" s="511"/>
      <c r="G72" s="511"/>
      <c r="H72" s="512"/>
      <c r="I72" s="512"/>
      <c r="J72" s="512"/>
      <c r="K72" s="512"/>
      <c r="L72" s="513"/>
      <c r="M72" s="514"/>
      <c r="N72" s="2984"/>
      <c r="O72" s="2984"/>
      <c r="P72" s="2977"/>
      <c r="Q72" s="2978"/>
      <c r="R72" s="2976"/>
      <c r="S72" s="2976"/>
      <c r="T72" s="2976"/>
      <c r="U72" s="2976"/>
      <c r="V72" s="2976"/>
      <c r="W72" s="2976"/>
      <c r="X72" s="2976"/>
      <c r="Y72" s="2976"/>
      <c r="Z72" s="2976"/>
      <c r="AA72" s="2976"/>
      <c r="AB72" s="2976"/>
      <c r="AC72" s="2976"/>
    </row>
    <row r="73" spans="1:29" s="430" customFormat="1" ht="15.75" thickBot="1">
      <c r="A73" s="510"/>
      <c r="B73" s="500"/>
      <c r="C73" s="517"/>
      <c r="D73" s="493"/>
      <c r="E73" s="493"/>
      <c r="F73" s="493"/>
      <c r="G73" s="517"/>
      <c r="H73" s="519"/>
      <c r="I73" s="519"/>
      <c r="J73" s="519"/>
      <c r="K73" s="519"/>
      <c r="L73" s="519"/>
      <c r="M73" s="520"/>
      <c r="N73" s="2984"/>
      <c r="O73" s="2984"/>
      <c r="P73" s="2974"/>
      <c r="Q73" s="2975"/>
      <c r="R73" s="2976"/>
      <c r="S73" s="2976"/>
      <c r="T73" s="2976"/>
      <c r="U73" s="2976"/>
      <c r="V73" s="2976"/>
      <c r="W73" s="2976"/>
      <c r="X73" s="2976"/>
      <c r="Y73" s="2976"/>
      <c r="Z73" s="2976"/>
      <c r="AA73" s="2976"/>
      <c r="AB73" s="2976"/>
      <c r="AC73" s="2976"/>
    </row>
    <row r="74" spans="1:29" s="430" customFormat="1" ht="15.75" thickTop="1">
      <c r="A74" s="510"/>
      <c r="B74" s="503">
        <f>B14</f>
        <v>111</v>
      </c>
      <c r="C74" s="511"/>
      <c r="D74" s="511"/>
      <c r="E74" s="511"/>
      <c r="F74" s="511"/>
      <c r="G74" s="480"/>
      <c r="H74" s="521"/>
      <c r="I74" s="521"/>
      <c r="J74" s="521"/>
      <c r="K74" s="521"/>
      <c r="L74" s="522"/>
      <c r="M74" s="523"/>
      <c r="N74" s="2984"/>
      <c r="O74" s="2984"/>
      <c r="P74" s="2979"/>
      <c r="Q74" s="2975"/>
      <c r="R74" s="2976"/>
      <c r="S74" s="2976"/>
      <c r="T74" s="2976"/>
      <c r="U74" s="2976"/>
      <c r="V74" s="2976"/>
      <c r="W74" s="2976"/>
      <c r="X74" s="2976"/>
      <c r="Y74" s="2976"/>
      <c r="Z74" s="2976"/>
      <c r="AA74" s="2976"/>
      <c r="AB74" s="2976"/>
      <c r="AC74" s="2976"/>
    </row>
    <row r="75" spans="1:29" s="430" customFormat="1" ht="15.75" thickBot="1">
      <c r="A75" s="525"/>
      <c r="B75" s="526"/>
      <c r="C75" s="527"/>
      <c r="D75" s="527"/>
      <c r="E75" s="527"/>
      <c r="F75" s="527"/>
      <c r="G75" s="527"/>
      <c r="H75" s="528"/>
      <c r="I75" s="528"/>
      <c r="J75" s="528"/>
      <c r="K75" s="528"/>
      <c r="L75" s="528"/>
      <c r="M75" s="529"/>
      <c r="N75" s="2984"/>
      <c r="O75" s="2984"/>
      <c r="P75" s="2974"/>
      <c r="Q75" s="2975"/>
      <c r="R75" s="2976"/>
      <c r="S75" s="2976"/>
      <c r="T75" s="2976"/>
      <c r="U75" s="2976"/>
      <c r="V75" s="2976"/>
      <c r="W75" s="2976"/>
      <c r="X75" s="2976"/>
      <c r="Y75" s="2976"/>
      <c r="Z75" s="2976"/>
      <c r="AA75" s="2976"/>
      <c r="AB75" s="2976"/>
      <c r="AC75" s="2976"/>
    </row>
    <row r="76" spans="1:29">
      <c r="A76" s="484" t="s">
        <v>2380</v>
      </c>
      <c r="B76" s="485" t="s">
        <v>2417</v>
      </c>
      <c r="C76" s="530" t="s">
        <v>2418</v>
      </c>
      <c r="D76" s="530" t="s">
        <v>2419</v>
      </c>
      <c r="E76" s="530" t="s">
        <v>2420</v>
      </c>
      <c r="F76" s="530" t="s">
        <v>2421</v>
      </c>
      <c r="G76" s="530" t="s">
        <v>2422</v>
      </c>
      <c r="H76" s="486"/>
      <c r="I76" s="486"/>
      <c r="J76" s="486"/>
      <c r="K76" s="531"/>
      <c r="L76" s="532"/>
      <c r="M76" s="533"/>
      <c r="N76" s="2982"/>
      <c r="O76" s="2982"/>
      <c r="P76" s="2980"/>
      <c r="Q76" s="2968"/>
      <c r="R76" s="2954"/>
      <c r="S76" s="2954"/>
      <c r="T76" s="2954"/>
      <c r="U76" s="2954"/>
      <c r="V76" s="2954"/>
      <c r="W76" s="2954"/>
      <c r="X76" s="2954"/>
      <c r="Y76" s="2954"/>
      <c r="Z76" s="2954"/>
      <c r="AA76" s="2954"/>
      <c r="AB76" s="2954"/>
      <c r="AC76" s="295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3"/>
      <c r="O77" s="2983"/>
      <c r="P77" s="2973"/>
      <c r="Q77" s="2968"/>
      <c r="R77" s="2954"/>
      <c r="S77" s="2954"/>
      <c r="T77" s="2954"/>
      <c r="U77" s="2954"/>
      <c r="V77" s="2954"/>
      <c r="W77" s="2954"/>
      <c r="X77" s="2954"/>
      <c r="Y77" s="2954"/>
      <c r="Z77" s="2954"/>
      <c r="AA77" s="2954"/>
      <c r="AB77" s="2954"/>
      <c r="AC77" s="2954"/>
    </row>
    <row r="78" spans="1:29" ht="15.75" thickTop="1">
      <c r="A78" s="491"/>
      <c r="B78" s="495" t="s">
        <v>2423</v>
      </c>
      <c r="C78" s="535" t="s">
        <v>2418</v>
      </c>
      <c r="D78" s="535" t="s">
        <v>2419</v>
      </c>
      <c r="E78" s="535" t="s">
        <v>2420</v>
      </c>
      <c r="F78" s="535" t="s">
        <v>2421</v>
      </c>
      <c r="G78" s="535" t="s">
        <v>2422</v>
      </c>
      <c r="H78" s="496"/>
      <c r="I78" s="496"/>
      <c r="J78" s="496"/>
      <c r="K78" s="497"/>
      <c r="L78" s="498"/>
      <c r="M78" s="499"/>
      <c r="N78" s="2982"/>
      <c r="O78" s="2982"/>
      <c r="P78" s="2973"/>
      <c r="Q78" s="2968"/>
      <c r="R78" s="2954"/>
      <c r="S78" s="2954"/>
      <c r="T78" s="2954"/>
      <c r="U78" s="2954"/>
      <c r="V78" s="2954"/>
      <c r="W78" s="2954"/>
      <c r="X78" s="2954"/>
      <c r="Y78" s="2954"/>
      <c r="Z78" s="2954"/>
      <c r="AA78" s="2954"/>
      <c r="AB78" s="2954"/>
      <c r="AC78" s="295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3"/>
      <c r="O79" s="2983"/>
      <c r="P79" s="2973"/>
      <c r="Q79" s="2968"/>
      <c r="R79" s="2954"/>
      <c r="S79" s="2954"/>
      <c r="T79" s="2954"/>
      <c r="U79" s="2954"/>
      <c r="V79" s="2954"/>
      <c r="W79" s="2954"/>
      <c r="X79" s="2954"/>
      <c r="Y79" s="2954"/>
      <c r="Z79" s="2954"/>
      <c r="AA79" s="2954"/>
      <c r="AB79" s="2954"/>
      <c r="AC79" s="2954"/>
    </row>
    <row r="80" spans="1:29" ht="15.75" thickTop="1">
      <c r="A80" s="491"/>
      <c r="B80" s="495" t="s">
        <v>2424</v>
      </c>
      <c r="C80" s="535" t="s">
        <v>2418</v>
      </c>
      <c r="D80" s="535" t="s">
        <v>2419</v>
      </c>
      <c r="E80" s="535" t="s">
        <v>2420</v>
      </c>
      <c r="F80" s="535" t="s">
        <v>2421</v>
      </c>
      <c r="G80" s="535" t="s">
        <v>2422</v>
      </c>
      <c r="H80" s="496"/>
      <c r="I80" s="496"/>
      <c r="J80" s="496"/>
      <c r="K80" s="497"/>
      <c r="L80" s="498"/>
      <c r="M80" s="499"/>
      <c r="N80" s="2982"/>
      <c r="O80" s="2982"/>
      <c r="P80" s="2973"/>
      <c r="Q80" s="2968"/>
      <c r="R80" s="2954"/>
      <c r="S80" s="2954"/>
      <c r="T80" s="2954"/>
      <c r="U80" s="2954"/>
      <c r="V80" s="2954"/>
      <c r="W80" s="2954"/>
      <c r="X80" s="2954"/>
      <c r="Y80" s="2954"/>
      <c r="Z80" s="2954"/>
      <c r="AA80" s="2954"/>
      <c r="AB80" s="2954"/>
      <c r="AC80" s="295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3"/>
      <c r="O81" s="2983"/>
      <c r="P81" s="2973"/>
      <c r="Q81" s="2968"/>
      <c r="R81" s="2954"/>
      <c r="S81" s="2954"/>
      <c r="T81" s="2954"/>
      <c r="U81" s="2954"/>
      <c r="V81" s="2954"/>
      <c r="W81" s="2954"/>
      <c r="X81" s="2954"/>
      <c r="Y81" s="2954"/>
      <c r="Z81" s="2954"/>
      <c r="AA81" s="2954"/>
      <c r="AB81" s="2954"/>
      <c r="AC81" s="2954"/>
    </row>
    <row r="82" spans="1:29" ht="15.75" thickTop="1">
      <c r="A82" s="491"/>
      <c r="B82" s="503" t="s">
        <v>2476</v>
      </c>
      <c r="C82" s="616" t="s">
        <v>2496</v>
      </c>
      <c r="D82" s="616" t="s">
        <v>2497</v>
      </c>
      <c r="E82" s="616" t="s">
        <v>2498</v>
      </c>
      <c r="F82" s="616" t="s">
        <v>2499</v>
      </c>
      <c r="G82" s="616" t="s">
        <v>2500</v>
      </c>
      <c r="H82" s="496"/>
      <c r="I82" s="496"/>
      <c r="J82" s="496"/>
      <c r="K82" s="496"/>
      <c r="L82" s="496"/>
      <c r="M82" s="1291"/>
      <c r="N82" s="2983"/>
      <c r="O82" s="2983"/>
      <c r="P82" s="2973"/>
      <c r="Q82" s="2968"/>
      <c r="R82" s="2954"/>
      <c r="S82" s="2954"/>
      <c r="T82" s="2954"/>
      <c r="U82" s="2954"/>
      <c r="V82" s="2954"/>
      <c r="W82" s="2954"/>
      <c r="X82" s="2954"/>
      <c r="Y82" s="2954"/>
      <c r="Z82" s="2954"/>
      <c r="AA82" s="2954"/>
      <c r="AB82" s="2954"/>
      <c r="AC82" s="295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3"/>
      <c r="O83" s="2983"/>
      <c r="P83" s="2973"/>
      <c r="Q83" s="2968"/>
      <c r="R83" s="2954"/>
      <c r="S83" s="2954"/>
      <c r="T83" s="2954"/>
      <c r="U83" s="2954"/>
      <c r="V83" s="2954"/>
      <c r="W83" s="2954"/>
      <c r="X83" s="2954"/>
      <c r="Y83" s="2954"/>
      <c r="Z83" s="2954"/>
      <c r="AA83" s="2954"/>
      <c r="AB83" s="2954"/>
      <c r="AC83" s="2954"/>
    </row>
    <row r="84" spans="1:29" ht="15.75" thickTop="1">
      <c r="A84" s="491"/>
      <c r="B84" s="495" t="s">
        <v>2430</v>
      </c>
      <c r="C84" s="535" t="s">
        <v>2418</v>
      </c>
      <c r="D84" s="535" t="s">
        <v>2419</v>
      </c>
      <c r="E84" s="535" t="s">
        <v>2420</v>
      </c>
      <c r="F84" s="535" t="s">
        <v>2421</v>
      </c>
      <c r="G84" s="535" t="s">
        <v>2422</v>
      </c>
      <c r="H84" s="496"/>
      <c r="I84" s="496"/>
      <c r="J84" s="496"/>
      <c r="K84" s="497"/>
      <c r="L84" s="498"/>
      <c r="M84" s="499"/>
      <c r="N84" s="2982"/>
      <c r="O84" s="2982"/>
      <c r="P84" s="2973"/>
      <c r="Q84" s="2968"/>
      <c r="R84" s="2954"/>
      <c r="S84" s="2954"/>
      <c r="T84" s="2954"/>
      <c r="U84" s="2954"/>
      <c r="V84" s="2954"/>
      <c r="W84" s="2954"/>
      <c r="X84" s="2954"/>
      <c r="Y84" s="2954"/>
      <c r="Z84" s="2954"/>
      <c r="AA84" s="2954"/>
      <c r="AB84" s="2954"/>
      <c r="AC84" s="295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3"/>
      <c r="O85" s="2983"/>
      <c r="P85" s="2973"/>
      <c r="Q85" s="2968"/>
      <c r="R85" s="2954"/>
      <c r="S85" s="2954"/>
      <c r="T85" s="2954"/>
      <c r="U85" s="2954"/>
      <c r="V85" s="2954"/>
      <c r="W85" s="2954"/>
      <c r="X85" s="2954"/>
      <c r="Y85" s="2954"/>
      <c r="Z85" s="2954"/>
      <c r="AA85" s="2954"/>
      <c r="AB85" s="2954"/>
      <c r="AC85" s="2954"/>
    </row>
    <row r="86" spans="1:29" s="113" customFormat="1" ht="15.75" thickTop="1">
      <c r="A86" s="536"/>
      <c r="B86" s="495" t="s">
        <v>2501</v>
      </c>
      <c r="C86" s="511"/>
      <c r="D86" s="511"/>
      <c r="E86" s="511"/>
      <c r="F86" s="511"/>
      <c r="G86" s="511"/>
      <c r="H86" s="511"/>
      <c r="I86" s="511"/>
      <c r="J86" s="511"/>
      <c r="K86" s="511"/>
      <c r="L86" s="537"/>
      <c r="M86" s="538"/>
      <c r="N86" s="2981"/>
      <c r="O86" s="2981"/>
      <c r="P86" s="2973"/>
      <c r="Q86" s="2968"/>
      <c r="R86" s="2888"/>
      <c r="S86" s="2888"/>
      <c r="T86" s="2888"/>
      <c r="U86" s="2888"/>
      <c r="V86" s="2888"/>
      <c r="W86" s="2888"/>
      <c r="X86" s="2888"/>
      <c r="Y86" s="2888"/>
      <c r="Z86" s="2888"/>
      <c r="AA86" s="2888"/>
      <c r="AB86" s="2888"/>
      <c r="AC86" s="288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6"/>
      <c r="B88" s="495" t="str">
        <f>B26</f>
        <v>平面位置/可视性</v>
      </c>
      <c r="C88" s="511"/>
      <c r="D88" s="511"/>
      <c r="E88" s="511"/>
      <c r="F88" s="2113"/>
      <c r="G88" s="511"/>
      <c r="H88" s="511"/>
      <c r="I88" s="511"/>
      <c r="J88" s="511"/>
      <c r="K88" s="511"/>
      <c r="L88" s="511"/>
      <c r="M88" s="538"/>
      <c r="N88" s="2981"/>
      <c r="O88" s="2981"/>
      <c r="P88" s="2973"/>
      <c r="Q88" s="2968"/>
      <c r="R88" s="2888"/>
      <c r="S88" s="2888"/>
      <c r="T88" s="2888"/>
      <c r="U88" s="2888"/>
      <c r="V88" s="2888"/>
      <c r="W88" s="2888"/>
      <c r="X88" s="2888"/>
      <c r="Y88" s="2888"/>
      <c r="Z88" s="2888"/>
      <c r="AA88" s="2888"/>
      <c r="AB88" s="2888"/>
      <c r="AC88" s="2888"/>
    </row>
    <row r="89" spans="1:29" s="113" customFormat="1" ht="15.75" thickBot="1">
      <c r="A89" s="536"/>
      <c r="B89" s="500"/>
      <c r="C89" s="517"/>
      <c r="D89" s="493"/>
      <c r="E89" s="493"/>
      <c r="F89" s="493"/>
      <c r="G89" s="493"/>
      <c r="H89" s="493"/>
      <c r="I89" s="493"/>
      <c r="J89" s="493"/>
      <c r="K89" s="493"/>
      <c r="L89" s="493"/>
      <c r="M89" s="493"/>
      <c r="N89" s="2983"/>
      <c r="O89" s="2983"/>
      <c r="P89" s="2973"/>
      <c r="Q89" s="2968"/>
      <c r="R89" s="2888"/>
      <c r="S89" s="2888"/>
      <c r="T89" s="2888"/>
      <c r="U89" s="2888"/>
      <c r="V89" s="2888"/>
      <c r="W89" s="2888"/>
      <c r="X89" s="2888"/>
      <c r="Y89" s="2888"/>
      <c r="Z89" s="2888"/>
      <c r="AA89" s="2888"/>
      <c r="AB89" s="2888"/>
      <c r="AC89" s="2888"/>
    </row>
    <row r="90" spans="1:29" s="430" customFormat="1" ht="15.75" thickTop="1">
      <c r="A90" s="510"/>
      <c r="B90" s="495" t="str">
        <f>B27</f>
        <v>人流量</v>
      </c>
      <c r="C90" s="511"/>
      <c r="D90" s="511"/>
      <c r="E90" s="511"/>
      <c r="F90" s="511"/>
      <c r="G90" s="511"/>
      <c r="H90" s="512"/>
      <c r="I90" s="512"/>
      <c r="J90" s="512"/>
      <c r="K90" s="512"/>
      <c r="L90" s="513"/>
      <c r="M90" s="514"/>
      <c r="N90" s="2984"/>
      <c r="O90" s="2984"/>
      <c r="P90" s="2974"/>
      <c r="Q90" s="2975"/>
      <c r="R90" s="2976"/>
      <c r="S90" s="2976"/>
      <c r="T90" s="2976"/>
      <c r="U90" s="2976"/>
      <c r="V90" s="2976"/>
      <c r="W90" s="2976"/>
      <c r="X90" s="2976"/>
      <c r="Y90" s="2976"/>
      <c r="Z90" s="2976"/>
      <c r="AA90" s="2976"/>
      <c r="AB90" s="2976"/>
      <c r="AC90" s="297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1"/>
      <c r="B92" s="495" t="str">
        <f>B28</f>
        <v>楼层</v>
      </c>
      <c r="C92" s="511"/>
      <c r="D92" s="511"/>
      <c r="E92" s="511"/>
      <c r="F92" s="511"/>
      <c r="G92" s="511"/>
      <c r="H92" s="511"/>
      <c r="I92" s="511"/>
      <c r="J92" s="511"/>
      <c r="K92" s="511"/>
      <c r="L92" s="537"/>
      <c r="M92" s="538"/>
      <c r="N92" s="2982"/>
      <c r="O92" s="2982"/>
      <c r="P92" s="2973"/>
      <c r="Q92" s="2968"/>
      <c r="R92" s="2954"/>
      <c r="S92" s="2954"/>
      <c r="T92" s="2954"/>
      <c r="U92" s="2954"/>
      <c r="V92" s="2954"/>
      <c r="W92" s="2954"/>
      <c r="X92" s="2954"/>
      <c r="Y92" s="2954"/>
      <c r="Z92" s="2954"/>
      <c r="AA92" s="2954"/>
      <c r="AB92" s="2954"/>
      <c r="AC92" s="2954"/>
    </row>
    <row r="93" spans="1:29" ht="15.75" thickBot="1">
      <c r="A93" s="491"/>
      <c r="B93" s="500"/>
      <c r="C93" s="493"/>
      <c r="D93" s="493"/>
      <c r="E93" s="493"/>
      <c r="F93" s="493"/>
      <c r="G93" s="493"/>
      <c r="H93" s="493"/>
      <c r="I93" s="493"/>
      <c r="J93" s="493"/>
      <c r="K93" s="493"/>
      <c r="L93" s="493"/>
      <c r="M93" s="494"/>
      <c r="N93" s="2983"/>
      <c r="O93" s="2983"/>
      <c r="P93" s="2973"/>
      <c r="Q93" s="2968"/>
      <c r="R93" s="2954"/>
      <c r="S93" s="2954"/>
      <c r="T93" s="2954"/>
      <c r="U93" s="2954"/>
      <c r="V93" s="2954"/>
      <c r="W93" s="2954"/>
      <c r="X93" s="2954"/>
      <c r="Y93" s="2954"/>
      <c r="Z93" s="2954"/>
      <c r="AA93" s="2954"/>
      <c r="AB93" s="2954"/>
      <c r="AC93" s="2954"/>
    </row>
    <row r="94" spans="1:29" ht="15.75" thickTop="1">
      <c r="A94" s="491"/>
      <c r="B94" s="495">
        <f>B29</f>
        <v>111</v>
      </c>
      <c r="C94" s="511"/>
      <c r="D94" s="511"/>
      <c r="E94" s="511"/>
      <c r="F94" s="511"/>
      <c r="G94" s="540"/>
      <c r="H94" s="540"/>
      <c r="I94" s="540"/>
      <c r="J94" s="540"/>
      <c r="K94" s="541"/>
      <c r="L94" s="542"/>
      <c r="M94" s="543"/>
      <c r="N94" s="2982"/>
      <c r="O94" s="2982"/>
      <c r="P94" s="2973"/>
      <c r="Q94" s="2968"/>
      <c r="R94" s="2954"/>
      <c r="S94" s="2954"/>
      <c r="T94" s="2954"/>
      <c r="U94" s="2954"/>
      <c r="V94" s="2954"/>
      <c r="W94" s="2954"/>
      <c r="X94" s="2954"/>
      <c r="Y94" s="2954"/>
      <c r="Z94" s="2954"/>
      <c r="AA94" s="2954"/>
      <c r="AB94" s="2954"/>
      <c r="AC94" s="2954"/>
    </row>
    <row r="95" spans="1:29" ht="15.75" thickBot="1">
      <c r="A95" s="491"/>
      <c r="B95" s="500"/>
      <c r="C95" s="517"/>
      <c r="D95" s="493"/>
      <c r="E95" s="493"/>
      <c r="F95" s="493"/>
      <c r="G95" s="493"/>
      <c r="H95" s="493"/>
      <c r="I95" s="493"/>
      <c r="J95" s="493"/>
      <c r="K95" s="493"/>
      <c r="L95" s="493"/>
      <c r="M95" s="494"/>
      <c r="N95" s="2983"/>
      <c r="O95" s="2983"/>
      <c r="P95" s="2973"/>
      <c r="Q95" s="2968"/>
      <c r="R95" s="2954"/>
      <c r="S95" s="2954"/>
      <c r="T95" s="2954"/>
      <c r="U95" s="2954"/>
      <c r="V95" s="2954"/>
      <c r="W95" s="2954"/>
      <c r="X95" s="2954"/>
      <c r="Y95" s="2954"/>
      <c r="Z95" s="2954"/>
      <c r="AA95" s="2954"/>
      <c r="AB95" s="2954"/>
      <c r="AC95" s="2954"/>
    </row>
    <row r="96" spans="1:29" ht="15.75" thickTop="1">
      <c r="A96" s="491"/>
      <c r="B96" s="495">
        <f>B30</f>
        <v>111</v>
      </c>
      <c r="C96" s="511"/>
      <c r="D96" s="511"/>
      <c r="E96" s="511"/>
      <c r="F96" s="511"/>
      <c r="G96" s="540"/>
      <c r="H96" s="540"/>
      <c r="I96" s="540"/>
      <c r="J96" s="540"/>
      <c r="K96" s="541"/>
      <c r="L96" s="542"/>
      <c r="M96" s="543"/>
      <c r="N96" s="2982"/>
      <c r="O96" s="2982"/>
      <c r="P96" s="2973"/>
      <c r="Q96" s="2968"/>
      <c r="R96" s="2954"/>
      <c r="S96" s="2954"/>
      <c r="T96" s="2954"/>
      <c r="U96" s="2954"/>
      <c r="V96" s="2954"/>
      <c r="W96" s="2954"/>
      <c r="X96" s="2954"/>
      <c r="Y96" s="2954"/>
      <c r="Z96" s="2954"/>
      <c r="AA96" s="2954"/>
      <c r="AB96" s="2954"/>
      <c r="AC96" s="2954"/>
    </row>
    <row r="97" spans="1:29" ht="15.75" thickBot="1">
      <c r="A97" s="491"/>
      <c r="B97" s="500"/>
      <c r="C97" s="517"/>
      <c r="D97" s="493"/>
      <c r="E97" s="493"/>
      <c r="F97" s="493"/>
      <c r="G97" s="493"/>
      <c r="H97" s="493"/>
      <c r="I97" s="493"/>
      <c r="J97" s="493"/>
      <c r="K97" s="493"/>
      <c r="L97" s="493"/>
      <c r="M97" s="494"/>
      <c r="N97" s="2983"/>
      <c r="O97" s="2983"/>
      <c r="P97" s="2973"/>
      <c r="Q97" s="2968"/>
      <c r="R97" s="2954"/>
      <c r="S97" s="2954"/>
      <c r="T97" s="2954"/>
      <c r="U97" s="2954"/>
      <c r="V97" s="2954"/>
      <c r="W97" s="2954"/>
      <c r="X97" s="2954"/>
      <c r="Y97" s="2954"/>
      <c r="Z97" s="2954"/>
      <c r="AA97" s="2954"/>
      <c r="AB97" s="2954"/>
      <c r="AC97" s="2954"/>
    </row>
    <row r="98" spans="1:29" ht="15.75" thickTop="1">
      <c r="A98" s="491"/>
      <c r="B98" s="503">
        <f>B31</f>
        <v>111</v>
      </c>
      <c r="C98" s="511"/>
      <c r="D98" s="511"/>
      <c r="E98" s="511"/>
      <c r="F98" s="511"/>
      <c r="G98" s="544"/>
      <c r="H98" s="544"/>
      <c r="I98" s="544"/>
      <c r="J98" s="544"/>
      <c r="K98" s="545"/>
      <c r="L98" s="546"/>
      <c r="M98" s="547"/>
      <c r="N98" s="2982"/>
      <c r="O98" s="2982"/>
      <c r="P98" s="2973"/>
      <c r="Q98" s="2968"/>
      <c r="R98" s="2954"/>
      <c r="S98" s="2954"/>
      <c r="T98" s="2954"/>
      <c r="U98" s="2954"/>
      <c r="V98" s="2954"/>
      <c r="W98" s="2954"/>
      <c r="X98" s="2954"/>
      <c r="Y98" s="2954"/>
      <c r="Z98" s="2954"/>
      <c r="AA98" s="2954"/>
      <c r="AB98" s="2954"/>
      <c r="AC98" s="2954"/>
    </row>
    <row r="99" spans="1:29" ht="15.75" thickBot="1">
      <c r="A99" s="2114"/>
      <c r="B99" s="526"/>
      <c r="C99" s="527"/>
      <c r="D99" s="527"/>
      <c r="E99" s="527"/>
      <c r="F99" s="527"/>
      <c r="G99" s="548"/>
      <c r="H99" s="548"/>
      <c r="I99" s="548"/>
      <c r="J99" s="548"/>
      <c r="K99" s="548"/>
      <c r="L99" s="548"/>
      <c r="M99" s="549"/>
      <c r="N99" s="2983"/>
      <c r="O99" s="2983"/>
      <c r="P99" s="2973"/>
      <c r="Q99" s="2968"/>
      <c r="R99" s="2954"/>
      <c r="S99" s="2954"/>
      <c r="T99" s="2954"/>
      <c r="U99" s="2954"/>
      <c r="V99" s="2954"/>
      <c r="W99" s="2954"/>
      <c r="X99" s="2954"/>
      <c r="Y99" s="2954"/>
      <c r="Z99" s="2954"/>
      <c r="AA99" s="2954"/>
      <c r="AB99" s="2954"/>
      <c r="AC99" s="2954"/>
    </row>
    <row r="100" spans="1:29">
      <c r="A100" s="484" t="s">
        <v>2384</v>
      </c>
      <c r="B100" s="485" t="s">
        <v>2502</v>
      </c>
      <c r="C100" s="487"/>
      <c r="D100" s="487"/>
      <c r="E100" s="487"/>
      <c r="F100" s="487"/>
      <c r="G100" s="487"/>
      <c r="H100" s="487"/>
      <c r="I100" s="487"/>
      <c r="J100" s="487"/>
      <c r="K100" s="488"/>
      <c r="L100" s="489"/>
      <c r="M100" s="490"/>
      <c r="N100" s="2982"/>
      <c r="O100" s="2982"/>
      <c r="P100" s="2973"/>
      <c r="Q100" s="2968"/>
      <c r="R100" s="2954"/>
      <c r="S100" s="2954"/>
      <c r="T100" s="2954"/>
      <c r="U100" s="2954"/>
      <c r="V100" s="2954"/>
      <c r="W100" s="2954"/>
      <c r="X100" s="2954"/>
      <c r="Y100" s="2954"/>
      <c r="Z100" s="2954"/>
      <c r="AA100" s="2954"/>
      <c r="AB100" s="2954"/>
      <c r="AC100" s="295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30" customFormat="1">
      <c r="A103" s="550"/>
      <c r="B103" s="551"/>
      <c r="C103" s="552"/>
      <c r="D103" s="552"/>
      <c r="E103" s="552"/>
      <c r="F103" s="552"/>
      <c r="G103" s="552"/>
      <c r="H103" s="552"/>
      <c r="I103" s="552"/>
      <c r="J103" s="553"/>
      <c r="K103" s="553"/>
      <c r="L103" s="554"/>
      <c r="M103" s="555"/>
      <c r="N103" s="2984"/>
      <c r="O103" s="2984"/>
      <c r="P103" s="2974"/>
      <c r="Q103" s="2975"/>
      <c r="R103" s="2976"/>
      <c r="S103" s="2976"/>
      <c r="T103" s="2976"/>
      <c r="U103" s="2976"/>
      <c r="V103" s="2976"/>
      <c r="W103" s="2976"/>
      <c r="X103" s="2976"/>
      <c r="Y103" s="2976"/>
      <c r="Z103" s="2976"/>
      <c r="AA103" s="2976"/>
      <c r="AB103" s="2976"/>
      <c r="AC103" s="2976"/>
    </row>
    <row r="104" spans="1:29" s="430" customFormat="1" ht="15.75" thickBot="1">
      <c r="A104" s="510"/>
      <c r="B104" s="500"/>
      <c r="C104" s="517"/>
      <c r="D104" s="493"/>
      <c r="E104" s="493"/>
      <c r="F104" s="493"/>
      <c r="G104" s="493"/>
      <c r="H104" s="493"/>
      <c r="I104" s="493"/>
      <c r="J104" s="493"/>
      <c r="K104" s="493"/>
      <c r="L104" s="493"/>
      <c r="M104" s="494"/>
      <c r="N104" s="2983"/>
      <c r="O104" s="2983"/>
      <c r="P104" s="2974"/>
      <c r="Q104" s="2975"/>
      <c r="R104" s="2976"/>
      <c r="S104" s="2976"/>
      <c r="T104" s="2976"/>
      <c r="U104" s="2976"/>
      <c r="V104" s="2976"/>
      <c r="W104" s="2976"/>
      <c r="X104" s="2976"/>
      <c r="Y104" s="2976"/>
      <c r="Z104" s="2976"/>
      <c r="AA104" s="2976"/>
      <c r="AB104" s="2976"/>
      <c r="AC104" s="2976"/>
    </row>
    <row r="105" spans="1:29" ht="15" thickTop="1">
      <c r="A105" s="556"/>
      <c r="B105" s="495" t="s">
        <v>2435</v>
      </c>
      <c r="C105" s="511"/>
      <c r="D105" s="511"/>
      <c r="E105" s="540"/>
      <c r="F105" s="540"/>
      <c r="G105" s="540"/>
      <c r="H105" s="540"/>
      <c r="I105" s="540"/>
      <c r="J105" s="540"/>
      <c r="K105" s="541"/>
      <c r="L105" s="542"/>
      <c r="M105" s="543"/>
      <c r="N105" s="2982"/>
      <c r="O105" s="2982"/>
      <c r="P105" s="2973"/>
      <c r="Q105" s="2968"/>
      <c r="R105" s="2954"/>
      <c r="S105" s="2954"/>
      <c r="T105" s="2954"/>
      <c r="U105" s="2954"/>
      <c r="V105" s="2954"/>
      <c r="W105" s="2954"/>
      <c r="X105" s="2954"/>
      <c r="Y105" s="2954"/>
      <c r="Z105" s="2954"/>
      <c r="AA105" s="2954"/>
      <c r="AB105" s="2954"/>
      <c r="AC105" s="295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6"/>
      <c r="B107" s="495" t="s">
        <v>2437</v>
      </c>
      <c r="C107" s="511"/>
      <c r="D107" s="511"/>
      <c r="E107" s="511"/>
      <c r="F107" s="540"/>
      <c r="G107" s="540"/>
      <c r="H107" s="540"/>
      <c r="I107" s="540"/>
      <c r="J107" s="540"/>
      <c r="K107" s="541"/>
      <c r="L107" s="542"/>
      <c r="M107" s="543"/>
      <c r="N107" s="2982"/>
      <c r="O107" s="2982"/>
      <c r="P107" s="2973"/>
      <c r="Q107" s="2968"/>
      <c r="R107" s="2954"/>
      <c r="S107" s="2954"/>
      <c r="T107" s="2954"/>
      <c r="U107" s="2954"/>
      <c r="V107" s="2954"/>
      <c r="W107" s="2954"/>
      <c r="X107" s="2954"/>
      <c r="Y107" s="2954"/>
      <c r="Z107" s="2954"/>
      <c r="AA107" s="2954"/>
      <c r="AB107" s="2954"/>
      <c r="AC107" s="295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2"/>
      <c r="O109" s="2982"/>
      <c r="P109" s="2973"/>
      <c r="Q109" s="2968"/>
      <c r="R109" s="2954"/>
      <c r="S109" s="2954"/>
      <c r="T109" s="2954"/>
      <c r="U109" s="2954"/>
      <c r="V109" s="2954"/>
      <c r="W109" s="2954"/>
      <c r="X109" s="2954"/>
      <c r="Y109" s="2954"/>
      <c r="Z109" s="2954"/>
      <c r="AA109" s="2954"/>
      <c r="AB109" s="2954"/>
      <c r="AC109" s="2954"/>
    </row>
    <row r="110" spans="1:29">
      <c r="A110" s="556"/>
      <c r="B110" s="503"/>
      <c r="C110" s="560">
        <v>0.5</v>
      </c>
      <c r="D110" s="560">
        <v>0.6</v>
      </c>
      <c r="E110" s="560">
        <v>0.7</v>
      </c>
      <c r="F110" s="560">
        <v>0.8</v>
      </c>
      <c r="G110" s="560">
        <v>0.9</v>
      </c>
      <c r="H110" s="560">
        <v>1.0001</v>
      </c>
      <c r="I110" s="579"/>
      <c r="J110" s="579"/>
      <c r="K110" s="580"/>
      <c r="L110" s="581"/>
      <c r="M110" s="582"/>
      <c r="N110" s="2982"/>
      <c r="O110" s="2982"/>
      <c r="P110" s="2973"/>
      <c r="Q110" s="2968"/>
      <c r="R110" s="2954"/>
      <c r="S110" s="2954"/>
      <c r="T110" s="2954"/>
      <c r="U110" s="2954"/>
      <c r="V110" s="2954"/>
      <c r="W110" s="2954"/>
      <c r="X110" s="2954"/>
      <c r="Y110" s="2954"/>
      <c r="Z110" s="2954"/>
      <c r="AA110" s="2954"/>
      <c r="AB110" s="2954"/>
      <c r="AC110" s="295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3"/>
      <c r="O111" s="2983"/>
      <c r="P111" s="2973"/>
      <c r="Q111" s="2968"/>
      <c r="R111" s="2954"/>
      <c r="S111" s="2954"/>
      <c r="T111" s="2954"/>
      <c r="U111" s="2954"/>
      <c r="V111" s="2954"/>
      <c r="W111" s="2954"/>
      <c r="X111" s="2954"/>
      <c r="Y111" s="2954"/>
      <c r="Z111" s="2954"/>
      <c r="AA111" s="2954"/>
      <c r="AB111" s="2954"/>
      <c r="AC111" s="2954"/>
    </row>
    <row r="112" spans="1:29" s="430" customFormat="1" ht="15" thickTop="1">
      <c r="A112" s="550"/>
      <c r="B112" s="495" t="s">
        <v>2439</v>
      </c>
      <c r="C112" s="511"/>
      <c r="D112" s="511"/>
      <c r="E112" s="511"/>
      <c r="F112" s="511"/>
      <c r="G112" s="511"/>
      <c r="H112" s="540"/>
      <c r="I112" s="540"/>
      <c r="J112" s="540"/>
      <c r="K112" s="541"/>
      <c r="L112" s="542"/>
      <c r="M112" s="543"/>
      <c r="N112" s="2984"/>
      <c r="O112" s="2984"/>
      <c r="P112" s="2974"/>
      <c r="Q112" s="2975"/>
      <c r="R112" s="2976"/>
      <c r="S112" s="2976"/>
      <c r="T112" s="2976"/>
      <c r="U112" s="2976"/>
      <c r="V112" s="2976"/>
      <c r="W112" s="2976"/>
      <c r="X112" s="2976"/>
      <c r="Y112" s="2976"/>
      <c r="Z112" s="2976"/>
      <c r="AA112" s="2976"/>
      <c r="AB112" s="2976"/>
      <c r="AC112" s="297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6"/>
      <c r="B114" s="495" t="s">
        <v>2503</v>
      </c>
      <c r="C114" s="511"/>
      <c r="D114" s="511"/>
      <c r="E114" s="540"/>
      <c r="F114" s="540"/>
      <c r="G114" s="540"/>
      <c r="H114" s="540"/>
      <c r="I114" s="540"/>
      <c r="J114" s="540"/>
      <c r="K114" s="541"/>
      <c r="L114" s="542"/>
      <c r="M114" s="543"/>
      <c r="N114" s="2982"/>
      <c r="O114" s="2982"/>
      <c r="P114" s="2973"/>
      <c r="Q114" s="2968"/>
      <c r="R114" s="2954"/>
      <c r="S114" s="2954"/>
      <c r="T114" s="2954"/>
      <c r="U114" s="2954"/>
      <c r="V114" s="2954"/>
      <c r="W114" s="2954"/>
      <c r="X114" s="2954"/>
      <c r="Y114" s="2954"/>
      <c r="Z114" s="2954"/>
      <c r="AA114" s="2954"/>
      <c r="AB114" s="2954"/>
      <c r="AC114" s="295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6"/>
      <c r="B116" s="495" t="s">
        <v>2504</v>
      </c>
      <c r="C116" s="511"/>
      <c r="D116" s="511"/>
      <c r="E116" s="511"/>
      <c r="F116" s="511"/>
      <c r="G116" s="511"/>
      <c r="H116" s="540"/>
      <c r="I116" s="540"/>
      <c r="J116" s="540"/>
      <c r="K116" s="541"/>
      <c r="L116" s="542"/>
      <c r="M116" s="543"/>
      <c r="N116" s="2982"/>
      <c r="O116" s="2982"/>
      <c r="P116" s="2973"/>
      <c r="Q116" s="2968"/>
      <c r="R116" s="2954"/>
      <c r="S116" s="2954"/>
      <c r="T116" s="2954"/>
      <c r="U116" s="2954"/>
      <c r="V116" s="2954"/>
      <c r="W116" s="2954"/>
      <c r="X116" s="2954"/>
      <c r="Y116" s="2954"/>
      <c r="Z116" s="2954"/>
      <c r="AA116" s="2954"/>
      <c r="AB116" s="2954"/>
      <c r="AC116" s="295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3"/>
      <c r="O117" s="2983"/>
      <c r="P117" s="2973"/>
      <c r="Q117" s="2968"/>
      <c r="R117" s="2954"/>
      <c r="S117" s="2954"/>
      <c r="T117" s="2954"/>
      <c r="U117" s="2954"/>
      <c r="V117" s="2954"/>
      <c r="W117" s="2954"/>
      <c r="X117" s="2954"/>
      <c r="Y117" s="2954"/>
      <c r="Z117" s="2954"/>
      <c r="AA117" s="2954"/>
      <c r="AB117" s="2954"/>
      <c r="AC117" s="2954"/>
    </row>
    <row r="118" spans="1:29" ht="15" thickTop="1">
      <c r="A118" s="556"/>
      <c r="B118" s="495" t="s">
        <v>2505</v>
      </c>
      <c r="C118" s="583"/>
      <c r="D118" s="583"/>
      <c r="E118" s="583"/>
      <c r="F118" s="583"/>
      <c r="G118" s="583"/>
      <c r="H118" s="512"/>
      <c r="I118" s="512"/>
      <c r="J118" s="512"/>
      <c r="K118" s="512"/>
      <c r="L118" s="513"/>
      <c r="M118" s="514"/>
      <c r="N118" s="2982"/>
      <c r="O118" s="2982"/>
      <c r="P118" s="2973"/>
      <c r="Q118" s="2968"/>
      <c r="R118" s="2954"/>
      <c r="S118" s="2954"/>
      <c r="T118" s="2954"/>
      <c r="U118" s="2954"/>
      <c r="V118" s="2954"/>
      <c r="W118" s="2954"/>
      <c r="X118" s="2954"/>
      <c r="Y118" s="2954"/>
      <c r="Z118" s="2954"/>
      <c r="AA118" s="2954"/>
      <c r="AB118" s="2954"/>
      <c r="AC118" s="2954"/>
    </row>
    <row r="119" spans="1:29" ht="15.75" thickBot="1">
      <c r="A119" s="491"/>
      <c r="B119" s="500"/>
      <c r="C119" s="517"/>
      <c r="D119" s="493"/>
      <c r="E119" s="493"/>
      <c r="F119" s="493"/>
      <c r="G119" s="493"/>
      <c r="H119" s="493"/>
      <c r="I119" s="493"/>
      <c r="J119" s="493"/>
      <c r="K119" s="493"/>
      <c r="L119" s="493"/>
      <c r="M119" s="494"/>
      <c r="N119" s="2983"/>
      <c r="O119" s="2983"/>
      <c r="P119" s="2973"/>
      <c r="Q119" s="2968"/>
      <c r="R119" s="2954"/>
      <c r="S119" s="2954"/>
      <c r="T119" s="2954"/>
      <c r="U119" s="2954"/>
      <c r="V119" s="2954"/>
      <c r="W119" s="2954"/>
      <c r="X119" s="2954"/>
      <c r="Y119" s="2954"/>
      <c r="Z119" s="2954"/>
      <c r="AA119" s="2954"/>
      <c r="AB119" s="2954"/>
      <c r="AC119" s="2954"/>
    </row>
    <row r="120" spans="1:29" s="430" customFormat="1" ht="15" thickTop="1">
      <c r="A120" s="550"/>
      <c r="B120" s="495" t="s">
        <v>2506</v>
      </c>
      <c r="C120" s="540"/>
      <c r="D120" s="540"/>
      <c r="E120" s="540"/>
      <c r="F120" s="540"/>
      <c r="G120" s="512"/>
      <c r="H120" s="512"/>
      <c r="I120" s="512"/>
      <c r="J120" s="512"/>
      <c r="K120" s="512"/>
      <c r="L120" s="513"/>
      <c r="M120" s="514"/>
      <c r="N120" s="2984"/>
      <c r="O120" s="2984"/>
      <c r="P120" s="2974"/>
      <c r="Q120" s="2975"/>
      <c r="R120" s="2976"/>
      <c r="S120" s="2976"/>
      <c r="T120" s="2976"/>
      <c r="U120" s="2976"/>
      <c r="V120" s="2976"/>
      <c r="W120" s="2976"/>
      <c r="X120" s="2976"/>
      <c r="Y120" s="2976"/>
      <c r="Z120" s="2976"/>
      <c r="AA120" s="2976"/>
      <c r="AB120" s="2976"/>
      <c r="AC120" s="297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6"/>
      <c r="B122" s="495" t="s">
        <v>2441</v>
      </c>
      <c r="C122" s="511"/>
      <c r="D122" s="511"/>
      <c r="E122" s="511"/>
      <c r="F122" s="540"/>
      <c r="G122" s="540"/>
      <c r="H122" s="540"/>
      <c r="I122" s="540"/>
      <c r="J122" s="540"/>
      <c r="K122" s="541"/>
      <c r="L122" s="542"/>
      <c r="M122" s="543"/>
      <c r="N122" s="2982"/>
      <c r="O122" s="2982"/>
      <c r="P122" s="2973"/>
      <c r="Q122" s="2968"/>
      <c r="R122" s="2954"/>
      <c r="S122" s="2954"/>
      <c r="T122" s="2954"/>
      <c r="U122" s="2954"/>
      <c r="V122" s="2954"/>
      <c r="W122" s="2954"/>
      <c r="X122" s="2954"/>
      <c r="Y122" s="2954"/>
      <c r="Z122" s="2954"/>
      <c r="AA122" s="2954"/>
      <c r="AB122" s="2954"/>
      <c r="AC122" s="295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2"/>
      <c r="O124" s="2982"/>
      <c r="P124" s="2974"/>
      <c r="Q124" s="2968"/>
      <c r="R124" s="2954"/>
      <c r="S124" s="2954"/>
      <c r="T124" s="2954"/>
      <c r="U124" s="2954"/>
      <c r="V124" s="2954"/>
      <c r="W124" s="2954"/>
      <c r="X124" s="2954"/>
      <c r="Y124" s="2954"/>
      <c r="Z124" s="2954"/>
      <c r="AA124" s="2954"/>
      <c r="AB124" s="2954"/>
      <c r="AC124" s="295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3"/>
      <c r="O125" s="2983"/>
      <c r="P125" s="2973"/>
      <c r="Q125" s="2968"/>
      <c r="R125" s="2954"/>
      <c r="S125" s="2954"/>
      <c r="T125" s="2954"/>
      <c r="U125" s="2954"/>
      <c r="V125" s="2954"/>
      <c r="W125" s="2954"/>
      <c r="X125" s="2954"/>
      <c r="Y125" s="2954"/>
      <c r="Z125" s="2954"/>
      <c r="AA125" s="2954"/>
      <c r="AB125" s="2954"/>
      <c r="AC125" s="2954"/>
    </row>
    <row r="126" spans="1:29" s="430" customFormat="1" ht="15" thickTop="1">
      <c r="A126" s="550"/>
      <c r="B126" s="495">
        <f>B44</f>
        <v>111</v>
      </c>
      <c r="C126" s="511"/>
      <c r="D126" s="511"/>
      <c r="E126" s="511"/>
      <c r="F126" s="511"/>
      <c r="G126" s="511"/>
      <c r="H126" s="512"/>
      <c r="I126" s="512"/>
      <c r="J126" s="512"/>
      <c r="K126" s="512"/>
      <c r="L126" s="513"/>
      <c r="M126" s="514"/>
      <c r="N126" s="2984"/>
      <c r="O126" s="2984"/>
      <c r="P126" s="2974"/>
      <c r="Q126" s="2975"/>
      <c r="R126" s="2976"/>
      <c r="S126" s="2976"/>
      <c r="T126" s="2976"/>
      <c r="U126" s="2976"/>
      <c r="V126" s="2976"/>
      <c r="W126" s="2976"/>
      <c r="X126" s="2976"/>
      <c r="Y126" s="2976"/>
      <c r="Z126" s="2976"/>
      <c r="AA126" s="2976"/>
      <c r="AB126" s="2976"/>
      <c r="AC126" s="2976"/>
    </row>
    <row r="127" spans="1:29" s="430" customFormat="1" ht="15.75" thickBot="1">
      <c r="A127" s="510"/>
      <c r="B127" s="500"/>
      <c r="C127" s="517"/>
      <c r="D127" s="493"/>
      <c r="E127" s="493"/>
      <c r="F127" s="493"/>
      <c r="G127" s="517"/>
      <c r="H127" s="519"/>
      <c r="I127" s="519"/>
      <c r="J127" s="519"/>
      <c r="K127" s="519"/>
      <c r="L127" s="519"/>
      <c r="M127" s="520"/>
      <c r="N127" s="2984"/>
      <c r="O127" s="2984"/>
      <c r="P127" s="2974"/>
      <c r="Q127" s="2975"/>
      <c r="R127" s="2976"/>
      <c r="S127" s="2976"/>
      <c r="T127" s="2976"/>
      <c r="U127" s="2976"/>
      <c r="V127" s="2976"/>
      <c r="W127" s="2976"/>
      <c r="X127" s="2976"/>
      <c r="Y127" s="2976"/>
      <c r="Z127" s="2976"/>
      <c r="AA127" s="2976"/>
      <c r="AB127" s="2976"/>
      <c r="AC127" s="2976"/>
    </row>
    <row r="128" spans="1:29" ht="15" thickTop="1">
      <c r="A128" s="556"/>
      <c r="B128" s="495">
        <f>B45</f>
        <v>111</v>
      </c>
      <c r="C128" s="511"/>
      <c r="D128" s="511"/>
      <c r="E128" s="511"/>
      <c r="F128" s="511"/>
      <c r="G128" s="540"/>
      <c r="H128" s="540"/>
      <c r="I128" s="540"/>
      <c r="J128" s="540"/>
      <c r="K128" s="541"/>
      <c r="L128" s="542"/>
      <c r="M128" s="543"/>
      <c r="N128" s="2982"/>
      <c r="O128" s="2982"/>
      <c r="P128" s="2973"/>
      <c r="Q128" s="2968"/>
      <c r="R128" s="2954"/>
      <c r="S128" s="2954"/>
      <c r="T128" s="2954"/>
      <c r="U128" s="2954"/>
      <c r="V128" s="2954"/>
      <c r="W128" s="2954"/>
      <c r="X128" s="2954"/>
      <c r="Y128" s="2954"/>
      <c r="Z128" s="2954"/>
      <c r="AA128" s="2954"/>
      <c r="AB128" s="2954"/>
      <c r="AC128" s="2954"/>
    </row>
    <row r="129" spans="1:29" ht="15.75" thickBot="1">
      <c r="A129" s="491"/>
      <c r="B129" s="500"/>
      <c r="C129" s="517"/>
      <c r="D129" s="493"/>
      <c r="E129" s="493"/>
      <c r="F129" s="493"/>
      <c r="G129" s="493"/>
      <c r="H129" s="493"/>
      <c r="I129" s="493"/>
      <c r="J129" s="493"/>
      <c r="K129" s="493"/>
      <c r="L129" s="493"/>
      <c r="M129" s="494"/>
      <c r="N129" s="2983"/>
      <c r="O129" s="2983"/>
      <c r="P129" s="2973"/>
      <c r="Q129" s="2968"/>
      <c r="R129" s="2954"/>
      <c r="S129" s="2954"/>
      <c r="T129" s="2954"/>
      <c r="U129" s="2954"/>
      <c r="V129" s="2954"/>
      <c r="W129" s="2954"/>
      <c r="X129" s="2954"/>
      <c r="Y129" s="2954"/>
      <c r="Z129" s="2954"/>
      <c r="AA129" s="2954"/>
      <c r="AB129" s="2954"/>
      <c r="AC129" s="2954"/>
    </row>
    <row r="130" spans="1:29" ht="15" thickTop="1">
      <c r="A130" s="556"/>
      <c r="B130" s="503">
        <f>B46</f>
        <v>111</v>
      </c>
      <c r="C130" s="511"/>
      <c r="D130" s="511"/>
      <c r="E130" s="511"/>
      <c r="F130" s="511"/>
      <c r="G130" s="544"/>
      <c r="H130" s="544"/>
      <c r="I130" s="544"/>
      <c r="J130" s="544"/>
      <c r="K130" s="480"/>
      <c r="L130" s="481"/>
      <c r="M130" s="547"/>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6"/>
      <c r="C131" s="527"/>
      <c r="D131" s="527"/>
      <c r="E131" s="527"/>
      <c r="F131" s="527"/>
      <c r="G131" s="548"/>
      <c r="H131" s="548"/>
      <c r="I131" s="548"/>
      <c r="J131" s="548"/>
      <c r="K131" s="548"/>
      <c r="L131" s="548"/>
      <c r="M131" s="549"/>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2507</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32069.72</v>
      </c>
      <c r="E3" s="2140"/>
      <c r="F3" s="1040"/>
      <c r="G3" s="1039"/>
      <c r="H3" s="1039"/>
      <c r="I3" s="1039"/>
      <c r="J3" s="1039"/>
      <c r="K3" s="1041"/>
      <c r="L3" s="2963"/>
      <c r="M3" s="2964"/>
      <c r="N3" s="2964"/>
      <c r="O3" s="2964"/>
      <c r="P3" s="708"/>
      <c r="Q3" s="708"/>
      <c r="R3" s="708"/>
      <c r="S3" s="708"/>
      <c r="T3" s="708"/>
      <c r="U3" s="708"/>
      <c r="V3" s="708"/>
      <c r="W3" s="708"/>
      <c r="X3" s="708"/>
      <c r="Y3" s="708"/>
      <c r="Z3" s="708"/>
      <c r="AA3" s="708"/>
      <c r="AB3" s="708"/>
      <c r="AC3" s="709"/>
    </row>
    <row r="4" spans="1:29" ht="15">
      <c r="A4" s="361" t="s">
        <v>2466</v>
      </c>
      <c r="B4" s="362"/>
      <c r="C4" s="3298" t="s">
        <v>2467</v>
      </c>
      <c r="D4" s="3299"/>
      <c r="E4" s="3300" t="s">
        <v>2468</v>
      </c>
      <c r="F4" s="3301"/>
      <c r="G4" s="3298" t="s">
        <v>2469</v>
      </c>
      <c r="H4" s="3299"/>
      <c r="I4" s="3298" t="s">
        <v>2470</v>
      </c>
      <c r="J4" s="3299"/>
      <c r="K4" s="567" t="s">
        <v>2471</v>
      </c>
      <c r="L4" s="2944"/>
      <c r="M4" s="2945"/>
      <c r="N4" s="2945"/>
      <c r="O4" s="2945"/>
      <c r="P4" s="3332" t="s">
        <v>2472</v>
      </c>
      <c r="Q4" s="3333"/>
      <c r="R4" s="3336" t="s">
        <v>2468</v>
      </c>
      <c r="S4" s="3337"/>
      <c r="T4" s="3336" t="s">
        <v>2469</v>
      </c>
      <c r="U4" s="3337"/>
      <c r="V4" s="3338" t="s">
        <v>2470</v>
      </c>
      <c r="W4" s="3338"/>
      <c r="X4" s="2144"/>
      <c r="Y4" s="3336" t="s">
        <v>2472</v>
      </c>
      <c r="Z4" s="3337"/>
      <c r="AA4" s="3340" t="s">
        <v>2468</v>
      </c>
      <c r="AB4" s="3340" t="s">
        <v>2469</v>
      </c>
      <c r="AC4" s="3329" t="s">
        <v>2470</v>
      </c>
    </row>
    <row r="5" spans="1:29" ht="15">
      <c r="A5" s="364"/>
      <c r="B5" s="365"/>
      <c r="C5" s="3317" t="s">
        <v>2363</v>
      </c>
      <c r="D5" s="3318"/>
      <c r="E5" s="3324" t="s">
        <v>2364</v>
      </c>
      <c r="F5" s="3325"/>
      <c r="G5" s="3317" t="s">
        <v>2365</v>
      </c>
      <c r="H5" s="3318"/>
      <c r="I5" s="3317" t="s">
        <v>2366</v>
      </c>
      <c r="J5" s="3318"/>
      <c r="K5" s="567"/>
      <c r="L5" s="2944"/>
      <c r="M5" s="2945"/>
      <c r="N5" s="2945"/>
      <c r="O5" s="2945"/>
      <c r="P5" s="3334"/>
      <c r="Q5" s="3305"/>
      <c r="R5" s="3310"/>
      <c r="S5" s="3311"/>
      <c r="T5" s="3310"/>
      <c r="U5" s="3311"/>
      <c r="V5" s="3314"/>
      <c r="W5" s="3314"/>
      <c r="X5" s="1539"/>
      <c r="Y5" s="3310"/>
      <c r="Z5" s="3311"/>
      <c r="AA5" s="3296"/>
      <c r="AB5" s="3296"/>
      <c r="AC5" s="3330"/>
    </row>
    <row r="6" spans="1:29" ht="15.75" thickBot="1">
      <c r="A6" s="366"/>
      <c r="B6" s="367"/>
      <c r="C6" s="3315" t="s">
        <v>2367</v>
      </c>
      <c r="D6" s="3316"/>
      <c r="E6" s="3322" t="s">
        <v>2367</v>
      </c>
      <c r="F6" s="3323"/>
      <c r="G6" s="3315" t="s">
        <v>2367</v>
      </c>
      <c r="H6" s="3316"/>
      <c r="I6" s="3315" t="s">
        <v>2367</v>
      </c>
      <c r="J6" s="3316"/>
      <c r="K6" s="567" t="s">
        <v>2368</v>
      </c>
      <c r="L6" s="2944"/>
      <c r="M6" s="2945"/>
      <c r="N6" s="2945"/>
      <c r="O6" s="2945"/>
      <c r="P6" s="3335"/>
      <c r="Q6" s="3307"/>
      <c r="R6" s="3310"/>
      <c r="S6" s="3311"/>
      <c r="T6" s="3312"/>
      <c r="U6" s="3313"/>
      <c r="V6" s="3314"/>
      <c r="W6" s="3314"/>
      <c r="X6" s="1539"/>
      <c r="Y6" s="3312"/>
      <c r="Z6" s="3313"/>
      <c r="AA6" s="3297"/>
      <c r="AB6" s="3297"/>
      <c r="AC6" s="3331"/>
    </row>
    <row r="7" spans="1:29" s="113" customFormat="1" ht="15.75" thickBot="1">
      <c r="A7" s="368" t="s">
        <v>2369</v>
      </c>
      <c r="B7" s="369"/>
      <c r="C7" s="370">
        <f>'数据-取费表'!B2</f>
        <v>44371</v>
      </c>
      <c r="D7" s="371">
        <v>100</v>
      </c>
      <c r="E7" s="372"/>
      <c r="F7" s="373">
        <f>SUMIF(59:59,YEAR(E7)&amp;"-"&amp;MONTH(E7),60:60)</f>
        <v>0</v>
      </c>
      <c r="G7" s="372"/>
      <c r="H7" s="371">
        <f>SUMIF(59:59,YEAR(G7)&amp;"-"&amp;MONTH(G7),60:60)</f>
        <v>0</v>
      </c>
      <c r="I7" s="372"/>
      <c r="J7" s="371">
        <f>SUMIF(59:59,YEAR(I7)&amp;"-"&amp;MONTH(I7),60:60)</f>
        <v>0</v>
      </c>
      <c r="K7" s="568"/>
      <c r="L7" s="2946"/>
      <c r="M7" s="2947"/>
      <c r="N7" s="2947"/>
      <c r="O7" s="2947"/>
      <c r="P7" s="3339" t="s">
        <v>2370</v>
      </c>
      <c r="Q7" s="3321"/>
      <c r="R7" s="710" t="s">
        <v>17</v>
      </c>
      <c r="S7" s="711">
        <f t="shared" ref="S7:S15" si="0">F7</f>
        <v>0</v>
      </c>
      <c r="T7" s="710" t="s">
        <v>17</v>
      </c>
      <c r="U7" s="711">
        <f t="shared" ref="U7:U15" si="1">H7</f>
        <v>0</v>
      </c>
      <c r="V7" s="710" t="s">
        <v>17</v>
      </c>
      <c r="W7" s="711">
        <f t="shared" ref="W7:W15" si="2">J7</f>
        <v>0</v>
      </c>
      <c r="X7" s="712"/>
      <c r="Y7" s="3319" t="s">
        <v>2370</v>
      </c>
      <c r="Z7" s="3320"/>
      <c r="AA7" s="713" t="e">
        <f>D7/F7</f>
        <v>#DIV/0!</v>
      </c>
      <c r="AB7" s="713" t="e">
        <f>D7/H7</f>
        <v>#DIV/0!</v>
      </c>
      <c r="AC7" s="2145"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6"/>
      <c r="M8" s="2947"/>
      <c r="N8" s="2947"/>
      <c r="O8" s="2947"/>
      <c r="P8" s="3339" t="s">
        <v>2373</v>
      </c>
      <c r="Q8" s="3320"/>
      <c r="R8" s="710" t="s">
        <v>17</v>
      </c>
      <c r="S8" s="711">
        <f t="shared" si="0"/>
        <v>0</v>
      </c>
      <c r="T8" s="710" t="s">
        <v>17</v>
      </c>
      <c r="U8" s="711">
        <f t="shared" si="1"/>
        <v>0</v>
      </c>
      <c r="V8" s="710" t="s">
        <v>17</v>
      </c>
      <c r="W8" s="711">
        <f t="shared" si="2"/>
        <v>0</v>
      </c>
      <c r="X8" s="712"/>
      <c r="Y8" s="3319" t="s">
        <v>2373</v>
      </c>
      <c r="Z8" s="3320"/>
      <c r="AA8" s="713" t="e">
        <f t="shared" ref="AA8:AA47" si="3">D8/F8</f>
        <v>#DIV/0!</v>
      </c>
      <c r="AB8" s="713" t="e">
        <f t="shared" ref="AB8:AB47" si="4">D8/H8</f>
        <v>#DIV/0!</v>
      </c>
      <c r="AC8" s="2145"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6"/>
      <c r="M9" s="2947"/>
      <c r="N9" s="2947"/>
      <c r="O9" s="2947"/>
      <c r="P9" s="3294"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2145">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8"/>
      <c r="M10" s="2949"/>
      <c r="N10" s="2949"/>
      <c r="O10" s="2949"/>
      <c r="P10" s="3294"/>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2145">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0"/>
      <c r="M11" s="2945"/>
      <c r="N11" s="2945"/>
      <c r="O11" s="2945"/>
      <c r="P11" s="3294"/>
      <c r="Q11" s="1527" t="str">
        <f t="shared" si="6"/>
        <v>容积率</v>
      </c>
      <c r="R11" s="710" t="s">
        <v>17</v>
      </c>
      <c r="S11" s="711" t="e">
        <f t="shared" si="0"/>
        <v>#N/A</v>
      </c>
      <c r="T11" s="710" t="s">
        <v>17</v>
      </c>
      <c r="U11" s="711" t="e">
        <f t="shared" si="1"/>
        <v>#N/A</v>
      </c>
      <c r="V11" s="710" t="s">
        <v>17</v>
      </c>
      <c r="W11" s="711" t="e">
        <f t="shared" si="2"/>
        <v>#N/A</v>
      </c>
      <c r="X11" s="712"/>
      <c r="Y11" s="3153"/>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6"/>
      <c r="M12" s="2947"/>
      <c r="N12" s="2947"/>
      <c r="O12" s="2947"/>
      <c r="P12" s="3294"/>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1"/>
      <c r="M13" s="2945"/>
      <c r="N13" s="2945"/>
      <c r="O13" s="2945"/>
      <c r="P13" s="3294"/>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1"/>
      <c r="M14" s="2945"/>
      <c r="N14" s="2945"/>
      <c r="O14" s="2945"/>
      <c r="P14" s="3294"/>
      <c r="Q14" s="1527">
        <f t="shared" si="6"/>
        <v>111</v>
      </c>
      <c r="R14" s="710" t="s">
        <v>17</v>
      </c>
      <c r="S14" s="711">
        <f t="shared" si="0"/>
        <v>100</v>
      </c>
      <c r="T14" s="710" t="s">
        <v>17</v>
      </c>
      <c r="U14" s="711">
        <f t="shared" si="1"/>
        <v>100</v>
      </c>
      <c r="V14" s="710" t="s">
        <v>17</v>
      </c>
      <c r="W14" s="711">
        <f t="shared" si="2"/>
        <v>100</v>
      </c>
      <c r="X14" s="712"/>
      <c r="Y14" s="3153"/>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1"/>
      <c r="M15" s="2945"/>
      <c r="N15" s="2945"/>
      <c r="O15" s="2945"/>
      <c r="P15" s="3292" t="s">
        <v>2381</v>
      </c>
      <c r="Q15" s="1536" t="str">
        <f t="shared" si="6"/>
        <v>办公集聚程度</v>
      </c>
      <c r="R15" s="714" t="s">
        <v>17</v>
      </c>
      <c r="S15" s="715">
        <f t="shared" si="0"/>
        <v>100</v>
      </c>
      <c r="T15" s="714" t="s">
        <v>17</v>
      </c>
      <c r="U15" s="715">
        <f t="shared" si="1"/>
        <v>100</v>
      </c>
      <c r="V15" s="714" t="s">
        <v>17</v>
      </c>
      <c r="W15" s="715">
        <f t="shared" si="2"/>
        <v>100</v>
      </c>
      <c r="X15" s="1539"/>
      <c r="Y15" s="3285" t="s">
        <v>2381</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1"/>
      <c r="M16" s="2945"/>
      <c r="N16" s="2945"/>
      <c r="O16" s="2945"/>
      <c r="P16" s="3293"/>
      <c r="Q16" s="1536"/>
      <c r="R16" s="714"/>
      <c r="S16" s="715"/>
      <c r="T16" s="714"/>
      <c r="U16" s="715"/>
      <c r="V16" s="714"/>
      <c r="W16" s="715"/>
      <c r="X16" s="1539"/>
      <c r="Y16" s="3286"/>
      <c r="Z16" s="1540"/>
      <c r="AA16" s="1537">
        <v>1</v>
      </c>
      <c r="AB16" s="1537">
        <v>1</v>
      </c>
      <c r="AC16" s="2148">
        <v>1</v>
      </c>
    </row>
    <row r="17" spans="1:29" ht="71.25">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1"/>
      <c r="M17" s="2945"/>
      <c r="N17" s="2945"/>
      <c r="O17" s="2945"/>
      <c r="P17" s="3293"/>
      <c r="Q17" s="1536" t="str">
        <f>B17</f>
        <v>交通便捷度</v>
      </c>
      <c r="R17" s="714" t="s">
        <v>17</v>
      </c>
      <c r="S17" s="715">
        <f>F17</f>
        <v>100</v>
      </c>
      <c r="T17" s="714" t="s">
        <v>17</v>
      </c>
      <c r="U17" s="715">
        <f>H17</f>
        <v>100</v>
      </c>
      <c r="V17" s="714" t="s">
        <v>17</v>
      </c>
      <c r="W17" s="715">
        <f>J17</f>
        <v>100</v>
      </c>
      <c r="X17" s="1539"/>
      <c r="Y17" s="3286"/>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1"/>
      <c r="M18" s="2945"/>
      <c r="N18" s="2945"/>
      <c r="O18" s="2945"/>
      <c r="P18" s="3293"/>
      <c r="Q18" s="1536"/>
      <c r="R18" s="714"/>
      <c r="S18" s="715"/>
      <c r="T18" s="714"/>
      <c r="U18" s="715"/>
      <c r="V18" s="714"/>
      <c r="W18" s="715"/>
      <c r="X18" s="1539"/>
      <c r="Y18" s="3286"/>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1"/>
      <c r="M19" s="2945"/>
      <c r="N19" s="2945"/>
      <c r="O19" s="2945"/>
      <c r="P19" s="3293"/>
      <c r="Q19" s="1536" t="str">
        <f>B19</f>
        <v>公共配套设施</v>
      </c>
      <c r="R19" s="714" t="s">
        <v>17</v>
      </c>
      <c r="S19" s="715">
        <f>F19</f>
        <v>100</v>
      </c>
      <c r="T19" s="714" t="s">
        <v>17</v>
      </c>
      <c r="U19" s="715">
        <f>H19</f>
        <v>100</v>
      </c>
      <c r="V19" s="714" t="s">
        <v>17</v>
      </c>
      <c r="W19" s="715">
        <f>J19</f>
        <v>100</v>
      </c>
      <c r="X19" s="1539"/>
      <c r="Y19" s="3286"/>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1"/>
      <c r="M20" s="2945"/>
      <c r="N20" s="2945"/>
      <c r="O20" s="2945"/>
      <c r="P20" s="3293"/>
      <c r="Q20" s="1536"/>
      <c r="R20" s="714"/>
      <c r="S20" s="715"/>
      <c r="T20" s="714"/>
      <c r="U20" s="715"/>
      <c r="V20" s="714"/>
      <c r="W20" s="715"/>
      <c r="X20" s="1539"/>
      <c r="Y20" s="3286"/>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1"/>
      <c r="M21" s="2945"/>
      <c r="N21" s="2945"/>
      <c r="O21" s="2945"/>
      <c r="P21" s="3293"/>
      <c r="Q21" s="1536" t="str">
        <f>B21</f>
        <v>基础设施水平</v>
      </c>
      <c r="R21" s="714" t="s">
        <v>17</v>
      </c>
      <c r="S21" s="715">
        <f>F21</f>
        <v>100</v>
      </c>
      <c r="T21" s="714" t="s">
        <v>17</v>
      </c>
      <c r="U21" s="715">
        <f>H21</f>
        <v>100</v>
      </c>
      <c r="V21" s="714" t="s">
        <v>17</v>
      </c>
      <c r="W21" s="715">
        <f>J21</f>
        <v>100</v>
      </c>
      <c r="X21" s="1539"/>
      <c r="Y21" s="3286"/>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1"/>
      <c r="M22" s="2945"/>
      <c r="N22" s="2945"/>
      <c r="O22" s="2945"/>
      <c r="P22" s="3293"/>
      <c r="Q22" s="1536"/>
      <c r="R22" s="714"/>
      <c r="S22" s="715"/>
      <c r="T22" s="714"/>
      <c r="U22" s="715"/>
      <c r="V22" s="714"/>
      <c r="W22" s="715"/>
      <c r="X22" s="1539"/>
      <c r="Y22" s="3286"/>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1"/>
      <c r="M23" s="2945"/>
      <c r="N23" s="2945"/>
      <c r="O23" s="2945"/>
      <c r="P23" s="3293"/>
      <c r="Q23" s="1536" t="str">
        <f>B23</f>
        <v>环境质量</v>
      </c>
      <c r="R23" s="714" t="s">
        <v>17</v>
      </c>
      <c r="S23" s="715">
        <f>F23</f>
        <v>100</v>
      </c>
      <c r="T23" s="714" t="s">
        <v>17</v>
      </c>
      <c r="U23" s="715">
        <f>H23</f>
        <v>100</v>
      </c>
      <c r="V23" s="714" t="s">
        <v>17</v>
      </c>
      <c r="W23" s="715">
        <f>J23</f>
        <v>100</v>
      </c>
      <c r="X23" s="1539"/>
      <c r="Y23" s="3286"/>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1"/>
      <c r="M24" s="2945"/>
      <c r="N24" s="2945"/>
      <c r="O24" s="2945"/>
      <c r="P24" s="3293"/>
      <c r="Q24" s="1536"/>
      <c r="R24" s="714"/>
      <c r="S24" s="715"/>
      <c r="T24" s="714"/>
      <c r="U24" s="715"/>
      <c r="V24" s="714"/>
      <c r="W24" s="715"/>
      <c r="X24" s="1539"/>
      <c r="Y24" s="3286"/>
      <c r="Z24" s="1540"/>
      <c r="AA24" s="1537">
        <v>1</v>
      </c>
      <c r="AB24" s="1537">
        <v>1</v>
      </c>
      <c r="AC24" s="2148">
        <v>1</v>
      </c>
    </row>
    <row r="25" spans="1:29" ht="27">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51"/>
      <c r="M25" s="2945"/>
      <c r="N25" s="2945"/>
      <c r="O25" s="2945"/>
      <c r="P25" s="3293"/>
      <c r="Q25" s="1536" t="str">
        <f>B25</f>
        <v>毗邻道路的类型与等级</v>
      </c>
      <c r="R25" s="714" t="s">
        <v>17</v>
      </c>
      <c r="S25" s="715">
        <f>F25</f>
        <v>100</v>
      </c>
      <c r="T25" s="714" t="s">
        <v>17</v>
      </c>
      <c r="U25" s="715">
        <f>H25</f>
        <v>100</v>
      </c>
      <c r="V25" s="714" t="s">
        <v>17</v>
      </c>
      <c r="W25" s="715">
        <f>J25</f>
        <v>100</v>
      </c>
      <c r="X25" s="1539"/>
      <c r="Y25" s="3286"/>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1"/>
      <c r="M26" s="2945"/>
      <c r="N26" s="2945"/>
      <c r="O26" s="2945"/>
      <c r="P26" s="3293"/>
      <c r="Q26" s="1536"/>
      <c r="R26" s="714"/>
      <c r="S26" s="715"/>
      <c r="T26" s="714"/>
      <c r="U26" s="715"/>
      <c r="V26" s="714"/>
      <c r="W26" s="715"/>
      <c r="X26" s="1539"/>
      <c r="Y26" s="3286"/>
      <c r="Z26" s="1540"/>
      <c r="AA26" s="1537">
        <v>1</v>
      </c>
      <c r="AB26" s="1537">
        <v>1</v>
      </c>
      <c r="AC26" s="2148">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1"/>
      <c r="M27" s="2945"/>
      <c r="N27" s="2945"/>
      <c r="O27" s="2945"/>
      <c r="P27" s="3293"/>
      <c r="Q27" s="1536" t="str">
        <f t="shared" ref="Q27:Q47" si="11">B27</f>
        <v>楼层</v>
      </c>
      <c r="R27" s="714" t="s">
        <v>17</v>
      </c>
      <c r="S27" s="715">
        <f>F27</f>
        <v>100</v>
      </c>
      <c r="T27" s="714" t="s">
        <v>17</v>
      </c>
      <c r="U27" s="715">
        <f>H27</f>
        <v>100</v>
      </c>
      <c r="V27" s="714" t="s">
        <v>17</v>
      </c>
      <c r="W27" s="715">
        <f>J27</f>
        <v>100</v>
      </c>
      <c r="X27" s="1539"/>
      <c r="Y27" s="3286"/>
      <c r="Z27" s="1540" t="str">
        <f>Q27</f>
        <v>楼层</v>
      </c>
      <c r="AA27" s="1537">
        <f t="shared" si="3"/>
        <v>1</v>
      </c>
      <c r="AB27" s="1537">
        <f t="shared" si="4"/>
        <v>1</v>
      </c>
      <c r="AC27" s="2148">
        <f t="shared" si="5"/>
        <v>1</v>
      </c>
    </row>
    <row r="28" spans="1:29" s="113" customFormat="1" ht="15">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6"/>
      <c r="M28" s="2947"/>
      <c r="N28" s="2947"/>
      <c r="O28" s="2947"/>
      <c r="P28" s="3293"/>
      <c r="Q28" s="1527" t="str">
        <f t="shared" si="11"/>
        <v>朝向</v>
      </c>
      <c r="R28" s="710" t="s">
        <v>17</v>
      </c>
      <c r="S28" s="711">
        <f>F28</f>
        <v>100</v>
      </c>
      <c r="T28" s="710" t="s">
        <v>17</v>
      </c>
      <c r="U28" s="711">
        <f>H28</f>
        <v>100</v>
      </c>
      <c r="V28" s="710" t="s">
        <v>17</v>
      </c>
      <c r="W28" s="711">
        <f>J28</f>
        <v>100</v>
      </c>
      <c r="X28" s="712"/>
      <c r="Y28" s="3286"/>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1"/>
      <c r="M29" s="2945"/>
      <c r="N29" s="2945"/>
      <c r="O29" s="2945"/>
      <c r="P29" s="3293"/>
      <c r="Q29" s="1536">
        <f t="shared" si="11"/>
        <v>111</v>
      </c>
      <c r="R29" s="714" t="s">
        <v>17</v>
      </c>
      <c r="S29" s="715">
        <f t="shared" ref="S29:S47" si="12">F29</f>
        <v>100</v>
      </c>
      <c r="T29" s="714" t="s">
        <v>17</v>
      </c>
      <c r="U29" s="715">
        <f t="shared" ref="U29:U47" si="13">H29</f>
        <v>100</v>
      </c>
      <c r="V29" s="714" t="s">
        <v>17</v>
      </c>
      <c r="W29" s="715">
        <f t="shared" ref="W29:W47" si="14">J29</f>
        <v>100</v>
      </c>
      <c r="X29" s="1539"/>
      <c r="Y29" s="3286"/>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1"/>
      <c r="M30" s="2945"/>
      <c r="N30" s="2945"/>
      <c r="O30" s="2945"/>
      <c r="P30" s="3293"/>
      <c r="Q30" s="1536">
        <f t="shared" si="11"/>
        <v>111</v>
      </c>
      <c r="R30" s="714" t="s">
        <v>17</v>
      </c>
      <c r="S30" s="715">
        <f t="shared" si="12"/>
        <v>100</v>
      </c>
      <c r="T30" s="714" t="s">
        <v>17</v>
      </c>
      <c r="U30" s="715">
        <f t="shared" si="13"/>
        <v>100</v>
      </c>
      <c r="V30" s="714" t="s">
        <v>17</v>
      </c>
      <c r="W30" s="715">
        <f t="shared" si="14"/>
        <v>100</v>
      </c>
      <c r="X30" s="1539"/>
      <c r="Y30" s="3286"/>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1"/>
      <c r="M31" s="2945"/>
      <c r="N31" s="2945"/>
      <c r="O31" s="2945"/>
      <c r="P31" s="3293"/>
      <c r="Q31" s="1536">
        <f t="shared" si="11"/>
        <v>111</v>
      </c>
      <c r="R31" s="714" t="s">
        <v>17</v>
      </c>
      <c r="S31" s="715">
        <f t="shared" si="12"/>
        <v>100</v>
      </c>
      <c r="T31" s="714" t="s">
        <v>17</v>
      </c>
      <c r="U31" s="715">
        <f t="shared" si="13"/>
        <v>100</v>
      </c>
      <c r="V31" s="714" t="s">
        <v>17</v>
      </c>
      <c r="W31" s="715">
        <f t="shared" si="14"/>
        <v>100</v>
      </c>
      <c r="X31" s="1539"/>
      <c r="Y31" s="3286"/>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1"/>
      <c r="M32" s="2945"/>
      <c r="N32" s="2945"/>
      <c r="O32" s="2945"/>
      <c r="P32" s="3293"/>
      <c r="Q32" s="1536">
        <f t="shared" si="11"/>
        <v>111</v>
      </c>
      <c r="R32" s="714" t="s">
        <v>17</v>
      </c>
      <c r="S32" s="715">
        <f t="shared" si="12"/>
        <v>100</v>
      </c>
      <c r="T32" s="714" t="s">
        <v>17</v>
      </c>
      <c r="U32" s="715">
        <f t="shared" si="13"/>
        <v>100</v>
      </c>
      <c r="V32" s="714" t="s">
        <v>17</v>
      </c>
      <c r="W32" s="715">
        <f t="shared" si="14"/>
        <v>100</v>
      </c>
      <c r="X32" s="1539"/>
      <c r="Y32" s="3286"/>
      <c r="Z32" s="1540">
        <f t="shared" si="15"/>
        <v>111</v>
      </c>
      <c r="AA32" s="1537">
        <f t="shared" si="3"/>
        <v>1</v>
      </c>
      <c r="AB32" s="1537">
        <f t="shared" si="4"/>
        <v>1</v>
      </c>
      <c r="AC32" s="2148">
        <f t="shared" si="5"/>
        <v>1</v>
      </c>
    </row>
    <row r="33" spans="1:29" ht="15">
      <c r="A33" s="399" t="s">
        <v>2384</v>
      </c>
      <c r="B33" s="67" t="s">
        <v>2514</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1"/>
      <c r="M33" s="2945"/>
      <c r="N33" s="2945"/>
      <c r="O33" s="2945"/>
      <c r="P33" s="3287" t="s">
        <v>2386</v>
      </c>
      <c r="Q33" s="1536" t="str">
        <f t="shared" si="11"/>
        <v>建筑类型</v>
      </c>
      <c r="R33" s="714" t="s">
        <v>17</v>
      </c>
      <c r="S33" s="715">
        <f t="shared" si="12"/>
        <v>100</v>
      </c>
      <c r="T33" s="714" t="s">
        <v>17</v>
      </c>
      <c r="U33" s="715">
        <f t="shared" si="13"/>
        <v>100</v>
      </c>
      <c r="V33" s="714" t="s">
        <v>17</v>
      </c>
      <c r="W33" s="715">
        <f t="shared" si="14"/>
        <v>100</v>
      </c>
      <c r="X33" s="1539"/>
      <c r="Y33" s="3290" t="s">
        <v>2386</v>
      </c>
      <c r="Z33" s="1540" t="str">
        <f t="shared" si="15"/>
        <v>建筑类型</v>
      </c>
      <c r="AA33" s="1537">
        <f t="shared" si="3"/>
        <v>1</v>
      </c>
      <c r="AB33" s="1537">
        <f t="shared" si="4"/>
        <v>1</v>
      </c>
      <c r="AC33" s="2148">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0"/>
      <c r="M34" s="2952"/>
      <c r="N34" s="2952"/>
      <c r="O34" s="2952"/>
      <c r="P34" s="3288"/>
      <c r="Q34" s="716" t="str">
        <f t="shared" si="11"/>
        <v>项目建筑规模</v>
      </c>
      <c r="R34" s="717" t="s">
        <v>17</v>
      </c>
      <c r="S34" s="718" t="e">
        <f t="shared" si="12"/>
        <v>#N/A</v>
      </c>
      <c r="T34" s="717" t="s">
        <v>17</v>
      </c>
      <c r="U34" s="718" t="e">
        <f t="shared" si="13"/>
        <v>#N/A</v>
      </c>
      <c r="V34" s="717" t="s">
        <v>17</v>
      </c>
      <c r="W34" s="718" t="e">
        <f t="shared" si="14"/>
        <v>#N/A</v>
      </c>
      <c r="X34" s="719"/>
      <c r="Y34" s="3290"/>
      <c r="Z34" s="720" t="str">
        <f t="shared" si="15"/>
        <v>项目建筑规模</v>
      </c>
      <c r="AA34" s="1537" t="e">
        <f t="shared" si="3"/>
        <v>#N/A</v>
      </c>
      <c r="AB34" s="1537" t="e">
        <f t="shared" si="4"/>
        <v>#N/A</v>
      </c>
      <c r="AC34" s="2148"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1"/>
      <c r="M35" s="2945"/>
      <c r="N35" s="2945"/>
      <c r="O35" s="2945"/>
      <c r="P35" s="3288"/>
      <c r="Q35" s="1536" t="str">
        <f t="shared" si="11"/>
        <v>建筑结构</v>
      </c>
      <c r="R35" s="714" t="s">
        <v>17</v>
      </c>
      <c r="S35" s="715">
        <f t="shared" si="12"/>
        <v>100</v>
      </c>
      <c r="T35" s="714" t="s">
        <v>17</v>
      </c>
      <c r="U35" s="715">
        <f t="shared" si="13"/>
        <v>100</v>
      </c>
      <c r="V35" s="714" t="s">
        <v>17</v>
      </c>
      <c r="W35" s="715">
        <f t="shared" si="14"/>
        <v>100</v>
      </c>
      <c r="X35" s="1539"/>
      <c r="Y35" s="3290"/>
      <c r="Z35" s="1540" t="str">
        <f t="shared" si="15"/>
        <v>建筑结构</v>
      </c>
      <c r="AA35" s="1537">
        <f t="shared" si="3"/>
        <v>1</v>
      </c>
      <c r="AB35" s="1537">
        <f t="shared" si="4"/>
        <v>1</v>
      </c>
      <c r="AC35" s="2148">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1"/>
      <c r="M36" s="2945"/>
      <c r="N36" s="2945"/>
      <c r="O36" s="2945"/>
      <c r="P36" s="3288"/>
      <c r="Q36" s="1536" t="str">
        <f t="shared" si="11"/>
        <v>公共部分装修</v>
      </c>
      <c r="R36" s="714" t="s">
        <v>17</v>
      </c>
      <c r="S36" s="715">
        <f t="shared" si="12"/>
        <v>100</v>
      </c>
      <c r="T36" s="714" t="s">
        <v>17</v>
      </c>
      <c r="U36" s="715">
        <f t="shared" si="13"/>
        <v>100</v>
      </c>
      <c r="V36" s="714" t="s">
        <v>17</v>
      </c>
      <c r="W36" s="715">
        <f t="shared" si="14"/>
        <v>100</v>
      </c>
      <c r="X36" s="1539"/>
      <c r="Y36" s="3290"/>
      <c r="Z36" s="1540" t="str">
        <f t="shared" si="15"/>
        <v>公共部分装修</v>
      </c>
      <c r="AA36" s="1537">
        <f t="shared" si="3"/>
        <v>1</v>
      </c>
      <c r="AB36" s="1537">
        <f t="shared" si="4"/>
        <v>1</v>
      </c>
      <c r="AC36" s="2148">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1"/>
      <c r="M37" s="2945"/>
      <c r="N37" s="2945"/>
      <c r="O37" s="2945"/>
      <c r="P37" s="3288"/>
      <c r="Q37" s="1536" t="str">
        <f t="shared" si="11"/>
        <v>成新度</v>
      </c>
      <c r="R37" s="714" t="s">
        <v>17</v>
      </c>
      <c r="S37" s="715" t="e">
        <f t="shared" si="12"/>
        <v>#N/A</v>
      </c>
      <c r="T37" s="714" t="s">
        <v>17</v>
      </c>
      <c r="U37" s="715" t="e">
        <f t="shared" si="13"/>
        <v>#N/A</v>
      </c>
      <c r="V37" s="714" t="s">
        <v>17</v>
      </c>
      <c r="W37" s="715" t="e">
        <f t="shared" si="14"/>
        <v>#N/A</v>
      </c>
      <c r="X37" s="1539"/>
      <c r="Y37" s="3290"/>
      <c r="Z37" s="1540" t="str">
        <f t="shared" si="15"/>
        <v>成新度</v>
      </c>
      <c r="AA37" s="1537" t="e">
        <f t="shared" si="3"/>
        <v>#N/A</v>
      </c>
      <c r="AB37" s="1537" t="e">
        <f t="shared" si="4"/>
        <v>#N/A</v>
      </c>
      <c r="AC37" s="2148"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6"/>
      <c r="M38" s="2947"/>
      <c r="N38" s="2947"/>
      <c r="O38" s="2947"/>
      <c r="P38" s="3288"/>
      <c r="Q38" s="1527" t="str">
        <f t="shared" si="11"/>
        <v>写字楼等级</v>
      </c>
      <c r="R38" s="710" t="s">
        <v>17</v>
      </c>
      <c r="S38" s="711">
        <f t="shared" si="12"/>
        <v>100</v>
      </c>
      <c r="T38" s="710" t="s">
        <v>17</v>
      </c>
      <c r="U38" s="711">
        <f t="shared" si="13"/>
        <v>100</v>
      </c>
      <c r="V38" s="710" t="s">
        <v>17</v>
      </c>
      <c r="W38" s="711">
        <f t="shared" si="14"/>
        <v>100</v>
      </c>
      <c r="X38" s="712"/>
      <c r="Y38" s="3290"/>
      <c r="Z38" s="55" t="str">
        <f t="shared" si="15"/>
        <v>写字楼等级</v>
      </c>
      <c r="AA38" s="713">
        <f t="shared" si="3"/>
        <v>1</v>
      </c>
      <c r="AB38" s="713">
        <f t="shared" si="4"/>
        <v>1</v>
      </c>
      <c r="AC38" s="2145">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1"/>
      <c r="M39" s="2945"/>
      <c r="N39" s="2945"/>
      <c r="O39" s="2945"/>
      <c r="P39" s="3288" t="s">
        <v>2386</v>
      </c>
      <c r="Q39" s="1536" t="str">
        <f t="shared" si="11"/>
        <v>物业管理</v>
      </c>
      <c r="R39" s="714" t="s">
        <v>17</v>
      </c>
      <c r="S39" s="715">
        <f t="shared" si="12"/>
        <v>100</v>
      </c>
      <c r="T39" s="714" t="s">
        <v>17</v>
      </c>
      <c r="U39" s="715">
        <f t="shared" si="13"/>
        <v>100</v>
      </c>
      <c r="V39" s="714" t="s">
        <v>17</v>
      </c>
      <c r="W39" s="715">
        <f t="shared" si="14"/>
        <v>100</v>
      </c>
      <c r="X39" s="1539"/>
      <c r="Y39" s="3290" t="s">
        <v>2386</v>
      </c>
      <c r="Z39" s="1540" t="str">
        <f t="shared" si="15"/>
        <v>物业管理</v>
      </c>
      <c r="AA39" s="1537">
        <f t="shared" si="3"/>
        <v>1</v>
      </c>
      <c r="AB39" s="1537">
        <f t="shared" si="4"/>
        <v>1</v>
      </c>
      <c r="AC39" s="2148">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1"/>
      <c r="M40" s="2945"/>
      <c r="N40" s="2945"/>
      <c r="O40" s="2945"/>
      <c r="P40" s="3288"/>
      <c r="Q40" s="1536" t="str">
        <f t="shared" si="11"/>
        <v>市政基础设施</v>
      </c>
      <c r="R40" s="714" t="s">
        <v>17</v>
      </c>
      <c r="S40" s="715">
        <f t="shared" si="12"/>
        <v>100</v>
      </c>
      <c r="T40" s="714" t="s">
        <v>17</v>
      </c>
      <c r="U40" s="715">
        <f t="shared" si="13"/>
        <v>100</v>
      </c>
      <c r="V40" s="714" t="s">
        <v>17</v>
      </c>
      <c r="W40" s="715">
        <f t="shared" si="14"/>
        <v>100</v>
      </c>
      <c r="X40" s="1539"/>
      <c r="Y40" s="3290"/>
      <c r="Z40" s="1540" t="str">
        <f t="shared" si="15"/>
        <v>市政基础设施</v>
      </c>
      <c r="AA40" s="1537">
        <f t="shared" si="3"/>
        <v>1</v>
      </c>
      <c r="AB40" s="1537">
        <f t="shared" si="4"/>
        <v>1</v>
      </c>
      <c r="AC40" s="2148">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1"/>
      <c r="M41" s="2945"/>
      <c r="N41" s="2945"/>
      <c r="O41" s="2945"/>
      <c r="P41" s="3288"/>
      <c r="Q41" s="1536" t="str">
        <f t="shared" si="11"/>
        <v>层高</v>
      </c>
      <c r="R41" s="714" t="s">
        <v>17</v>
      </c>
      <c r="S41" s="715">
        <f t="shared" si="12"/>
        <v>100</v>
      </c>
      <c r="T41" s="714" t="s">
        <v>17</v>
      </c>
      <c r="U41" s="715">
        <f t="shared" si="13"/>
        <v>100</v>
      </c>
      <c r="V41" s="714" t="s">
        <v>17</v>
      </c>
      <c r="W41" s="715">
        <f t="shared" si="14"/>
        <v>100</v>
      </c>
      <c r="X41" s="1539"/>
      <c r="Y41" s="3290"/>
      <c r="Z41" s="1540" t="str">
        <f t="shared" si="15"/>
        <v>层高</v>
      </c>
      <c r="AA41" s="1537">
        <f t="shared" si="3"/>
        <v>1</v>
      </c>
      <c r="AB41" s="1537">
        <f t="shared" si="4"/>
        <v>1</v>
      </c>
      <c r="AC41" s="2148">
        <f t="shared" si="5"/>
        <v>1</v>
      </c>
    </row>
    <row r="42" spans="1:29" s="430" customFormat="1" ht="15">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0"/>
      <c r="M42" s="2952"/>
      <c r="N42" s="2952"/>
      <c r="O42" s="2952"/>
      <c r="P42" s="3288"/>
      <c r="Q42" s="716" t="str">
        <f t="shared" si="11"/>
        <v>单套建筑面积</v>
      </c>
      <c r="R42" s="717" t="s">
        <v>17</v>
      </c>
      <c r="S42" s="718">
        <f t="shared" si="12"/>
        <v>100</v>
      </c>
      <c r="T42" s="717" t="s">
        <v>17</v>
      </c>
      <c r="U42" s="718">
        <f t="shared" si="13"/>
        <v>100</v>
      </c>
      <c r="V42" s="717" t="s">
        <v>17</v>
      </c>
      <c r="W42" s="718">
        <f t="shared" si="14"/>
        <v>100</v>
      </c>
      <c r="X42" s="719"/>
      <c r="Y42" s="3290"/>
      <c r="Z42" s="720" t="str">
        <f t="shared" si="15"/>
        <v>单套建筑面积</v>
      </c>
      <c r="AA42" s="1537">
        <f t="shared" si="3"/>
        <v>1</v>
      </c>
      <c r="AB42" s="1537">
        <f t="shared" si="4"/>
        <v>1</v>
      </c>
      <c r="AC42" s="2148">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1"/>
      <c r="M43" s="2945"/>
      <c r="N43" s="2945"/>
      <c r="O43" s="2945"/>
      <c r="P43" s="3288"/>
      <c r="Q43" s="1536" t="str">
        <f t="shared" si="11"/>
        <v>内部装修</v>
      </c>
      <c r="R43" s="714" t="s">
        <v>17</v>
      </c>
      <c r="S43" s="715">
        <f t="shared" si="12"/>
        <v>100</v>
      </c>
      <c r="T43" s="714" t="s">
        <v>17</v>
      </c>
      <c r="U43" s="715">
        <f t="shared" si="13"/>
        <v>100</v>
      </c>
      <c r="V43" s="714" t="s">
        <v>17</v>
      </c>
      <c r="W43" s="715">
        <f t="shared" si="14"/>
        <v>100</v>
      </c>
      <c r="X43" s="1539"/>
      <c r="Y43" s="3290"/>
      <c r="Z43" s="1540" t="str">
        <f t="shared" si="15"/>
        <v>内部装修</v>
      </c>
      <c r="AA43" s="1537">
        <f t="shared" si="3"/>
        <v>1</v>
      </c>
      <c r="AB43" s="1537">
        <f t="shared" si="4"/>
        <v>1</v>
      </c>
      <c r="AC43" s="2148">
        <f t="shared" si="5"/>
        <v>1</v>
      </c>
    </row>
    <row r="44" spans="1:29" ht="15">
      <c r="A44" s="431"/>
      <c r="B44" s="381" t="s">
        <v>2397</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1"/>
      <c r="M44" s="2945"/>
      <c r="N44" s="2945"/>
      <c r="O44" s="2945"/>
      <c r="P44" s="3288"/>
      <c r="Q44" s="1536" t="str">
        <f t="shared" si="11"/>
        <v>内部装修维护情况</v>
      </c>
      <c r="R44" s="714" t="s">
        <v>17</v>
      </c>
      <c r="S44" s="715">
        <f t="shared" si="12"/>
        <v>100</v>
      </c>
      <c r="T44" s="714" t="s">
        <v>17</v>
      </c>
      <c r="U44" s="715">
        <f t="shared" si="13"/>
        <v>100</v>
      </c>
      <c r="V44" s="714" t="s">
        <v>17</v>
      </c>
      <c r="W44" s="715">
        <f t="shared" si="14"/>
        <v>100</v>
      </c>
      <c r="X44" s="1539"/>
      <c r="Y44" s="3290"/>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6"/>
      <c r="M45" s="2947"/>
      <c r="N45" s="2947"/>
      <c r="O45" s="2947"/>
      <c r="P45" s="3288"/>
      <c r="Q45" s="1527">
        <f t="shared" si="11"/>
        <v>111</v>
      </c>
      <c r="R45" s="710" t="s">
        <v>17</v>
      </c>
      <c r="S45" s="711">
        <f t="shared" si="12"/>
        <v>100</v>
      </c>
      <c r="T45" s="710" t="s">
        <v>17</v>
      </c>
      <c r="U45" s="711">
        <f t="shared" si="13"/>
        <v>100</v>
      </c>
      <c r="V45" s="710" t="s">
        <v>17</v>
      </c>
      <c r="W45" s="711">
        <f t="shared" si="14"/>
        <v>100</v>
      </c>
      <c r="X45" s="712"/>
      <c r="Y45" s="3290"/>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1"/>
      <c r="M46" s="2945"/>
      <c r="N46" s="2945"/>
      <c r="O46" s="2945"/>
      <c r="P46" s="3288"/>
      <c r="Q46" s="1536">
        <f t="shared" si="11"/>
        <v>111</v>
      </c>
      <c r="R46" s="714" t="s">
        <v>17</v>
      </c>
      <c r="S46" s="715">
        <f t="shared" si="12"/>
        <v>100</v>
      </c>
      <c r="T46" s="714" t="s">
        <v>17</v>
      </c>
      <c r="U46" s="715">
        <f t="shared" si="13"/>
        <v>100</v>
      </c>
      <c r="V46" s="714" t="s">
        <v>17</v>
      </c>
      <c r="W46" s="715">
        <f t="shared" si="14"/>
        <v>100</v>
      </c>
      <c r="X46" s="1539"/>
      <c r="Y46" s="3290"/>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1"/>
      <c r="M47" s="2945"/>
      <c r="N47" s="2945"/>
      <c r="O47" s="2945"/>
      <c r="P47" s="3289"/>
      <c r="Q47" s="1536">
        <f t="shared" si="11"/>
        <v>111</v>
      </c>
      <c r="R47" s="714" t="s">
        <v>17</v>
      </c>
      <c r="S47" s="715">
        <f t="shared" si="12"/>
        <v>100</v>
      </c>
      <c r="T47" s="714" t="s">
        <v>17</v>
      </c>
      <c r="U47" s="715">
        <f t="shared" si="13"/>
        <v>100</v>
      </c>
      <c r="V47" s="714" t="s">
        <v>17</v>
      </c>
      <c r="W47" s="715">
        <f t="shared" si="14"/>
        <v>100</v>
      </c>
      <c r="X47" s="1539"/>
      <c r="Y47" s="3291"/>
      <c r="Z47" s="1540">
        <f t="shared" si="15"/>
        <v>111</v>
      </c>
      <c r="AA47" s="1537">
        <f t="shared" si="3"/>
        <v>1</v>
      </c>
      <c r="AB47" s="1537">
        <f t="shared" si="4"/>
        <v>1</v>
      </c>
      <c r="AC47" s="2148">
        <f t="shared" si="5"/>
        <v>1</v>
      </c>
    </row>
    <row r="48" spans="1:29" ht="15">
      <c r="A48" s="438" t="s">
        <v>2398</v>
      </c>
      <c r="B48" s="439"/>
      <c r="C48" s="1316" t="s">
        <v>1</v>
      </c>
      <c r="D48" s="1317"/>
      <c r="E48" s="1318"/>
      <c r="F48" s="1319"/>
      <c r="G48" s="1320"/>
      <c r="H48" s="1321"/>
      <c r="I48" s="1318"/>
      <c r="J48" s="444"/>
      <c r="K48" s="723"/>
      <c r="L48" s="2953"/>
      <c r="M48" s="2945"/>
      <c r="N48" s="2945"/>
      <c r="O48" s="2945"/>
      <c r="P48" s="3294" t="str">
        <f>A48</f>
        <v>成交单价（元/平方米）</v>
      </c>
      <c r="Q48" s="3283"/>
      <c r="R48" s="3284">
        <f>E48</f>
        <v>0</v>
      </c>
      <c r="S48" s="3284"/>
      <c r="T48" s="3284">
        <f>G48</f>
        <v>0</v>
      </c>
      <c r="U48" s="3284"/>
      <c r="V48" s="3284">
        <f>I48</f>
        <v>0</v>
      </c>
      <c r="W48" s="3284"/>
      <c r="X48" s="405"/>
      <c r="Y48" s="721"/>
      <c r="Z48" s="405"/>
      <c r="AA48" s="405"/>
      <c r="AB48" s="405"/>
      <c r="AC48" s="586"/>
    </row>
    <row r="49" spans="1:29" ht="15.75" thickBot="1">
      <c r="A49" s="445" t="s">
        <v>2490</v>
      </c>
      <c r="B49" s="446"/>
      <c r="C49" s="1322" t="e">
        <f>R50</f>
        <v>#DIV/0!</v>
      </c>
      <c r="D49" s="2538" t="s">
        <v>2880</v>
      </c>
      <c r="E49" s="1323" t="e">
        <f>R49</f>
        <v>#DIV/0!</v>
      </c>
      <c r="F49" s="2539"/>
      <c r="G49" s="1322" t="e">
        <f>T49</f>
        <v>#DIV/0!</v>
      </c>
      <c r="H49" s="2539"/>
      <c r="I49" s="1323" t="e">
        <f>V49</f>
        <v>#DIV/0!</v>
      </c>
      <c r="J49" s="2539"/>
      <c r="K49" s="2541">
        <f>F49+H49+J49</f>
        <v>0</v>
      </c>
      <c r="L49" s="2953"/>
      <c r="M49" s="2945"/>
      <c r="N49" s="2945"/>
      <c r="O49" s="2945"/>
      <c r="P49" s="3294" t="str">
        <f>A49</f>
        <v>比较价值（元/平方米）</v>
      </c>
      <c r="Q49" s="3283"/>
      <c r="R49" s="3284" t="e">
        <f>IF(F1="售价",ROUND(PRODUCT(R48,AA7:AA47),0),ROUND(PRODUCT(R48,AA7:AA47),1))</f>
        <v>#DIV/0!</v>
      </c>
      <c r="S49" s="3284"/>
      <c r="T49" s="3284" t="e">
        <f>IF(F1="售价",ROUND(PRODUCT(T48,AB7:AB47),0),ROUND(PRODUCT(T48,AB7:AB47),1))</f>
        <v>#DIV/0!</v>
      </c>
      <c r="U49" s="3284"/>
      <c r="V49" s="3284" t="e">
        <f>IF(F1="售价",ROUND(PRODUCT(V48,AC7:AC47),0),ROUND(PRODUCT(V48,AC7:AC47),1))</f>
        <v>#DIV/0!</v>
      </c>
      <c r="W49" s="3284"/>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3"/>
      <c r="M50" s="2945"/>
      <c r="N50" s="2945"/>
      <c r="O50" s="2945"/>
      <c r="P50" s="3326" t="str">
        <f>A50</f>
        <v>估价对象XX用房的比较价值（楼面单价，元/平方米）</v>
      </c>
      <c r="Q50" s="3327"/>
      <c r="R50" s="3328" t="e">
        <f>IF(F1="售价",ROUND(IF(D49="简单平均",AVERAGE(R49:V49),R49*F49+T49*H49+V49*J49),0),ROUND(IF(D49="简单平均",AVERAGE(R49:V49),R49*F49+T49*H49+V49*J49),1))</f>
        <v>#DIV/0!</v>
      </c>
      <c r="S50" s="3328"/>
      <c r="T50" s="3328"/>
      <c r="U50" s="3328"/>
      <c r="V50" s="3328"/>
      <c r="W50" s="3328"/>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9" customFormat="1" ht="13.5" customHeight="1">
      <c r="A55" s="2957"/>
      <c r="B55" s="2957"/>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9"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3" t="s">
        <v>2495</v>
      </c>
      <c r="B58" s="699"/>
      <c r="C58" s="704"/>
      <c r="D58" s="704"/>
      <c r="E58" s="704"/>
      <c r="F58" s="705"/>
      <c r="G58" s="705"/>
      <c r="H58" s="704"/>
      <c r="I58" s="704"/>
      <c r="J58" s="704"/>
      <c r="K58" s="706"/>
      <c r="L58" s="1073"/>
      <c r="M58" s="1071"/>
      <c r="N58" s="2998"/>
      <c r="O58" s="2998"/>
      <c r="P58" s="2987"/>
      <c r="Q58" s="2968"/>
      <c r="R58" s="2954"/>
      <c r="S58" s="2954"/>
      <c r="T58" s="2954"/>
      <c r="U58" s="2954"/>
      <c r="V58" s="2954"/>
      <c r="W58" s="2954"/>
      <c r="X58" s="2954"/>
      <c r="Y58" s="2954"/>
      <c r="Z58" s="2954"/>
      <c r="AA58" s="2954"/>
      <c r="AB58" s="2954"/>
      <c r="AC58" s="2954"/>
    </row>
    <row r="59" spans="1:29" s="465" customFormat="1" ht="15">
      <c r="A59" s="462" t="s">
        <v>2369</v>
      </c>
      <c r="B59" s="463"/>
      <c r="C59" s="1346" t="str">
        <f>YEAR(C7)&amp;"-"&amp;MONTH(C7)</f>
        <v>2021-6</v>
      </c>
      <c r="D59" s="1347">
        <f>EDATE(C59,-1)</f>
        <v>44317</v>
      </c>
      <c r="E59" s="1347">
        <f>EDATE(D59,-1)</f>
        <v>44287</v>
      </c>
      <c r="F59" s="1347">
        <f t="shared" ref="F59:O59" si="16">EDATE(E59,-1)</f>
        <v>44256</v>
      </c>
      <c r="G59" s="1347">
        <f t="shared" si="16"/>
        <v>44228</v>
      </c>
      <c r="H59" s="1347">
        <f t="shared" si="16"/>
        <v>44197</v>
      </c>
      <c r="I59" s="1347">
        <f t="shared" si="16"/>
        <v>44166</v>
      </c>
      <c r="J59" s="1347">
        <f t="shared" si="16"/>
        <v>44136</v>
      </c>
      <c r="K59" s="1347">
        <f t="shared" si="16"/>
        <v>44105</v>
      </c>
      <c r="L59" s="1347">
        <f t="shared" si="16"/>
        <v>44075</v>
      </c>
      <c r="M59" s="1347">
        <f t="shared" si="16"/>
        <v>44044</v>
      </c>
      <c r="N59" s="1347">
        <f t="shared" si="16"/>
        <v>44013</v>
      </c>
      <c r="O59" s="1347">
        <f t="shared" si="16"/>
        <v>43983</v>
      </c>
      <c r="P59" s="2988"/>
      <c r="Q59" s="2970"/>
      <c r="R59" s="2970"/>
      <c r="S59" s="2970"/>
      <c r="T59" s="2970"/>
      <c r="U59" s="2970"/>
      <c r="V59" s="2970"/>
      <c r="W59" s="2970"/>
      <c r="X59" s="2970"/>
      <c r="Y59" s="2970"/>
      <c r="Z59" s="2970"/>
      <c r="AA59" s="2970"/>
      <c r="AB59" s="2970"/>
      <c r="AC59" s="2970"/>
    </row>
    <row r="60" spans="1:29" s="113" customFormat="1" ht="15">
      <c r="A60" s="466"/>
      <c r="B60" s="467"/>
      <c r="C60" s="1345">
        <v>100</v>
      </c>
      <c r="D60" s="469"/>
      <c r="E60" s="469"/>
      <c r="F60" s="469"/>
      <c r="G60" s="469"/>
      <c r="H60" s="469"/>
      <c r="I60" s="469"/>
      <c r="J60" s="469"/>
      <c r="K60" s="469"/>
      <c r="L60" s="469"/>
      <c r="M60" s="470"/>
      <c r="N60" s="469"/>
      <c r="O60" s="470"/>
      <c r="P60" s="2989"/>
      <c r="Q60" s="2888"/>
      <c r="R60" s="2888"/>
      <c r="S60" s="2888"/>
      <c r="T60" s="2888"/>
      <c r="U60" s="2888"/>
      <c r="V60" s="2888"/>
      <c r="W60" s="2888"/>
      <c r="X60" s="2888"/>
      <c r="Y60" s="2888"/>
      <c r="Z60" s="2888"/>
      <c r="AA60" s="2888"/>
      <c r="AB60" s="2888"/>
      <c r="AC60" s="2888"/>
    </row>
    <row r="61" spans="1:29" s="113" customFormat="1" ht="15.75" thickBot="1">
      <c r="A61" s="472" t="s">
        <v>2406</v>
      </c>
      <c r="B61" s="473"/>
      <c r="C61" s="474"/>
      <c r="D61" s="475"/>
      <c r="E61" s="475"/>
      <c r="F61" s="475"/>
      <c r="G61" s="475"/>
      <c r="H61" s="475"/>
      <c r="I61" s="475"/>
      <c r="J61" s="475"/>
      <c r="K61" s="475"/>
      <c r="L61" s="475"/>
      <c r="M61" s="476"/>
      <c r="N61" s="475"/>
      <c r="O61" s="476"/>
      <c r="P61" s="2989"/>
      <c r="Q61" s="2968"/>
      <c r="R61" s="2888"/>
      <c r="S61" s="2888"/>
      <c r="T61" s="2888"/>
      <c r="U61" s="2888"/>
      <c r="V61" s="2888"/>
      <c r="W61" s="2888"/>
      <c r="X61" s="2888"/>
      <c r="Y61" s="2888"/>
      <c r="Z61" s="2888"/>
      <c r="AA61" s="2888"/>
      <c r="AB61" s="2888"/>
      <c r="AC61" s="2888"/>
    </row>
    <row r="62" spans="1:29" s="113" customFormat="1" ht="15">
      <c r="A62" s="478" t="s">
        <v>2371</v>
      </c>
      <c r="B62" s="467"/>
      <c r="C62" s="479" t="s">
        <v>2473</v>
      </c>
      <c r="D62" s="480"/>
      <c r="E62" s="480"/>
      <c r="F62" s="480"/>
      <c r="G62" s="480"/>
      <c r="H62" s="480"/>
      <c r="I62" s="480"/>
      <c r="J62" s="480"/>
      <c r="K62" s="480"/>
      <c r="L62" s="481"/>
      <c r="M62" s="482"/>
      <c r="N62" s="2981"/>
      <c r="O62" s="2981"/>
      <c r="P62" s="2990"/>
      <c r="Q62" s="2968"/>
      <c r="R62" s="2888"/>
      <c r="S62" s="2888"/>
      <c r="T62" s="2888"/>
      <c r="U62" s="2888"/>
      <c r="V62" s="2888"/>
      <c r="W62" s="2888"/>
      <c r="X62" s="2888"/>
      <c r="Y62" s="2888"/>
      <c r="Z62" s="2888"/>
      <c r="AA62" s="2888"/>
      <c r="AB62" s="2888"/>
      <c r="AC62" s="2888"/>
    </row>
    <row r="63" spans="1:29" s="113" customFormat="1" ht="15.75" thickBot="1">
      <c r="A63" s="478"/>
      <c r="B63" s="467"/>
      <c r="C63" s="468">
        <v>100</v>
      </c>
      <c r="D63" s="469"/>
      <c r="E63" s="469"/>
      <c r="F63" s="469"/>
      <c r="G63" s="469"/>
      <c r="H63" s="469"/>
      <c r="I63" s="469"/>
      <c r="J63" s="469"/>
      <c r="K63" s="469"/>
      <c r="L63" s="469"/>
      <c r="M63" s="471"/>
      <c r="N63" s="2981"/>
      <c r="O63" s="2981"/>
      <c r="P63" s="2989"/>
      <c r="Q63" s="2968"/>
      <c r="R63" s="2888"/>
      <c r="S63" s="2888"/>
      <c r="T63" s="2888"/>
      <c r="U63" s="2888"/>
      <c r="V63" s="2888"/>
      <c r="W63" s="2888"/>
      <c r="X63" s="2888"/>
      <c r="Y63" s="2888"/>
      <c r="Z63" s="2888"/>
      <c r="AA63" s="2888"/>
      <c r="AB63" s="2888"/>
      <c r="AC63" s="2888"/>
    </row>
    <row r="64" spans="1:29">
      <c r="A64" s="484" t="s">
        <v>2409</v>
      </c>
      <c r="B64" s="485" t="s">
        <v>2375</v>
      </c>
      <c r="C64" s="486">
        <f>C9</f>
        <v>0</v>
      </c>
      <c r="D64" s="487"/>
      <c r="E64" s="487"/>
      <c r="F64" s="487"/>
      <c r="G64" s="487"/>
      <c r="H64" s="487"/>
      <c r="I64" s="487"/>
      <c r="J64" s="487"/>
      <c r="K64" s="488"/>
      <c r="L64" s="489"/>
      <c r="M64" s="490"/>
      <c r="N64" s="2982"/>
      <c r="O64" s="2982"/>
      <c r="P64" s="2991"/>
      <c r="Q64" s="2968"/>
      <c r="R64" s="2954"/>
      <c r="S64" s="2954"/>
      <c r="T64" s="2954"/>
      <c r="U64" s="2954"/>
      <c r="V64" s="2954"/>
      <c r="W64" s="2954"/>
      <c r="X64" s="2954"/>
      <c r="Y64" s="2954"/>
      <c r="Z64" s="2954"/>
      <c r="AA64" s="2954"/>
      <c r="AB64" s="2954"/>
      <c r="AC64" s="2954"/>
    </row>
    <row r="65" spans="1:29" ht="15.75" thickBot="1">
      <c r="A65" s="491"/>
      <c r="B65" s="492"/>
      <c r="C65" s="493">
        <v>100</v>
      </c>
      <c r="D65" s="493"/>
      <c r="E65" s="493"/>
      <c r="F65" s="493"/>
      <c r="G65" s="493"/>
      <c r="H65" s="493"/>
      <c r="I65" s="493"/>
      <c r="J65" s="493"/>
      <c r="K65" s="493"/>
      <c r="L65" s="493"/>
      <c r="M65" s="494"/>
      <c r="N65" s="2983"/>
      <c r="O65" s="2983"/>
      <c r="P65" s="2991"/>
      <c r="Q65" s="2968"/>
      <c r="R65" s="2954"/>
      <c r="S65" s="2954"/>
      <c r="T65" s="2954"/>
      <c r="U65" s="2954"/>
      <c r="V65" s="2954"/>
      <c r="W65" s="2954"/>
      <c r="X65" s="2954"/>
      <c r="Y65" s="2954"/>
      <c r="Z65" s="2954"/>
      <c r="AA65" s="2954"/>
      <c r="AB65" s="2954"/>
      <c r="AC65" s="2954"/>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2"/>
      <c r="O66" s="2982"/>
      <c r="P66" s="2991"/>
      <c r="Q66" s="2968"/>
      <c r="R66" s="2954"/>
      <c r="S66" s="2954"/>
      <c r="T66" s="2954"/>
      <c r="U66" s="2954"/>
      <c r="V66" s="2954"/>
      <c r="W66" s="2954"/>
      <c r="X66" s="2954"/>
      <c r="Y66" s="2954"/>
      <c r="Z66" s="2954"/>
      <c r="AA66" s="2954"/>
      <c r="AB66" s="2954"/>
      <c r="AC66" s="295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3"/>
      <c r="O67" s="2983"/>
      <c r="P67" s="2991"/>
      <c r="Q67" s="2968"/>
      <c r="R67" s="2954"/>
      <c r="S67" s="2954"/>
      <c r="T67" s="2954"/>
      <c r="U67" s="2954"/>
      <c r="V67" s="2954"/>
      <c r="W67" s="2954"/>
      <c r="X67" s="2954"/>
      <c r="Y67" s="2954"/>
      <c r="Z67" s="2954"/>
      <c r="AA67" s="2954"/>
      <c r="AB67" s="2954"/>
      <c r="AC67" s="2954"/>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1"/>
      <c r="B69" s="505"/>
      <c r="C69" s="506"/>
      <c r="D69" s="506"/>
      <c r="E69" s="506"/>
      <c r="F69" s="506"/>
      <c r="G69" s="506"/>
      <c r="H69" s="506"/>
      <c r="I69" s="506"/>
      <c r="J69" s="506"/>
      <c r="K69" s="507"/>
      <c r="L69" s="508"/>
      <c r="M69" s="509"/>
      <c r="N69" s="2982"/>
      <c r="O69" s="2982"/>
      <c r="P69" s="2991"/>
      <c r="Q69" s="2968"/>
      <c r="R69" s="2954"/>
      <c r="S69" s="2954"/>
      <c r="T69" s="2954"/>
      <c r="U69" s="2954"/>
      <c r="V69" s="2954"/>
      <c r="W69" s="2954"/>
      <c r="X69" s="2954"/>
      <c r="Y69" s="2954"/>
      <c r="Z69" s="2954"/>
      <c r="AA69" s="2954"/>
      <c r="AB69" s="2954"/>
      <c r="AC69" s="295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3"/>
      <c r="O70" s="2983"/>
      <c r="P70" s="2991"/>
      <c r="Q70" s="2968"/>
      <c r="R70" s="2954"/>
      <c r="S70" s="2954"/>
      <c r="T70" s="2954"/>
      <c r="U70" s="2954"/>
      <c r="V70" s="2954"/>
      <c r="W70" s="2954"/>
      <c r="X70" s="2954"/>
      <c r="Y70" s="2954"/>
      <c r="Z70" s="2954"/>
      <c r="AA70" s="2954"/>
      <c r="AB70" s="2954"/>
      <c r="AC70" s="2954"/>
    </row>
    <row r="71" spans="1:29" s="430" customFormat="1" ht="15.75" thickTop="1">
      <c r="A71" s="510"/>
      <c r="B71" s="495">
        <f>B12</f>
        <v>111</v>
      </c>
      <c r="C71" s="511"/>
      <c r="D71" s="511"/>
      <c r="E71" s="511"/>
      <c r="F71" s="511"/>
      <c r="G71" s="511"/>
      <c r="H71" s="512"/>
      <c r="I71" s="512"/>
      <c r="J71" s="512"/>
      <c r="K71" s="512"/>
      <c r="L71" s="513"/>
      <c r="M71" s="514"/>
      <c r="N71" s="2984"/>
      <c r="O71" s="2984"/>
      <c r="P71" s="2992"/>
      <c r="Q71" s="2975"/>
      <c r="R71" s="2976"/>
      <c r="S71" s="2976"/>
      <c r="T71" s="2976"/>
      <c r="U71" s="2976"/>
      <c r="V71" s="2976"/>
      <c r="W71" s="2976"/>
      <c r="X71" s="2976"/>
      <c r="Y71" s="2976"/>
      <c r="Z71" s="2976"/>
      <c r="AA71" s="2976"/>
      <c r="AB71" s="2976"/>
      <c r="AC71" s="2976"/>
    </row>
    <row r="72" spans="1:29" s="430" customFormat="1" ht="15.75" thickBot="1">
      <c r="A72" s="510"/>
      <c r="B72" s="500"/>
      <c r="C72" s="517"/>
      <c r="D72" s="493"/>
      <c r="E72" s="493"/>
      <c r="F72" s="493"/>
      <c r="G72" s="493"/>
      <c r="H72" s="493"/>
      <c r="I72" s="493"/>
      <c r="J72" s="493"/>
      <c r="K72" s="493"/>
      <c r="L72" s="493"/>
      <c r="M72" s="494"/>
      <c r="N72" s="2983"/>
      <c r="O72" s="2983"/>
      <c r="P72" s="2992"/>
      <c r="Q72" s="2975"/>
      <c r="R72" s="2976"/>
      <c r="S72" s="2976"/>
      <c r="T72" s="2976"/>
      <c r="U72" s="2976"/>
      <c r="V72" s="2976"/>
      <c r="W72" s="2976"/>
      <c r="X72" s="2976"/>
      <c r="Y72" s="2976"/>
      <c r="Z72" s="2976"/>
      <c r="AA72" s="2976"/>
      <c r="AB72" s="2976"/>
      <c r="AC72" s="2976"/>
    </row>
    <row r="73" spans="1:29" s="430" customFormat="1" ht="15.75" thickTop="1">
      <c r="A73" s="510"/>
      <c r="B73" s="495">
        <f>B13</f>
        <v>111</v>
      </c>
      <c r="C73" s="511"/>
      <c r="D73" s="511"/>
      <c r="E73" s="511"/>
      <c r="F73" s="511"/>
      <c r="G73" s="511"/>
      <c r="H73" s="512"/>
      <c r="I73" s="512"/>
      <c r="J73" s="512"/>
      <c r="K73" s="512"/>
      <c r="L73" s="513"/>
      <c r="M73" s="514"/>
      <c r="N73" s="2984"/>
      <c r="O73" s="2984"/>
      <c r="P73" s="2993"/>
      <c r="Q73" s="2978"/>
      <c r="R73" s="2976"/>
      <c r="S73" s="2976"/>
      <c r="T73" s="2976"/>
      <c r="U73" s="2976"/>
      <c r="V73" s="2976"/>
      <c r="W73" s="2976"/>
      <c r="X73" s="2976"/>
      <c r="Y73" s="2976"/>
      <c r="Z73" s="2976"/>
      <c r="AA73" s="2976"/>
      <c r="AB73" s="2976"/>
      <c r="AC73" s="2976"/>
    </row>
    <row r="74" spans="1:29" s="430" customFormat="1" ht="15.75" thickBot="1">
      <c r="A74" s="510"/>
      <c r="B74" s="500"/>
      <c r="C74" s="517"/>
      <c r="D74" s="517"/>
      <c r="E74" s="517"/>
      <c r="F74" s="517"/>
      <c r="G74" s="517"/>
      <c r="H74" s="519"/>
      <c r="I74" s="519"/>
      <c r="J74" s="519"/>
      <c r="K74" s="519"/>
      <c r="L74" s="519"/>
      <c r="M74" s="520"/>
      <c r="N74" s="2984"/>
      <c r="O74" s="2984"/>
      <c r="P74" s="2992"/>
      <c r="Q74" s="2975"/>
      <c r="R74" s="2976"/>
      <c r="S74" s="2976"/>
      <c r="T74" s="2976"/>
      <c r="U74" s="2976"/>
      <c r="V74" s="2976"/>
      <c r="W74" s="2976"/>
      <c r="X74" s="2976"/>
      <c r="Y74" s="2976"/>
      <c r="Z74" s="2976"/>
      <c r="AA74" s="2976"/>
      <c r="AB74" s="2976"/>
      <c r="AC74" s="2976"/>
    </row>
    <row r="75" spans="1:29" s="430" customFormat="1" ht="15.75" thickTop="1">
      <c r="A75" s="510"/>
      <c r="B75" s="503">
        <f>B14</f>
        <v>111</v>
      </c>
      <c r="C75" s="480"/>
      <c r="D75" s="480"/>
      <c r="E75" s="480"/>
      <c r="F75" s="480"/>
      <c r="G75" s="480"/>
      <c r="H75" s="521"/>
      <c r="I75" s="521"/>
      <c r="J75" s="521"/>
      <c r="K75" s="521"/>
      <c r="L75" s="522"/>
      <c r="M75" s="523"/>
      <c r="N75" s="2984"/>
      <c r="O75" s="2984"/>
      <c r="P75" s="2994"/>
      <c r="Q75" s="2975"/>
      <c r="R75" s="2976"/>
      <c r="S75" s="2976"/>
      <c r="T75" s="2976"/>
      <c r="U75" s="2976"/>
      <c r="V75" s="2976"/>
      <c r="W75" s="2976"/>
      <c r="X75" s="2976"/>
      <c r="Y75" s="2976"/>
      <c r="Z75" s="2976"/>
      <c r="AA75" s="2976"/>
      <c r="AB75" s="2976"/>
      <c r="AC75" s="2976"/>
    </row>
    <row r="76" spans="1:29" s="430" customFormat="1" ht="15.75" thickBot="1">
      <c r="A76" s="525"/>
      <c r="B76" s="526"/>
      <c r="C76" s="527"/>
      <c r="D76" s="527"/>
      <c r="E76" s="527"/>
      <c r="F76" s="527"/>
      <c r="G76" s="527"/>
      <c r="H76" s="528"/>
      <c r="I76" s="528"/>
      <c r="J76" s="528"/>
      <c r="K76" s="528"/>
      <c r="L76" s="528"/>
      <c r="M76" s="529"/>
      <c r="N76" s="2984"/>
      <c r="O76" s="2984"/>
      <c r="P76" s="2992"/>
      <c r="Q76" s="2975"/>
      <c r="R76" s="2976"/>
      <c r="S76" s="2976"/>
      <c r="T76" s="2976"/>
      <c r="U76" s="2976"/>
      <c r="V76" s="2976"/>
      <c r="W76" s="2976"/>
      <c r="X76" s="2976"/>
      <c r="Y76" s="2976"/>
      <c r="Z76" s="2976"/>
      <c r="AA76" s="2976"/>
      <c r="AB76" s="2976"/>
      <c r="AC76" s="2976"/>
    </row>
    <row r="77" spans="1:29">
      <c r="A77" s="484" t="s">
        <v>2380</v>
      </c>
      <c r="B77" s="485" t="s">
        <v>2518</v>
      </c>
      <c r="C77" s="530" t="s">
        <v>2418</v>
      </c>
      <c r="D77" s="530" t="s">
        <v>2419</v>
      </c>
      <c r="E77" s="530" t="s">
        <v>2420</v>
      </c>
      <c r="F77" s="530" t="s">
        <v>2421</v>
      </c>
      <c r="G77" s="530" t="s">
        <v>2422</v>
      </c>
      <c r="H77" s="486"/>
      <c r="I77" s="486"/>
      <c r="J77" s="486"/>
      <c r="K77" s="531"/>
      <c r="L77" s="532"/>
      <c r="M77" s="533"/>
      <c r="N77" s="2982"/>
      <c r="O77" s="2982"/>
      <c r="P77" s="2995"/>
      <c r="Q77" s="2968"/>
      <c r="R77" s="2954"/>
      <c r="S77" s="2954"/>
      <c r="T77" s="2954"/>
      <c r="U77" s="2954"/>
      <c r="V77" s="2954"/>
      <c r="W77" s="2954"/>
      <c r="X77" s="2954"/>
      <c r="Y77" s="2954"/>
      <c r="Z77" s="2954"/>
      <c r="AA77" s="2954"/>
      <c r="AB77" s="2954"/>
      <c r="AC77" s="295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3"/>
      <c r="O78" s="2983"/>
      <c r="P78" s="2991"/>
      <c r="Q78" s="2968"/>
      <c r="R78" s="2954"/>
      <c r="S78" s="2954"/>
      <c r="T78" s="2954"/>
      <c r="U78" s="2954"/>
      <c r="V78" s="2954"/>
      <c r="W78" s="2954"/>
      <c r="X78" s="2954"/>
      <c r="Y78" s="2954"/>
      <c r="Z78" s="2954"/>
      <c r="AA78" s="2954"/>
      <c r="AB78" s="2954"/>
      <c r="AC78" s="2954"/>
    </row>
    <row r="79" spans="1:29" ht="15.75" thickTop="1">
      <c r="A79" s="491"/>
      <c r="B79" s="495" t="s">
        <v>2423</v>
      </c>
      <c r="C79" s="535" t="s">
        <v>2418</v>
      </c>
      <c r="D79" s="535" t="s">
        <v>2419</v>
      </c>
      <c r="E79" s="535" t="s">
        <v>2420</v>
      </c>
      <c r="F79" s="535" t="s">
        <v>2421</v>
      </c>
      <c r="G79" s="535" t="s">
        <v>2422</v>
      </c>
      <c r="H79" s="496"/>
      <c r="I79" s="496"/>
      <c r="J79" s="496"/>
      <c r="K79" s="497"/>
      <c r="L79" s="498"/>
      <c r="M79" s="499"/>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3"/>
      <c r="O80" s="2983"/>
      <c r="P80" s="2991"/>
      <c r="Q80" s="2968"/>
      <c r="R80" s="2954"/>
      <c r="S80" s="2954"/>
      <c r="T80" s="2954"/>
      <c r="U80" s="2954"/>
      <c r="V80" s="2954"/>
      <c r="W80" s="2954"/>
      <c r="X80" s="2954"/>
      <c r="Y80" s="2954"/>
      <c r="Z80" s="2954"/>
      <c r="AA80" s="2954"/>
      <c r="AB80" s="2954"/>
      <c r="AC80" s="2954"/>
    </row>
    <row r="81" spans="1:29" ht="15.75" thickTop="1">
      <c r="A81" s="491"/>
      <c r="B81" s="495" t="s">
        <v>2424</v>
      </c>
      <c r="C81" s="535" t="s">
        <v>2418</v>
      </c>
      <c r="D81" s="535" t="s">
        <v>2419</v>
      </c>
      <c r="E81" s="535" t="s">
        <v>2420</v>
      </c>
      <c r="F81" s="535" t="s">
        <v>2421</v>
      </c>
      <c r="G81" s="535" t="s">
        <v>2422</v>
      </c>
      <c r="H81" s="496"/>
      <c r="I81" s="496"/>
      <c r="J81" s="496"/>
      <c r="K81" s="497"/>
      <c r="L81" s="498"/>
      <c r="M81" s="499"/>
      <c r="N81" s="2982"/>
      <c r="O81" s="2982"/>
      <c r="P81" s="2991"/>
      <c r="Q81" s="2968"/>
      <c r="R81" s="2954"/>
      <c r="S81" s="2954"/>
      <c r="T81" s="2954"/>
      <c r="U81" s="2954"/>
      <c r="V81" s="2954"/>
      <c r="W81" s="2954"/>
      <c r="X81" s="2954"/>
      <c r="Y81" s="2954"/>
      <c r="Z81" s="2954"/>
      <c r="AA81" s="2954"/>
      <c r="AB81" s="2954"/>
      <c r="AC81" s="295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3"/>
      <c r="O82" s="2983"/>
      <c r="P82" s="2991"/>
      <c r="Q82" s="2968"/>
      <c r="R82" s="2954"/>
      <c r="S82" s="2954"/>
      <c r="T82" s="2954"/>
      <c r="U82" s="2954"/>
      <c r="V82" s="2954"/>
      <c r="W82" s="2954"/>
      <c r="X82" s="2954"/>
      <c r="Y82" s="2954"/>
      <c r="Z82" s="2954"/>
      <c r="AA82" s="2954"/>
      <c r="AB82" s="2954"/>
      <c r="AC82" s="2954"/>
    </row>
    <row r="83" spans="1:29" ht="15.75" thickTop="1">
      <c r="A83" s="491"/>
      <c r="B83" s="503" t="s">
        <v>2510</v>
      </c>
      <c r="C83" s="616" t="s">
        <v>2496</v>
      </c>
      <c r="D83" s="616" t="s">
        <v>2497</v>
      </c>
      <c r="E83" s="616" t="s">
        <v>2498</v>
      </c>
      <c r="F83" s="616" t="s">
        <v>2499</v>
      </c>
      <c r="G83" s="616" t="s">
        <v>2500</v>
      </c>
      <c r="H83" s="496"/>
      <c r="I83" s="496"/>
      <c r="J83" s="496"/>
      <c r="K83" s="496"/>
      <c r="L83" s="496"/>
      <c r="M83" s="1291"/>
      <c r="N83" s="2983"/>
      <c r="O83" s="2983"/>
      <c r="P83" s="2991"/>
      <c r="Q83" s="2968"/>
      <c r="R83" s="2954"/>
      <c r="S83" s="2954"/>
      <c r="T83" s="2954"/>
      <c r="U83" s="2954"/>
      <c r="V83" s="2954"/>
      <c r="W83" s="2954"/>
      <c r="X83" s="2954"/>
      <c r="Y83" s="2954"/>
      <c r="Z83" s="2954"/>
      <c r="AA83" s="2954"/>
      <c r="AB83" s="2954"/>
      <c r="AC83" s="295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3"/>
      <c r="O84" s="2983"/>
      <c r="P84" s="2991"/>
      <c r="Q84" s="2968"/>
      <c r="R84" s="2954"/>
      <c r="S84" s="2954"/>
      <c r="T84" s="2954"/>
      <c r="U84" s="2954"/>
      <c r="V84" s="2954"/>
      <c r="W84" s="2954"/>
      <c r="X84" s="2954"/>
      <c r="Y84" s="2954"/>
      <c r="Z84" s="2954"/>
      <c r="AA84" s="2954"/>
      <c r="AB84" s="2954"/>
      <c r="AC84" s="2954"/>
    </row>
    <row r="85" spans="1:29" ht="15.75" thickTop="1">
      <c r="A85" s="491"/>
      <c r="B85" s="495" t="s">
        <v>2519</v>
      </c>
      <c r="C85" s="535" t="s">
        <v>2418</v>
      </c>
      <c r="D85" s="535" t="s">
        <v>2419</v>
      </c>
      <c r="E85" s="535" t="s">
        <v>2420</v>
      </c>
      <c r="F85" s="535" t="s">
        <v>2421</v>
      </c>
      <c r="G85" s="535" t="s">
        <v>2422</v>
      </c>
      <c r="H85" s="496"/>
      <c r="I85" s="496"/>
      <c r="J85" s="496"/>
      <c r="K85" s="497"/>
      <c r="L85" s="498"/>
      <c r="M85" s="499"/>
      <c r="N85" s="2982"/>
      <c r="O85" s="2982"/>
      <c r="P85" s="2991"/>
      <c r="Q85" s="2968"/>
      <c r="R85" s="2954"/>
      <c r="S85" s="2954"/>
      <c r="T85" s="2954"/>
      <c r="U85" s="2954"/>
      <c r="V85" s="2954"/>
      <c r="W85" s="2954"/>
      <c r="X85" s="2954"/>
      <c r="Y85" s="2954"/>
      <c r="Z85" s="2954"/>
      <c r="AA85" s="2954"/>
      <c r="AB85" s="2954"/>
      <c r="AC85" s="295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3"/>
      <c r="O86" s="2983"/>
      <c r="P86" s="2991"/>
      <c r="Q86" s="2968"/>
      <c r="R86" s="2954"/>
      <c r="S86" s="2954"/>
      <c r="T86" s="2954"/>
      <c r="U86" s="2954"/>
      <c r="V86" s="2954"/>
      <c r="W86" s="2954"/>
      <c r="X86" s="2954"/>
      <c r="Y86" s="2954"/>
      <c r="Z86" s="2954"/>
      <c r="AA86" s="2954"/>
      <c r="AB86" s="2954"/>
      <c r="AC86" s="2954"/>
    </row>
    <row r="87" spans="1:29" s="113" customFormat="1" ht="27.75" thickTop="1">
      <c r="A87" s="536"/>
      <c r="B87" s="495" t="s">
        <v>2520</v>
      </c>
      <c r="C87" s="511"/>
      <c r="D87" s="511"/>
      <c r="E87" s="511"/>
      <c r="F87" s="511"/>
      <c r="G87" s="511"/>
      <c r="H87" s="511"/>
      <c r="I87" s="511"/>
      <c r="J87" s="511"/>
      <c r="K87" s="511"/>
      <c r="L87" s="537"/>
      <c r="M87" s="538"/>
      <c r="N87" s="2981"/>
      <c r="O87" s="2981"/>
      <c r="P87" s="2991"/>
      <c r="Q87" s="2968"/>
      <c r="R87" s="2888"/>
      <c r="S87" s="2888"/>
      <c r="T87" s="2888"/>
      <c r="U87" s="2888"/>
      <c r="V87" s="2888"/>
      <c r="W87" s="2888"/>
      <c r="X87" s="2888"/>
      <c r="Y87" s="2888"/>
      <c r="Z87" s="2888"/>
      <c r="AA87" s="2888"/>
      <c r="AB87" s="2888"/>
      <c r="AC87" s="288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6"/>
      <c r="B89" s="495" t="str">
        <f>B27</f>
        <v>楼层</v>
      </c>
      <c r="C89" s="511"/>
      <c r="D89" s="511"/>
      <c r="E89" s="511"/>
      <c r="F89" s="2113"/>
      <c r="G89" s="511"/>
      <c r="H89" s="511"/>
      <c r="I89" s="511"/>
      <c r="J89" s="511"/>
      <c r="K89" s="511"/>
      <c r="L89" s="511"/>
      <c r="M89" s="538"/>
      <c r="N89" s="2981"/>
      <c r="O89" s="2981"/>
      <c r="P89" s="2991"/>
      <c r="Q89" s="2968"/>
      <c r="R89" s="2888"/>
      <c r="S89" s="2888"/>
      <c r="T89" s="2888"/>
      <c r="U89" s="2888"/>
      <c r="V89" s="2888"/>
      <c r="W89" s="2888"/>
      <c r="X89" s="2888"/>
      <c r="Y89" s="2888"/>
      <c r="Z89" s="2888"/>
      <c r="AA89" s="2888"/>
      <c r="AB89" s="2888"/>
      <c r="AC89" s="288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3"/>
      <c r="O90" s="2983"/>
      <c r="P90" s="2991"/>
      <c r="Q90" s="2968"/>
      <c r="R90" s="2888"/>
      <c r="S90" s="2888"/>
      <c r="T90" s="2888"/>
      <c r="U90" s="2888"/>
      <c r="V90" s="2888"/>
      <c r="W90" s="2888"/>
      <c r="X90" s="2888"/>
      <c r="Y90" s="2888"/>
      <c r="Z90" s="2888"/>
      <c r="AA90" s="2888"/>
      <c r="AB90" s="2888"/>
      <c r="AC90" s="2888"/>
    </row>
    <row r="91" spans="1:29" s="430" customFormat="1" ht="15.75" thickTop="1">
      <c r="A91" s="510"/>
      <c r="B91" s="495" t="str">
        <f>B28</f>
        <v>朝向</v>
      </c>
      <c r="C91" s="511"/>
      <c r="D91" s="511"/>
      <c r="E91" s="511"/>
      <c r="F91" s="511"/>
      <c r="G91" s="511"/>
      <c r="H91" s="512"/>
      <c r="I91" s="512"/>
      <c r="J91" s="512"/>
      <c r="K91" s="512"/>
      <c r="L91" s="513"/>
      <c r="M91" s="514"/>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1"/>
      <c r="B93" s="495">
        <f>B29</f>
        <v>111</v>
      </c>
      <c r="C93" s="511"/>
      <c r="D93" s="511"/>
      <c r="E93" s="511"/>
      <c r="F93" s="511"/>
      <c r="G93" s="511"/>
      <c r="H93" s="511"/>
      <c r="I93" s="511"/>
      <c r="J93" s="511"/>
      <c r="K93" s="511"/>
      <c r="L93" s="537"/>
      <c r="M93" s="538"/>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17"/>
      <c r="D94" s="493"/>
      <c r="E94" s="493"/>
      <c r="F94" s="493"/>
      <c r="G94" s="493"/>
      <c r="H94" s="493"/>
      <c r="I94" s="493"/>
      <c r="J94" s="493"/>
      <c r="K94" s="493"/>
      <c r="L94" s="493"/>
      <c r="M94" s="494"/>
      <c r="N94" s="2983"/>
      <c r="O94" s="2983"/>
      <c r="P94" s="2991"/>
      <c r="Q94" s="2968"/>
      <c r="R94" s="2954"/>
      <c r="S94" s="2954"/>
      <c r="T94" s="2954"/>
      <c r="U94" s="2954"/>
      <c r="V94" s="2954"/>
      <c r="W94" s="2954"/>
      <c r="X94" s="2954"/>
      <c r="Y94" s="2954"/>
      <c r="Z94" s="2954"/>
      <c r="AA94" s="2954"/>
      <c r="AB94" s="2954"/>
      <c r="AC94" s="2954"/>
    </row>
    <row r="95" spans="1:29" ht="15.75" thickTop="1">
      <c r="A95" s="491"/>
      <c r="B95" s="495">
        <f>B30</f>
        <v>111</v>
      </c>
      <c r="C95" s="511"/>
      <c r="D95" s="511"/>
      <c r="E95" s="511"/>
      <c r="F95" s="511"/>
      <c r="G95" s="540"/>
      <c r="H95" s="540"/>
      <c r="I95" s="540"/>
      <c r="J95" s="540"/>
      <c r="K95" s="541"/>
      <c r="L95" s="542"/>
      <c r="M95" s="543"/>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17"/>
      <c r="D96" s="517"/>
      <c r="E96" s="517"/>
      <c r="F96" s="517"/>
      <c r="G96" s="493"/>
      <c r="H96" s="493"/>
      <c r="I96" s="493"/>
      <c r="J96" s="493"/>
      <c r="K96" s="493"/>
      <c r="L96" s="493"/>
      <c r="M96" s="494"/>
      <c r="N96" s="2983"/>
      <c r="O96" s="2983"/>
      <c r="P96" s="2991"/>
      <c r="Q96" s="2968"/>
      <c r="R96" s="2954"/>
      <c r="S96" s="2954"/>
      <c r="T96" s="2954"/>
      <c r="U96" s="2954"/>
      <c r="V96" s="2954"/>
      <c r="W96" s="2954"/>
      <c r="X96" s="2954"/>
      <c r="Y96" s="2954"/>
      <c r="Z96" s="2954"/>
      <c r="AA96" s="2954"/>
      <c r="AB96" s="2954"/>
      <c r="AC96" s="2954"/>
    </row>
    <row r="97" spans="1:29" ht="15.75" thickTop="1">
      <c r="A97" s="491"/>
      <c r="B97" s="495">
        <f>B31</f>
        <v>111</v>
      </c>
      <c r="C97" s="511"/>
      <c r="D97" s="511"/>
      <c r="E97" s="511"/>
      <c r="F97" s="511"/>
      <c r="G97" s="540"/>
      <c r="H97" s="540"/>
      <c r="I97" s="540"/>
      <c r="J97" s="540"/>
      <c r="K97" s="541"/>
      <c r="L97" s="542"/>
      <c r="M97" s="543"/>
      <c r="N97" s="2982"/>
      <c r="O97" s="2982"/>
      <c r="P97" s="2991"/>
      <c r="Q97" s="2968"/>
      <c r="R97" s="2954"/>
      <c r="S97" s="2954"/>
      <c r="T97" s="2954"/>
      <c r="U97" s="2954"/>
      <c r="V97" s="2954"/>
      <c r="W97" s="2954"/>
      <c r="X97" s="2954"/>
      <c r="Y97" s="2954"/>
      <c r="Z97" s="2954"/>
      <c r="AA97" s="2954"/>
      <c r="AB97" s="2954"/>
      <c r="AC97" s="2954"/>
    </row>
    <row r="98" spans="1:29" ht="15.75" thickBot="1">
      <c r="A98" s="491"/>
      <c r="B98" s="500"/>
      <c r="C98" s="517"/>
      <c r="D98" s="493"/>
      <c r="E98" s="493"/>
      <c r="F98" s="493"/>
      <c r="G98" s="493"/>
      <c r="H98" s="493"/>
      <c r="I98" s="493"/>
      <c r="J98" s="493"/>
      <c r="K98" s="493"/>
      <c r="L98" s="493"/>
      <c r="M98" s="494"/>
      <c r="N98" s="2983"/>
      <c r="O98" s="2983"/>
      <c r="P98" s="2991"/>
      <c r="Q98" s="2968"/>
      <c r="R98" s="2954"/>
      <c r="S98" s="2954"/>
      <c r="T98" s="2954"/>
      <c r="U98" s="2954"/>
      <c r="V98" s="2954"/>
      <c r="W98" s="2954"/>
      <c r="X98" s="2954"/>
      <c r="Y98" s="2954"/>
      <c r="Z98" s="2954"/>
      <c r="AA98" s="2954"/>
      <c r="AB98" s="2954"/>
      <c r="AC98" s="2954"/>
    </row>
    <row r="99" spans="1:29" ht="15.75" thickTop="1">
      <c r="A99" s="491"/>
      <c r="B99" s="503">
        <f>B32</f>
        <v>111</v>
      </c>
      <c r="C99" s="480"/>
      <c r="D99" s="480"/>
      <c r="E99" s="480"/>
      <c r="F99" s="480"/>
      <c r="G99" s="544"/>
      <c r="H99" s="544"/>
      <c r="I99" s="544"/>
      <c r="J99" s="544"/>
      <c r="K99" s="545"/>
      <c r="L99" s="546"/>
      <c r="M99" s="547"/>
      <c r="N99" s="2982"/>
      <c r="O99" s="2982"/>
      <c r="P99" s="2991"/>
      <c r="Q99" s="2968"/>
      <c r="R99" s="2954"/>
      <c r="S99" s="2954"/>
      <c r="T99" s="2954"/>
      <c r="U99" s="2954"/>
      <c r="V99" s="2954"/>
      <c r="W99" s="2954"/>
      <c r="X99" s="2954"/>
      <c r="Y99" s="2954"/>
      <c r="Z99" s="2954"/>
      <c r="AA99" s="2954"/>
      <c r="AB99" s="2954"/>
      <c r="AC99" s="2954"/>
    </row>
    <row r="100" spans="1:29" ht="15.75" thickBot="1">
      <c r="A100" s="2114"/>
      <c r="B100" s="526"/>
      <c r="C100" s="527"/>
      <c r="D100" s="527"/>
      <c r="E100" s="527"/>
      <c r="F100" s="527"/>
      <c r="G100" s="548"/>
      <c r="H100" s="548"/>
      <c r="I100" s="548"/>
      <c r="J100" s="548"/>
      <c r="K100" s="548"/>
      <c r="L100" s="548"/>
      <c r="M100" s="549"/>
      <c r="N100" s="2983"/>
      <c r="O100" s="2983"/>
      <c r="P100" s="2991"/>
      <c r="Q100" s="2968"/>
      <c r="R100" s="2954"/>
      <c r="S100" s="2954"/>
      <c r="T100" s="2954"/>
      <c r="U100" s="2954"/>
      <c r="V100" s="2954"/>
      <c r="W100" s="2954"/>
      <c r="X100" s="2954"/>
      <c r="Y100" s="2954"/>
      <c r="Z100" s="2954"/>
      <c r="AA100" s="2954"/>
      <c r="AB100" s="2954"/>
      <c r="AC100" s="2954"/>
    </row>
    <row r="101" spans="1:29">
      <c r="A101" s="484" t="s">
        <v>2384</v>
      </c>
      <c r="B101" s="485" t="s">
        <v>2433</v>
      </c>
      <c r="C101" s="487"/>
      <c r="D101" s="487"/>
      <c r="E101" s="487"/>
      <c r="F101" s="487"/>
      <c r="G101" s="487"/>
      <c r="H101" s="487"/>
      <c r="I101" s="487"/>
      <c r="J101" s="487"/>
      <c r="K101" s="488"/>
      <c r="L101" s="489"/>
      <c r="M101" s="490"/>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30" customFormat="1">
      <c r="A104" s="550"/>
      <c r="B104" s="551"/>
      <c r="C104" s="552"/>
      <c r="D104" s="552"/>
      <c r="E104" s="552"/>
      <c r="F104" s="552"/>
      <c r="G104" s="552"/>
      <c r="H104" s="552"/>
      <c r="I104" s="552"/>
      <c r="J104" s="553"/>
      <c r="K104" s="553"/>
      <c r="L104" s="554"/>
      <c r="M104" s="555"/>
      <c r="N104" s="2984"/>
      <c r="O104" s="2984"/>
      <c r="P104" s="2992"/>
      <c r="Q104" s="2975"/>
      <c r="R104" s="2976"/>
      <c r="S104" s="2976"/>
      <c r="T104" s="2976"/>
      <c r="U104" s="2976"/>
      <c r="V104" s="2976"/>
      <c r="W104" s="2976"/>
      <c r="X104" s="2976"/>
      <c r="Y104" s="2976"/>
      <c r="Z104" s="2976"/>
      <c r="AA104" s="2976"/>
      <c r="AB104" s="2976"/>
      <c r="AC104" s="2976"/>
    </row>
    <row r="105" spans="1:29" s="430" customFormat="1" ht="15.75" thickBot="1">
      <c r="A105" s="510"/>
      <c r="B105" s="500"/>
      <c r="C105" s="517"/>
      <c r="D105" s="493"/>
      <c r="E105" s="493"/>
      <c r="F105" s="493"/>
      <c r="G105" s="493"/>
      <c r="H105" s="493"/>
      <c r="I105" s="493"/>
      <c r="J105" s="493"/>
      <c r="K105" s="493"/>
      <c r="L105" s="493"/>
      <c r="M105" s="494"/>
      <c r="N105" s="2983"/>
      <c r="O105" s="2983"/>
      <c r="P105" s="2992"/>
      <c r="Q105" s="2975"/>
      <c r="R105" s="2976"/>
      <c r="S105" s="2976"/>
      <c r="T105" s="2976"/>
      <c r="U105" s="2976"/>
      <c r="V105" s="2976"/>
      <c r="W105" s="2976"/>
      <c r="X105" s="2976"/>
      <c r="Y105" s="2976"/>
      <c r="Z105" s="2976"/>
      <c r="AA105" s="2976"/>
      <c r="AB105" s="2976"/>
      <c r="AC105" s="2976"/>
    </row>
    <row r="106" spans="1:29" ht="15" thickTop="1">
      <c r="A106" s="556"/>
      <c r="B106" s="495" t="s">
        <v>2435</v>
      </c>
      <c r="C106" s="511"/>
      <c r="D106" s="511"/>
      <c r="E106" s="540"/>
      <c r="F106" s="540"/>
      <c r="G106" s="540"/>
      <c r="H106" s="540"/>
      <c r="I106" s="540"/>
      <c r="J106" s="540"/>
      <c r="K106" s="541"/>
      <c r="L106" s="542"/>
      <c r="M106" s="543"/>
      <c r="N106" s="2982"/>
      <c r="O106" s="2982"/>
      <c r="P106" s="2991"/>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6"/>
      <c r="B108" s="495" t="s">
        <v>2437</v>
      </c>
      <c r="C108" s="511"/>
      <c r="D108" s="511"/>
      <c r="E108" s="511"/>
      <c r="F108" s="540"/>
      <c r="G108" s="540"/>
      <c r="H108" s="540"/>
      <c r="I108" s="540"/>
      <c r="J108" s="540"/>
      <c r="K108" s="541"/>
      <c r="L108" s="542"/>
      <c r="M108" s="543"/>
      <c r="N108" s="2982"/>
      <c r="O108" s="2982"/>
      <c r="P108" s="2991"/>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2"/>
      <c r="O110" s="2982"/>
      <c r="P110" s="2991"/>
      <c r="Q110" s="2968"/>
      <c r="R110" s="2954"/>
      <c r="S110" s="2954"/>
      <c r="T110" s="2954"/>
      <c r="U110" s="2954"/>
      <c r="V110" s="2954"/>
      <c r="W110" s="2954"/>
      <c r="X110" s="2954"/>
      <c r="Y110" s="2954"/>
      <c r="Z110" s="2954"/>
      <c r="AA110" s="2954"/>
      <c r="AB110" s="2954"/>
      <c r="AC110" s="2954"/>
    </row>
    <row r="111" spans="1:29">
      <c r="A111" s="556"/>
      <c r="B111" s="503"/>
      <c r="C111" s="560">
        <v>0.5</v>
      </c>
      <c r="D111" s="560">
        <v>0.6</v>
      </c>
      <c r="E111" s="560">
        <v>0.7</v>
      </c>
      <c r="F111" s="560">
        <v>0.8</v>
      </c>
      <c r="G111" s="560">
        <v>0.9</v>
      </c>
      <c r="H111" s="560">
        <v>1.0001</v>
      </c>
      <c r="I111" s="579"/>
      <c r="J111" s="579"/>
      <c r="K111" s="580"/>
      <c r="L111" s="581"/>
      <c r="M111" s="582"/>
      <c r="N111" s="2982"/>
      <c r="O111" s="2982"/>
      <c r="P111" s="2991"/>
      <c r="Q111" s="2968"/>
      <c r="R111" s="2954"/>
      <c r="S111" s="2954"/>
      <c r="T111" s="2954"/>
      <c r="U111" s="2954"/>
      <c r="V111" s="2954"/>
      <c r="W111" s="2954"/>
      <c r="X111" s="2954"/>
      <c r="Y111" s="2954"/>
      <c r="Z111" s="2954"/>
      <c r="AA111" s="2954"/>
      <c r="AB111" s="2954"/>
      <c r="AC111" s="295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3"/>
      <c r="O112" s="2983"/>
      <c r="P112" s="2991"/>
      <c r="Q112" s="2968"/>
      <c r="R112" s="2954"/>
      <c r="S112" s="2954"/>
      <c r="T112" s="2954"/>
      <c r="U112" s="2954"/>
      <c r="V112" s="2954"/>
      <c r="W112" s="2954"/>
      <c r="X112" s="2954"/>
      <c r="Y112" s="2954"/>
      <c r="Z112" s="2954"/>
      <c r="AA112" s="2954"/>
      <c r="AB112" s="2954"/>
      <c r="AC112" s="2954"/>
    </row>
    <row r="113" spans="1:29" s="430" customFormat="1" ht="15" thickTop="1">
      <c r="A113" s="550"/>
      <c r="B113" s="495" t="s">
        <v>2521</v>
      </c>
      <c r="C113" s="511"/>
      <c r="D113" s="511"/>
      <c r="E113" s="511"/>
      <c r="F113" s="511"/>
      <c r="G113" s="511"/>
      <c r="H113" s="540"/>
      <c r="I113" s="540"/>
      <c r="J113" s="540"/>
      <c r="K113" s="541"/>
      <c r="L113" s="542"/>
      <c r="M113" s="543"/>
      <c r="N113" s="2984"/>
      <c r="O113" s="2984"/>
      <c r="P113" s="2992"/>
      <c r="Q113" s="2975"/>
      <c r="R113" s="2976"/>
      <c r="S113" s="2976"/>
      <c r="T113" s="2976"/>
      <c r="U113" s="2976"/>
      <c r="V113" s="2976"/>
      <c r="W113" s="2976"/>
      <c r="X113" s="2976"/>
      <c r="Y113" s="2976"/>
      <c r="Z113" s="2976"/>
      <c r="AA113" s="2976"/>
      <c r="AB113" s="2976"/>
      <c r="AC113" s="297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6"/>
      <c r="B115" s="495" t="s">
        <v>2438</v>
      </c>
      <c r="C115" s="511"/>
      <c r="D115" s="511"/>
      <c r="E115" s="540"/>
      <c r="F115" s="540"/>
      <c r="G115" s="540"/>
      <c r="H115" s="540"/>
      <c r="I115" s="540"/>
      <c r="J115" s="540"/>
      <c r="K115" s="541"/>
      <c r="L115" s="542"/>
      <c r="M115" s="543"/>
      <c r="N115" s="2982"/>
      <c r="O115" s="2982"/>
      <c r="P115" s="2991"/>
      <c r="Q115" s="2968"/>
      <c r="R115" s="2954"/>
      <c r="S115" s="2954"/>
      <c r="T115" s="2954"/>
      <c r="U115" s="2954"/>
      <c r="V115" s="2954"/>
      <c r="W115" s="2954"/>
      <c r="X115" s="2954"/>
      <c r="Y115" s="2954"/>
      <c r="Z115" s="2954"/>
      <c r="AA115" s="2954"/>
      <c r="AB115" s="2954"/>
      <c r="AC115" s="295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6"/>
      <c r="B117" s="495" t="s">
        <v>2439</v>
      </c>
      <c r="C117" s="511"/>
      <c r="D117" s="511"/>
      <c r="E117" s="511"/>
      <c r="F117" s="511"/>
      <c r="G117" s="511"/>
      <c r="H117" s="540"/>
      <c r="I117" s="540"/>
      <c r="J117" s="540"/>
      <c r="K117" s="541"/>
      <c r="L117" s="542"/>
      <c r="M117" s="543"/>
      <c r="N117" s="2982"/>
      <c r="O117" s="2982"/>
      <c r="P117" s="2991"/>
      <c r="Q117" s="2968"/>
      <c r="R117" s="2954"/>
      <c r="S117" s="2954"/>
      <c r="T117" s="2954"/>
      <c r="U117" s="2954"/>
      <c r="V117" s="2954"/>
      <c r="W117" s="2954"/>
      <c r="X117" s="2954"/>
      <c r="Y117" s="2954"/>
      <c r="Z117" s="2954"/>
      <c r="AA117" s="2954"/>
      <c r="AB117" s="2954"/>
      <c r="AC117" s="295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3"/>
      <c r="O118" s="2983"/>
      <c r="P118" s="2991"/>
      <c r="Q118" s="2968"/>
      <c r="R118" s="2954"/>
      <c r="S118" s="2954"/>
      <c r="T118" s="2954"/>
      <c r="U118" s="2954"/>
      <c r="V118" s="2954"/>
      <c r="W118" s="2954"/>
      <c r="X118" s="2954"/>
      <c r="Y118" s="2954"/>
      <c r="Z118" s="2954"/>
      <c r="AA118" s="2954"/>
      <c r="AB118" s="2954"/>
      <c r="AC118" s="2954"/>
    </row>
    <row r="119" spans="1:29" ht="15" thickTop="1">
      <c r="A119" s="556"/>
      <c r="B119" s="592" t="s">
        <v>2522</v>
      </c>
      <c r="C119" s="540"/>
      <c r="D119" s="540"/>
      <c r="E119" s="540"/>
      <c r="F119" s="540"/>
      <c r="G119" s="540"/>
      <c r="H119" s="540"/>
      <c r="I119" s="540"/>
      <c r="J119" s="540"/>
      <c r="K119" s="540"/>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3"/>
      <c r="O120" s="2983"/>
      <c r="P120" s="2991"/>
      <c r="Q120" s="2968"/>
      <c r="R120" s="2954"/>
      <c r="S120" s="2954"/>
      <c r="T120" s="2954"/>
      <c r="U120" s="2954"/>
      <c r="V120" s="2954"/>
      <c r="W120" s="2954"/>
      <c r="X120" s="2954"/>
      <c r="Y120" s="2954"/>
      <c r="Z120" s="2954"/>
      <c r="AA120" s="2954"/>
      <c r="AB120" s="2954"/>
      <c r="AC120" s="2954"/>
    </row>
    <row r="121" spans="1:29" s="430" customFormat="1" ht="15" thickTop="1">
      <c r="A121" s="550"/>
      <c r="B121" s="495" t="s">
        <v>2505</v>
      </c>
      <c r="C121" s="511"/>
      <c r="D121" s="511"/>
      <c r="E121" s="511"/>
      <c r="F121" s="540"/>
      <c r="G121" s="512"/>
      <c r="H121" s="512"/>
      <c r="I121" s="512"/>
      <c r="J121" s="512"/>
      <c r="K121" s="512"/>
      <c r="L121" s="513"/>
      <c r="M121" s="514"/>
      <c r="N121" s="2984"/>
      <c r="O121" s="2984"/>
      <c r="P121" s="2992"/>
      <c r="Q121" s="2975"/>
      <c r="R121" s="2976"/>
      <c r="S121" s="2976"/>
      <c r="T121" s="2976"/>
      <c r="U121" s="2976"/>
      <c r="V121" s="2976"/>
      <c r="W121" s="2976"/>
      <c r="X121" s="2976"/>
      <c r="Y121" s="2976"/>
      <c r="Z121" s="2976"/>
      <c r="AA121" s="2976"/>
      <c r="AB121" s="2976"/>
      <c r="AC121" s="2976"/>
    </row>
    <row r="122" spans="1:29" s="430" customFormat="1" ht="15.75" thickBot="1">
      <c r="A122" s="510"/>
      <c r="B122" s="492"/>
      <c r="C122" s="517"/>
      <c r="D122" s="517"/>
      <c r="E122" s="517"/>
      <c r="F122" s="517"/>
      <c r="G122" s="517"/>
      <c r="H122" s="517"/>
      <c r="I122" s="517"/>
      <c r="J122" s="517"/>
      <c r="K122" s="517"/>
      <c r="L122" s="517"/>
      <c r="M122" s="517"/>
      <c r="N122" s="2984"/>
      <c r="O122" s="2984"/>
      <c r="P122" s="2992"/>
      <c r="Q122" s="2975"/>
      <c r="R122" s="2976"/>
      <c r="S122" s="2976"/>
      <c r="T122" s="2976"/>
      <c r="U122" s="2976"/>
      <c r="V122" s="2976"/>
      <c r="W122" s="2976"/>
      <c r="X122" s="2976"/>
      <c r="Y122" s="2976"/>
      <c r="Z122" s="2976"/>
      <c r="AA122" s="2976"/>
      <c r="AB122" s="2976"/>
      <c r="AC122" s="2976"/>
    </row>
    <row r="123" spans="1:29" ht="15" thickTop="1">
      <c r="A123" s="556"/>
      <c r="B123" s="495" t="s">
        <v>2441</v>
      </c>
      <c r="C123" s="511"/>
      <c r="D123" s="511"/>
      <c r="E123" s="511"/>
      <c r="F123" s="540"/>
      <c r="G123" s="540"/>
      <c r="H123" s="540"/>
      <c r="I123" s="540"/>
      <c r="J123" s="540"/>
      <c r="K123" s="541"/>
      <c r="L123" s="542"/>
      <c r="M123" s="543"/>
      <c r="N123" s="2982"/>
      <c r="O123" s="2982"/>
      <c r="P123" s="2991"/>
      <c r="Q123" s="2968"/>
      <c r="R123" s="2954"/>
      <c r="S123" s="2954"/>
      <c r="T123" s="2954"/>
      <c r="U123" s="2954"/>
      <c r="V123" s="2954"/>
      <c r="W123" s="2954"/>
      <c r="X123" s="2954"/>
      <c r="Y123" s="2954"/>
      <c r="Z123" s="2954"/>
      <c r="AA123" s="2954"/>
      <c r="AB123" s="2954"/>
      <c r="AC123" s="295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2"/>
      <c r="O125" s="2982"/>
      <c r="P125" s="2992"/>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3"/>
      <c r="O126" s="2983"/>
      <c r="P126" s="2991"/>
      <c r="Q126" s="2968"/>
      <c r="R126" s="2954"/>
      <c r="S126" s="2954"/>
      <c r="T126" s="2954"/>
      <c r="U126" s="2954"/>
      <c r="V126" s="2954"/>
      <c r="W126" s="2954"/>
      <c r="X126" s="2954"/>
      <c r="Y126" s="2954"/>
      <c r="Z126" s="2954"/>
      <c r="AA126" s="2954"/>
      <c r="AB126" s="2954"/>
      <c r="AC126" s="2954"/>
    </row>
    <row r="127" spans="1:29" s="430" customFormat="1" ht="15" thickTop="1">
      <c r="A127" s="550"/>
      <c r="B127" s="495">
        <f>B45</f>
        <v>111</v>
      </c>
      <c r="C127" s="511"/>
      <c r="D127" s="511"/>
      <c r="E127" s="511"/>
      <c r="F127" s="511"/>
      <c r="G127" s="511"/>
      <c r="H127" s="512"/>
      <c r="I127" s="512"/>
      <c r="J127" s="512"/>
      <c r="K127" s="512"/>
      <c r="L127" s="513"/>
      <c r="M127" s="514"/>
      <c r="N127" s="2984"/>
      <c r="O127" s="2984"/>
      <c r="P127" s="2992"/>
      <c r="Q127" s="2975"/>
      <c r="R127" s="2976"/>
      <c r="S127" s="2976"/>
      <c r="T127" s="2976"/>
      <c r="U127" s="2976"/>
      <c r="V127" s="2976"/>
      <c r="W127" s="2976"/>
      <c r="X127" s="2976"/>
      <c r="Y127" s="2976"/>
      <c r="Z127" s="2976"/>
      <c r="AA127" s="2976"/>
      <c r="AB127" s="2976"/>
      <c r="AC127" s="2976"/>
    </row>
    <row r="128" spans="1:29" s="430" customFormat="1" ht="15.75" thickBot="1">
      <c r="A128" s="510"/>
      <c r="B128" s="500"/>
      <c r="C128" s="517"/>
      <c r="D128" s="493"/>
      <c r="E128" s="493"/>
      <c r="F128" s="493"/>
      <c r="G128" s="517"/>
      <c r="H128" s="519"/>
      <c r="I128" s="519"/>
      <c r="J128" s="519"/>
      <c r="K128" s="519"/>
      <c r="L128" s="519"/>
      <c r="M128" s="520"/>
      <c r="N128" s="2984"/>
      <c r="O128" s="2984"/>
      <c r="P128" s="2992"/>
      <c r="Q128" s="2975"/>
      <c r="R128" s="2976"/>
      <c r="S128" s="2976"/>
      <c r="T128" s="2976"/>
      <c r="U128" s="2976"/>
      <c r="V128" s="2976"/>
      <c r="W128" s="2976"/>
      <c r="X128" s="2976"/>
      <c r="Y128" s="2976"/>
      <c r="Z128" s="2976"/>
      <c r="AA128" s="2976"/>
      <c r="AB128" s="2976"/>
      <c r="AC128" s="2976"/>
    </row>
    <row r="129" spans="1:29" ht="15" thickTop="1">
      <c r="A129" s="556"/>
      <c r="B129" s="495">
        <f>B46</f>
        <v>111</v>
      </c>
      <c r="C129" s="511"/>
      <c r="D129" s="511"/>
      <c r="E129" s="511"/>
      <c r="F129" s="511"/>
      <c r="G129" s="540"/>
      <c r="H129" s="540"/>
      <c r="I129" s="540"/>
      <c r="J129" s="540"/>
      <c r="K129" s="541"/>
      <c r="L129" s="542"/>
      <c r="M129" s="543"/>
      <c r="N129" s="2982"/>
      <c r="O129" s="2982"/>
      <c r="P129" s="2991"/>
      <c r="Q129" s="2968"/>
      <c r="R129" s="2954"/>
      <c r="S129" s="2954"/>
      <c r="T129" s="2954"/>
      <c r="U129" s="2954"/>
      <c r="V129" s="2954"/>
      <c r="W129" s="2954"/>
      <c r="X129" s="2954"/>
      <c r="Y129" s="2954"/>
      <c r="Z129" s="2954"/>
      <c r="AA129" s="2954"/>
      <c r="AB129" s="2954"/>
      <c r="AC129" s="2954"/>
    </row>
    <row r="130" spans="1:29" ht="15.75" thickBot="1">
      <c r="A130" s="491"/>
      <c r="B130" s="500"/>
      <c r="C130" s="517"/>
      <c r="D130" s="517"/>
      <c r="E130" s="517"/>
      <c r="F130" s="517"/>
      <c r="G130" s="493"/>
      <c r="H130" s="493"/>
      <c r="I130" s="493"/>
      <c r="J130" s="493"/>
      <c r="K130" s="493"/>
      <c r="L130" s="493"/>
      <c r="M130" s="494"/>
      <c r="N130" s="2983"/>
      <c r="O130" s="2983"/>
      <c r="P130" s="2991"/>
      <c r="Q130" s="2968"/>
      <c r="R130" s="2954"/>
      <c r="S130" s="2954"/>
      <c r="T130" s="2954"/>
      <c r="U130" s="2954"/>
      <c r="V130" s="2954"/>
      <c r="W130" s="2954"/>
      <c r="X130" s="2954"/>
      <c r="Y130" s="2954"/>
      <c r="Z130" s="2954"/>
      <c r="AA130" s="2954"/>
      <c r="AB130" s="2954"/>
      <c r="AC130" s="2954"/>
    </row>
    <row r="131" spans="1:29" ht="15" thickTop="1">
      <c r="A131" s="556"/>
      <c r="B131" s="503">
        <f>B47</f>
        <v>111</v>
      </c>
      <c r="C131" s="480"/>
      <c r="D131" s="480"/>
      <c r="E131" s="480"/>
      <c r="F131" s="480"/>
      <c r="G131" s="544"/>
      <c r="H131" s="544"/>
      <c r="I131" s="544"/>
      <c r="J131" s="544"/>
      <c r="K131" s="480"/>
      <c r="L131" s="481"/>
      <c r="M131" s="547"/>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6"/>
      <c r="C132" s="527"/>
      <c r="D132" s="527"/>
      <c r="E132" s="527"/>
      <c r="F132" s="527"/>
      <c r="G132" s="548"/>
      <c r="H132" s="548"/>
      <c r="I132" s="548"/>
      <c r="J132" s="548"/>
      <c r="K132" s="548"/>
      <c r="L132" s="548"/>
      <c r="M132" s="549"/>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受贵公司委托，我公司对房地产抵押价值进行了预评估。</v>
      </c>
    </row>
    <row r="5" spans="1:1" ht="18.75">
      <c r="A5" s="1666" t="s">
        <v>1577</v>
      </c>
    </row>
    <row r="6" spans="1:1" ht="18.75">
      <c r="A6" s="1667" t="s">
        <v>1578</v>
      </c>
    </row>
    <row r="7" spans="1:1" ht="18">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估价对象为房地产，为所有。根据《国有土地使用证》[]，估价对象（分摊）出让国有建设用地使用权面积为60655.3平方米，建筑面积为32069.72平方米。</v>
      </c>
    </row>
    <row r="8" spans="1:1" ht="57.75">
      <c r="A8" s="1668" t="s">
        <v>1579</v>
      </c>
    </row>
    <row r="9" spans="1:1" ht="18.75">
      <c r="A9" s="1667" t="s">
        <v>1580</v>
      </c>
    </row>
    <row r="10" spans="1:1" ht="18">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估价对象为房地产,属开发建设的，该项目尚在开发建设中。根据《国有土地使用证》[]，估价对象（分摊）出让国有建设用地使用权面积为60655.3平方米，规划建筑面积为32069.72平方米。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2021年6月24日（评估专业人员实地查勘之日）</v>
      </c>
    </row>
    <row r="16" spans="1:1" ht="18.75">
      <c r="A16" s="1670" t="s">
        <v>1584</v>
      </c>
    </row>
    <row r="17" spans="1:1" ht="75">
      <c r="A17" s="1665" t="s">
        <v>1585</v>
      </c>
    </row>
    <row r="18" spans="1:1" ht="36">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24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2523</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32069.72</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1044"/>
      <c r="M4" s="1045"/>
      <c r="N4" s="1045"/>
      <c r="O4" s="1045"/>
      <c r="P4" s="3302" t="s">
        <v>2472</v>
      </c>
      <c r="Q4" s="3303"/>
      <c r="R4" s="3308" t="s">
        <v>2468</v>
      </c>
      <c r="S4" s="3309"/>
      <c r="T4" s="3308" t="s">
        <v>2469</v>
      </c>
      <c r="U4" s="3309"/>
      <c r="V4" s="3314" t="s">
        <v>2470</v>
      </c>
      <c r="W4" s="3314"/>
      <c r="X4" s="1539"/>
      <c r="Y4" s="3308" t="s">
        <v>2472</v>
      </c>
      <c r="Z4" s="3309"/>
      <c r="AA4" s="3295" t="s">
        <v>2468</v>
      </c>
      <c r="AB4" s="3296" t="s">
        <v>2469</v>
      </c>
      <c r="AC4" s="3295" t="s">
        <v>2470</v>
      </c>
    </row>
    <row r="5" spans="1:29" ht="15">
      <c r="A5" s="364"/>
      <c r="B5" s="365"/>
      <c r="C5" s="3317" t="s">
        <v>2363</v>
      </c>
      <c r="D5" s="3318"/>
      <c r="E5" s="3324" t="s">
        <v>2364</v>
      </c>
      <c r="F5" s="3325"/>
      <c r="G5" s="3317" t="s">
        <v>2365</v>
      </c>
      <c r="H5" s="3318"/>
      <c r="I5" s="3317" t="s">
        <v>2366</v>
      </c>
      <c r="J5" s="3318"/>
      <c r="K5" s="567"/>
      <c r="L5" s="1044"/>
      <c r="M5" s="1045"/>
      <c r="N5" s="1045"/>
      <c r="O5" s="1045"/>
      <c r="P5" s="3304"/>
      <c r="Q5" s="3305"/>
      <c r="R5" s="3310"/>
      <c r="S5" s="3311"/>
      <c r="T5" s="3310"/>
      <c r="U5" s="3311"/>
      <c r="V5" s="3314"/>
      <c r="W5" s="3314"/>
      <c r="X5" s="1539"/>
      <c r="Y5" s="3310"/>
      <c r="Z5" s="3311"/>
      <c r="AA5" s="3296"/>
      <c r="AB5" s="3296"/>
      <c r="AC5" s="3296"/>
    </row>
    <row r="6" spans="1:29" ht="15.75" thickBot="1">
      <c r="A6" s="366"/>
      <c r="B6" s="367"/>
      <c r="C6" s="3315" t="s">
        <v>2367</v>
      </c>
      <c r="D6" s="3316"/>
      <c r="E6" s="3322" t="s">
        <v>2367</v>
      </c>
      <c r="F6" s="3323"/>
      <c r="G6" s="3315" t="s">
        <v>2367</v>
      </c>
      <c r="H6" s="3316"/>
      <c r="I6" s="3315" t="s">
        <v>2367</v>
      </c>
      <c r="J6" s="3316"/>
      <c r="K6" s="567" t="s">
        <v>2368</v>
      </c>
      <c r="L6" s="1044"/>
      <c r="M6" s="1045"/>
      <c r="N6" s="1045"/>
      <c r="O6" s="1045"/>
      <c r="P6" s="3306"/>
      <c r="Q6" s="3307"/>
      <c r="R6" s="3310"/>
      <c r="S6" s="3311"/>
      <c r="T6" s="3312"/>
      <c r="U6" s="3313"/>
      <c r="V6" s="3314"/>
      <c r="W6" s="3314"/>
      <c r="X6" s="1539"/>
      <c r="Y6" s="3312"/>
      <c r="Z6" s="3313"/>
      <c r="AA6" s="3297"/>
      <c r="AB6" s="3297"/>
      <c r="AC6" s="3297"/>
    </row>
    <row r="7" spans="1:29" s="113" customFormat="1" ht="15.75" thickBot="1">
      <c r="A7" s="368" t="s">
        <v>2369</v>
      </c>
      <c r="B7" s="369"/>
      <c r="C7" s="370">
        <f>'数据-取费表'!B2</f>
        <v>44371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19" t="s">
        <v>2370</v>
      </c>
      <c r="Q7" s="3321"/>
      <c r="R7" s="710" t="s">
        <v>17</v>
      </c>
      <c r="S7" s="711">
        <f t="shared" ref="S7:S15" si="0">F7</f>
        <v>0</v>
      </c>
      <c r="T7" s="710" t="s">
        <v>17</v>
      </c>
      <c r="U7" s="711">
        <f t="shared" ref="U7:U15" si="1">H7</f>
        <v>0</v>
      </c>
      <c r="V7" s="710" t="s">
        <v>17</v>
      </c>
      <c r="W7" s="711">
        <f t="shared" ref="W7:W15" si="2">J7</f>
        <v>0</v>
      </c>
      <c r="X7" s="712"/>
      <c r="Y7" s="3319" t="s">
        <v>2370</v>
      </c>
      <c r="Z7" s="3320"/>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19" t="s">
        <v>2373</v>
      </c>
      <c r="Q8" s="3320"/>
      <c r="R8" s="710" t="s">
        <v>17</v>
      </c>
      <c r="S8" s="711">
        <f t="shared" si="0"/>
        <v>0</v>
      </c>
      <c r="T8" s="710" t="s">
        <v>17</v>
      </c>
      <c r="U8" s="711">
        <f t="shared" si="1"/>
        <v>0</v>
      </c>
      <c r="V8" s="710" t="s">
        <v>17</v>
      </c>
      <c r="W8" s="711">
        <f t="shared" si="2"/>
        <v>0</v>
      </c>
      <c r="X8" s="712"/>
      <c r="Y8" s="3319" t="s">
        <v>2373</v>
      </c>
      <c r="Z8" s="3320"/>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83"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83"/>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83"/>
      <c r="Q11" s="1527" t="str">
        <f t="shared" si="6"/>
        <v>容积率</v>
      </c>
      <c r="R11" s="710" t="s">
        <v>17</v>
      </c>
      <c r="S11" s="711" t="e">
        <f t="shared" si="0"/>
        <v>#N/A</v>
      </c>
      <c r="T11" s="710" t="s">
        <v>17</v>
      </c>
      <c r="U11" s="711" t="e">
        <f t="shared" si="1"/>
        <v>#N/A</v>
      </c>
      <c r="V11" s="710" t="s">
        <v>17</v>
      </c>
      <c r="W11" s="711" t="e">
        <f t="shared" si="2"/>
        <v>#N/A</v>
      </c>
      <c r="X11" s="712"/>
      <c r="Y11" s="3153"/>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83"/>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83"/>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83"/>
      <c r="Q14" s="1527">
        <f t="shared" si="6"/>
        <v>111</v>
      </c>
      <c r="R14" s="710" t="s">
        <v>17</v>
      </c>
      <c r="S14" s="711">
        <f t="shared" si="0"/>
        <v>100</v>
      </c>
      <c r="T14" s="710" t="s">
        <v>17</v>
      </c>
      <c r="U14" s="711">
        <f t="shared" si="1"/>
        <v>100</v>
      </c>
      <c r="V14" s="710" t="s">
        <v>17</v>
      </c>
      <c r="W14" s="711">
        <f t="shared" si="2"/>
        <v>100</v>
      </c>
      <c r="X14" s="712"/>
      <c r="Y14" s="3153"/>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85" t="s">
        <v>2381</v>
      </c>
      <c r="Q15" s="1536" t="str">
        <f t="shared" si="6"/>
        <v>产业集聚程度</v>
      </c>
      <c r="R15" s="714" t="s">
        <v>17</v>
      </c>
      <c r="S15" s="715">
        <f t="shared" si="0"/>
        <v>100</v>
      </c>
      <c r="T15" s="714" t="s">
        <v>17</v>
      </c>
      <c r="U15" s="715">
        <f t="shared" si="1"/>
        <v>100</v>
      </c>
      <c r="V15" s="714" t="s">
        <v>17</v>
      </c>
      <c r="W15" s="715">
        <f t="shared" si="2"/>
        <v>100</v>
      </c>
      <c r="X15" s="1539"/>
      <c r="Y15" s="3285"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286"/>
      <c r="Q16" s="1536"/>
      <c r="R16" s="714"/>
      <c r="S16" s="715"/>
      <c r="T16" s="714"/>
      <c r="U16" s="715"/>
      <c r="V16" s="714"/>
      <c r="W16" s="715"/>
      <c r="X16" s="1539"/>
      <c r="Y16" s="3286"/>
      <c r="Z16" s="1540"/>
      <c r="AA16" s="1537">
        <v>1</v>
      </c>
      <c r="AB16" s="1537">
        <v>1</v>
      </c>
      <c r="AC16" s="1537">
        <v>1</v>
      </c>
    </row>
    <row r="17" spans="1:29" ht="85.5">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86"/>
      <c r="Q17" s="1536" t="str">
        <f>B17</f>
        <v>交通便捷度</v>
      </c>
      <c r="R17" s="714" t="s">
        <v>17</v>
      </c>
      <c r="S17" s="715">
        <f>F17</f>
        <v>100</v>
      </c>
      <c r="T17" s="714" t="s">
        <v>17</v>
      </c>
      <c r="U17" s="715">
        <f>H17</f>
        <v>100</v>
      </c>
      <c r="V17" s="714" t="s">
        <v>17</v>
      </c>
      <c r="W17" s="715">
        <f>J17</f>
        <v>100</v>
      </c>
      <c r="X17" s="1539"/>
      <c r="Y17" s="328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286"/>
      <c r="Q18" s="1536"/>
      <c r="R18" s="714"/>
      <c r="S18" s="715"/>
      <c r="T18" s="714"/>
      <c r="U18" s="715"/>
      <c r="V18" s="714"/>
      <c r="W18" s="715"/>
      <c r="X18" s="1539"/>
      <c r="Y18" s="3286"/>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86"/>
      <c r="Q19" s="1536" t="str">
        <f>B19</f>
        <v>公共配套设施</v>
      </c>
      <c r="R19" s="714" t="s">
        <v>17</v>
      </c>
      <c r="S19" s="715">
        <f>F19</f>
        <v>100</v>
      </c>
      <c r="T19" s="714" t="s">
        <v>17</v>
      </c>
      <c r="U19" s="715">
        <f>H19</f>
        <v>100</v>
      </c>
      <c r="V19" s="714" t="s">
        <v>17</v>
      </c>
      <c r="W19" s="715">
        <f>J19</f>
        <v>100</v>
      </c>
      <c r="X19" s="1539"/>
      <c r="Y19" s="328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286"/>
      <c r="Q20" s="1536"/>
      <c r="R20" s="714"/>
      <c r="S20" s="715"/>
      <c r="T20" s="714"/>
      <c r="U20" s="715"/>
      <c r="V20" s="714"/>
      <c r="W20" s="715"/>
      <c r="X20" s="1539"/>
      <c r="Y20" s="3286"/>
      <c r="Z20" s="1540"/>
      <c r="AA20" s="1537">
        <v>1</v>
      </c>
      <c r="AB20" s="1537">
        <v>1</v>
      </c>
      <c r="AC20" s="1537">
        <v>1</v>
      </c>
    </row>
    <row r="21" spans="1:29" ht="28.5">
      <c r="A21" s="387"/>
      <c r="B21" s="1293"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86"/>
      <c r="Q21" s="1536" t="str">
        <f>B21</f>
        <v>基础设施水平</v>
      </c>
      <c r="R21" s="714" t="s">
        <v>17</v>
      </c>
      <c r="S21" s="715">
        <f>F21</f>
        <v>100</v>
      </c>
      <c r="T21" s="714" t="s">
        <v>17</v>
      </c>
      <c r="U21" s="715">
        <f>H21</f>
        <v>100</v>
      </c>
      <c r="V21" s="714" t="s">
        <v>17</v>
      </c>
      <c r="W21" s="715">
        <f>J21</f>
        <v>100</v>
      </c>
      <c r="X21" s="1539"/>
      <c r="Y21" s="328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286"/>
      <c r="Q22" s="1536"/>
      <c r="R22" s="714"/>
      <c r="S22" s="715"/>
      <c r="T22" s="714"/>
      <c r="U22" s="715"/>
      <c r="V22" s="714"/>
      <c r="W22" s="715"/>
      <c r="X22" s="1539"/>
      <c r="Y22" s="3286"/>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86"/>
      <c r="Q23" s="1536" t="str">
        <f>B23</f>
        <v>环境质量</v>
      </c>
      <c r="R23" s="714" t="s">
        <v>17</v>
      </c>
      <c r="S23" s="715">
        <f>F23</f>
        <v>100</v>
      </c>
      <c r="T23" s="714" t="s">
        <v>17</v>
      </c>
      <c r="U23" s="715">
        <f>H23</f>
        <v>100</v>
      </c>
      <c r="V23" s="714" t="s">
        <v>17</v>
      </c>
      <c r="W23" s="715">
        <f>J23</f>
        <v>100</v>
      </c>
      <c r="X23" s="1539"/>
      <c r="Y23" s="3286"/>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286"/>
      <c r="Q24" s="1536"/>
      <c r="R24" s="714"/>
      <c r="S24" s="715"/>
      <c r="T24" s="714"/>
      <c r="U24" s="715"/>
      <c r="V24" s="714"/>
      <c r="W24" s="715"/>
      <c r="X24" s="1539"/>
      <c r="Y24" s="3286"/>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86"/>
      <c r="Q25" s="1536">
        <f>B25</f>
        <v>111</v>
      </c>
      <c r="R25" s="714" t="s">
        <v>17</v>
      </c>
      <c r="S25" s="715">
        <f>F25</f>
        <v>100</v>
      </c>
      <c r="T25" s="714" t="s">
        <v>17</v>
      </c>
      <c r="U25" s="715">
        <f>H25</f>
        <v>100</v>
      </c>
      <c r="V25" s="714" t="s">
        <v>17</v>
      </c>
      <c r="W25" s="715">
        <f>J25</f>
        <v>100</v>
      </c>
      <c r="X25" s="1539"/>
      <c r="Y25" s="3286"/>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86"/>
      <c r="Q26" s="1536">
        <f t="shared" ref="Q26:Q40" si="11">B26</f>
        <v>111</v>
      </c>
      <c r="R26" s="714" t="s">
        <v>17</v>
      </c>
      <c r="S26" s="715">
        <f>F26</f>
        <v>100</v>
      </c>
      <c r="T26" s="714" t="s">
        <v>17</v>
      </c>
      <c r="U26" s="715">
        <f>H26</f>
        <v>100</v>
      </c>
      <c r="V26" s="714" t="s">
        <v>17</v>
      </c>
      <c r="W26" s="715">
        <f>J26</f>
        <v>100</v>
      </c>
      <c r="X26" s="1539"/>
      <c r="Y26" s="3286"/>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86"/>
      <c r="Q27" s="1527">
        <f t="shared" si="11"/>
        <v>111</v>
      </c>
      <c r="R27" s="710" t="s">
        <v>17</v>
      </c>
      <c r="S27" s="711">
        <f>F27</f>
        <v>100</v>
      </c>
      <c r="T27" s="710" t="s">
        <v>17</v>
      </c>
      <c r="U27" s="711">
        <f>H27</f>
        <v>100</v>
      </c>
      <c r="V27" s="710" t="s">
        <v>17</v>
      </c>
      <c r="W27" s="711">
        <f>J27</f>
        <v>100</v>
      </c>
      <c r="X27" s="712"/>
      <c r="Y27" s="3286"/>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86"/>
      <c r="Q28" s="1536">
        <f t="shared" si="11"/>
        <v>111</v>
      </c>
      <c r="R28" s="714" t="s">
        <v>17</v>
      </c>
      <c r="S28" s="715">
        <f t="shared" ref="S28:S40" si="12">F28</f>
        <v>100</v>
      </c>
      <c r="T28" s="714" t="s">
        <v>17</v>
      </c>
      <c r="U28" s="715">
        <f t="shared" ref="U28:U40" si="13">H28</f>
        <v>100</v>
      </c>
      <c r="V28" s="714" t="s">
        <v>17</v>
      </c>
      <c r="W28" s="715">
        <f t="shared" ref="W28:W40" si="14">J28</f>
        <v>100</v>
      </c>
      <c r="X28" s="1539"/>
      <c r="Y28" s="3286"/>
      <c r="Z28" s="1540">
        <f t="shared" ref="Z28:Z40" si="15">Q28</f>
        <v>111</v>
      </c>
      <c r="AA28" s="1537">
        <f t="shared" si="3"/>
        <v>1</v>
      </c>
      <c r="AB28" s="1537">
        <f t="shared" si="4"/>
        <v>1</v>
      </c>
      <c r="AC28" s="1537">
        <f t="shared" si="5"/>
        <v>1</v>
      </c>
    </row>
    <row r="29" spans="1:29" ht="28.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41" t="s">
        <v>2386</v>
      </c>
      <c r="Q29" s="1536" t="str">
        <f t="shared" si="11"/>
        <v>建筑类型</v>
      </c>
      <c r="R29" s="714" t="s">
        <v>17</v>
      </c>
      <c r="S29" s="715">
        <f t="shared" si="12"/>
        <v>100</v>
      </c>
      <c r="T29" s="714" t="s">
        <v>17</v>
      </c>
      <c r="U29" s="715">
        <f t="shared" si="13"/>
        <v>100</v>
      </c>
      <c r="V29" s="714" t="s">
        <v>17</v>
      </c>
      <c r="W29" s="715">
        <f t="shared" si="14"/>
        <v>100</v>
      </c>
      <c r="X29" s="1539"/>
      <c r="Y29" s="3290"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90"/>
      <c r="Q30" s="716" t="str">
        <f t="shared" si="11"/>
        <v>项目建筑规模</v>
      </c>
      <c r="R30" s="717" t="s">
        <v>17</v>
      </c>
      <c r="S30" s="718" t="e">
        <f t="shared" si="12"/>
        <v>#N/A</v>
      </c>
      <c r="T30" s="717" t="s">
        <v>17</v>
      </c>
      <c r="U30" s="718" t="e">
        <f t="shared" si="13"/>
        <v>#N/A</v>
      </c>
      <c r="V30" s="717" t="s">
        <v>17</v>
      </c>
      <c r="W30" s="718" t="e">
        <f t="shared" si="14"/>
        <v>#N/A</v>
      </c>
      <c r="X30" s="719"/>
      <c r="Y30" s="3290"/>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90"/>
      <c r="Q31" s="1536" t="str">
        <f t="shared" si="11"/>
        <v>建筑结构</v>
      </c>
      <c r="R31" s="714" t="s">
        <v>17</v>
      </c>
      <c r="S31" s="715">
        <f t="shared" si="12"/>
        <v>100</v>
      </c>
      <c r="T31" s="714" t="s">
        <v>17</v>
      </c>
      <c r="U31" s="715">
        <f t="shared" si="13"/>
        <v>100</v>
      </c>
      <c r="V31" s="714" t="s">
        <v>17</v>
      </c>
      <c r="W31" s="715">
        <f t="shared" si="14"/>
        <v>100</v>
      </c>
      <c r="X31" s="1539"/>
      <c r="Y31" s="3290"/>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90"/>
      <c r="Q32" s="1536" t="str">
        <f t="shared" si="11"/>
        <v>公共部分装修</v>
      </c>
      <c r="R32" s="714" t="s">
        <v>17</v>
      </c>
      <c r="S32" s="715">
        <f t="shared" si="12"/>
        <v>100</v>
      </c>
      <c r="T32" s="714" t="s">
        <v>17</v>
      </c>
      <c r="U32" s="715">
        <f t="shared" si="13"/>
        <v>100</v>
      </c>
      <c r="V32" s="714" t="s">
        <v>17</v>
      </c>
      <c r="W32" s="715">
        <f t="shared" si="14"/>
        <v>100</v>
      </c>
      <c r="X32" s="1539"/>
      <c r="Y32" s="3290"/>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90"/>
      <c r="Q33" s="1536" t="str">
        <f t="shared" si="11"/>
        <v>成新度</v>
      </c>
      <c r="R33" s="714" t="s">
        <v>17</v>
      </c>
      <c r="S33" s="715" t="e">
        <f t="shared" si="12"/>
        <v>#N/A</v>
      </c>
      <c r="T33" s="714" t="s">
        <v>17</v>
      </c>
      <c r="U33" s="715" t="e">
        <f t="shared" si="13"/>
        <v>#N/A</v>
      </c>
      <c r="V33" s="714" t="s">
        <v>17</v>
      </c>
      <c r="W33" s="715" t="e">
        <f t="shared" si="14"/>
        <v>#N/A</v>
      </c>
      <c r="X33" s="1539"/>
      <c r="Y33" s="3290"/>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90"/>
      <c r="Q34" s="1527" t="str">
        <f t="shared" si="11"/>
        <v>物业管理</v>
      </c>
      <c r="R34" s="710" t="s">
        <v>17</v>
      </c>
      <c r="S34" s="711">
        <f t="shared" si="12"/>
        <v>100</v>
      </c>
      <c r="T34" s="710" t="s">
        <v>17</v>
      </c>
      <c r="U34" s="711">
        <f t="shared" si="13"/>
        <v>100</v>
      </c>
      <c r="V34" s="710" t="s">
        <v>17</v>
      </c>
      <c r="W34" s="711">
        <f t="shared" si="14"/>
        <v>100</v>
      </c>
      <c r="X34" s="712"/>
      <c r="Y34" s="3290"/>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90" t="s">
        <v>2386</v>
      </c>
      <c r="Q35" s="1536" t="str">
        <f t="shared" si="11"/>
        <v>市政基础设施</v>
      </c>
      <c r="R35" s="714" t="s">
        <v>17</v>
      </c>
      <c r="S35" s="715">
        <f t="shared" si="12"/>
        <v>100</v>
      </c>
      <c r="T35" s="714" t="s">
        <v>17</v>
      </c>
      <c r="U35" s="715">
        <f t="shared" si="13"/>
        <v>100</v>
      </c>
      <c r="V35" s="714" t="s">
        <v>17</v>
      </c>
      <c r="W35" s="715">
        <f t="shared" si="14"/>
        <v>100</v>
      </c>
      <c r="X35" s="1539"/>
      <c r="Y35" s="3290"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90"/>
      <c r="Q36" s="1536" t="str">
        <f t="shared" si="11"/>
        <v>内部装修</v>
      </c>
      <c r="R36" s="714" t="s">
        <v>17</v>
      </c>
      <c r="S36" s="715">
        <f t="shared" si="12"/>
        <v>100</v>
      </c>
      <c r="T36" s="714" t="s">
        <v>17</v>
      </c>
      <c r="U36" s="715">
        <f t="shared" si="13"/>
        <v>100</v>
      </c>
      <c r="V36" s="714" t="s">
        <v>17</v>
      </c>
      <c r="W36" s="715">
        <f t="shared" si="14"/>
        <v>100</v>
      </c>
      <c r="X36" s="1539"/>
      <c r="Y36" s="3290"/>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90"/>
      <c r="Q37" s="1536" t="str">
        <f t="shared" si="11"/>
        <v>内部装修状况</v>
      </c>
      <c r="R37" s="714" t="s">
        <v>17</v>
      </c>
      <c r="S37" s="715">
        <f t="shared" si="12"/>
        <v>100</v>
      </c>
      <c r="T37" s="714" t="s">
        <v>17</v>
      </c>
      <c r="U37" s="715">
        <f t="shared" si="13"/>
        <v>100</v>
      </c>
      <c r="V37" s="714" t="s">
        <v>17</v>
      </c>
      <c r="W37" s="715">
        <f t="shared" si="14"/>
        <v>100</v>
      </c>
      <c r="X37" s="1539"/>
      <c r="Y37" s="3290"/>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90"/>
      <c r="Q38" s="716">
        <f t="shared" si="11"/>
        <v>111</v>
      </c>
      <c r="R38" s="717" t="s">
        <v>17</v>
      </c>
      <c r="S38" s="718">
        <f t="shared" si="12"/>
        <v>100</v>
      </c>
      <c r="T38" s="717" t="s">
        <v>17</v>
      </c>
      <c r="U38" s="718">
        <f t="shared" si="13"/>
        <v>100</v>
      </c>
      <c r="V38" s="717" t="s">
        <v>17</v>
      </c>
      <c r="W38" s="718">
        <f t="shared" si="14"/>
        <v>100</v>
      </c>
      <c r="X38" s="719"/>
      <c r="Y38" s="3290"/>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90"/>
      <c r="Q39" s="1536">
        <f t="shared" si="11"/>
        <v>111</v>
      </c>
      <c r="R39" s="714" t="s">
        <v>17</v>
      </c>
      <c r="S39" s="715">
        <f t="shared" si="12"/>
        <v>100</v>
      </c>
      <c r="T39" s="714" t="s">
        <v>17</v>
      </c>
      <c r="U39" s="715">
        <f t="shared" si="13"/>
        <v>100</v>
      </c>
      <c r="V39" s="714" t="s">
        <v>17</v>
      </c>
      <c r="W39" s="715">
        <f t="shared" si="14"/>
        <v>100</v>
      </c>
      <c r="X39" s="1539"/>
      <c r="Y39" s="3290"/>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291"/>
      <c r="Q40" s="1536">
        <f t="shared" si="11"/>
        <v>111</v>
      </c>
      <c r="R40" s="714" t="s">
        <v>17</v>
      </c>
      <c r="S40" s="715">
        <f t="shared" si="12"/>
        <v>100</v>
      </c>
      <c r="T40" s="714" t="s">
        <v>17</v>
      </c>
      <c r="U40" s="715">
        <f t="shared" si="13"/>
        <v>100</v>
      </c>
      <c r="V40" s="714" t="s">
        <v>17</v>
      </c>
      <c r="W40" s="715">
        <f t="shared" si="14"/>
        <v>100</v>
      </c>
      <c r="X40" s="1539"/>
      <c r="Y40" s="3291"/>
      <c r="Z40" s="1540">
        <f t="shared" si="15"/>
        <v>111</v>
      </c>
      <c r="AA40" s="1537">
        <f t="shared" si="3"/>
        <v>1</v>
      </c>
      <c r="AB40" s="1537">
        <f t="shared" si="4"/>
        <v>1</v>
      </c>
      <c r="AC40" s="1537">
        <f t="shared" si="5"/>
        <v>1</v>
      </c>
    </row>
    <row r="41" spans="1:29" ht="15">
      <c r="A41" s="438" t="s">
        <v>2398</v>
      </c>
      <c r="B41" s="439"/>
      <c r="C41" s="1316" t="s">
        <v>1</v>
      </c>
      <c r="D41" s="1317"/>
      <c r="E41" s="1318"/>
      <c r="F41" s="1319"/>
      <c r="G41" s="1320"/>
      <c r="H41" s="1321"/>
      <c r="I41" s="1318"/>
      <c r="J41" s="1321"/>
      <c r="K41" s="723"/>
      <c r="L41" s="1057"/>
      <c r="M41" s="1058"/>
      <c r="N41" s="1045"/>
      <c r="O41" s="1058"/>
      <c r="P41" s="3283" t="str">
        <f>A41</f>
        <v>成交单价（元/平方米）</v>
      </c>
      <c r="Q41" s="3283"/>
      <c r="R41" s="3284">
        <f>E41</f>
        <v>0</v>
      </c>
      <c r="S41" s="3284"/>
      <c r="T41" s="3284">
        <f>G41</f>
        <v>0</v>
      </c>
      <c r="U41" s="3284"/>
      <c r="V41" s="3284">
        <f>I41</f>
        <v>0</v>
      </c>
      <c r="W41" s="3284"/>
      <c r="X41" s="699"/>
      <c r="Y41" s="721"/>
      <c r="Z41" s="699"/>
      <c r="AA41" s="699"/>
      <c r="AB41" s="699"/>
      <c r="AC41" s="699"/>
    </row>
    <row r="42" spans="1:29" ht="15.75" thickBot="1">
      <c r="A42" s="445" t="s">
        <v>2490</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283" t="str">
        <f>A42</f>
        <v>比较价值（元/平方米）</v>
      </c>
      <c r="Q42" s="3283"/>
      <c r="R42" s="3284" t="e">
        <f>IF(F1="售价",ROUND(PRODUCT(R41,AA7:AA40),0),ROUND(PRODUCT(R41,AA7:AA40),1))</f>
        <v>#DIV/0!</v>
      </c>
      <c r="S42" s="3284"/>
      <c r="T42" s="3284" t="e">
        <f>IF(F1="售价",ROUND(PRODUCT(T41,AB7:AB40),0),ROUND(PRODUCT(T41,AB7:AB40),1))</f>
        <v>#DIV/0!</v>
      </c>
      <c r="U42" s="3284"/>
      <c r="V42" s="3284" t="e">
        <f>IF(F1="售价",ROUND(PRODUCT(V41,AC7:AC40),0),ROUND(PRODUCT(V41,AC7:AC40),1))</f>
        <v>#DIV/0!</v>
      </c>
      <c r="W42" s="3284"/>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280" t="str">
        <f>A43</f>
        <v>估价对象XX用房的比较价值（楼面单价，元/平方米）</v>
      </c>
      <c r="Q43" s="3281"/>
      <c r="R43" s="3282" t="e">
        <f>IF(F1="售价",ROUND(IF(D42="简单平均",AVERAGE(R42:V42),R42*F42+T42*H42+V42*J42),0),ROUND(IF(D42="简单平均",AVERAGE(R42:V42),R42*F42+T42*H42+V42*J42),1))</f>
        <v>#DIV/0!</v>
      </c>
      <c r="S43" s="3282"/>
      <c r="T43" s="3282"/>
      <c r="U43" s="3282"/>
      <c r="V43" s="3282"/>
      <c r="W43" s="3282"/>
      <c r="X43" s="699"/>
      <c r="Y43" s="699"/>
      <c r="Z43" s="699"/>
      <c r="AA43" s="699"/>
      <c r="AB43" s="699"/>
      <c r="AC43" s="699"/>
    </row>
    <row r="44" spans="1:29">
      <c r="A44" s="2954"/>
      <c r="B44" s="2954"/>
      <c r="C44" s="2954"/>
      <c r="D44" s="2954"/>
      <c r="E44" s="2954"/>
      <c r="F44" s="2954"/>
      <c r="G44" s="2958"/>
      <c r="H44" s="2954"/>
      <c r="I44" s="2954"/>
      <c r="J44" s="2954"/>
      <c r="K44" s="2959"/>
      <c r="L44" s="1020"/>
      <c r="M44" s="1058"/>
      <c r="N44" s="1058"/>
      <c r="O44" s="1058"/>
    </row>
    <row r="45" spans="1:29">
      <c r="A45" s="2954"/>
      <c r="B45" s="2954"/>
      <c r="C45" s="2954"/>
      <c r="D45" s="2954"/>
      <c r="E45" s="2954"/>
      <c r="F45" s="2954"/>
      <c r="G45" s="2954"/>
      <c r="H45" s="2954"/>
      <c r="I45" s="2954"/>
      <c r="J45" s="2954"/>
      <c r="K45" s="2959"/>
      <c r="L45" s="1020"/>
      <c r="M45" s="1058"/>
      <c r="N45" s="1058"/>
      <c r="O45" s="1058"/>
    </row>
    <row r="46" spans="1:29"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1020"/>
      <c r="M46" s="1058"/>
      <c r="N46" s="1058"/>
      <c r="O46" s="1058"/>
    </row>
    <row r="47" spans="1:29"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1020"/>
      <c r="M47" s="1058"/>
      <c r="N47" s="1058"/>
      <c r="O47" s="1058"/>
    </row>
    <row r="48" spans="1:29"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1061"/>
      <c r="M48" s="1059"/>
      <c r="N48" s="1059"/>
      <c r="O48" s="1059"/>
    </row>
    <row r="49" spans="1:17" s="459" customFormat="1">
      <c r="A49" s="2957"/>
      <c r="B49" s="2960"/>
      <c r="C49" s="2961"/>
      <c r="D49" s="2957"/>
      <c r="E49" s="2957"/>
      <c r="F49" s="2957"/>
      <c r="G49" s="2957"/>
      <c r="H49" s="2957"/>
      <c r="I49" s="2957"/>
      <c r="J49" s="2957"/>
      <c r="K49" s="2962"/>
      <c r="L49" s="1061"/>
      <c r="M49" s="1059"/>
      <c r="N49" s="1059"/>
      <c r="O49" s="1059"/>
    </row>
    <row r="50" spans="1:17">
      <c r="A50" s="2954"/>
      <c r="B50" s="2960"/>
      <c r="C50" s="2961"/>
      <c r="D50" s="2954"/>
      <c r="E50" s="2954"/>
      <c r="F50" s="2954"/>
      <c r="G50" s="2954"/>
      <c r="H50" s="2954"/>
      <c r="I50" s="2954"/>
      <c r="J50" s="2954"/>
      <c r="K50" s="2959"/>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2021-6</v>
      </c>
      <c r="D52" s="1347">
        <f>EDATE(C52,-1)</f>
        <v>44317</v>
      </c>
      <c r="E52" s="1347">
        <f t="shared" ref="E52:O52" si="16">EDATE(D52,-1)</f>
        <v>44287</v>
      </c>
      <c r="F52" s="1347">
        <f t="shared" si="16"/>
        <v>44256</v>
      </c>
      <c r="G52" s="1347">
        <f t="shared" si="16"/>
        <v>44228</v>
      </c>
      <c r="H52" s="1347">
        <f t="shared" si="16"/>
        <v>44197</v>
      </c>
      <c r="I52" s="1347">
        <f t="shared" si="16"/>
        <v>44166</v>
      </c>
      <c r="J52" s="1347">
        <f t="shared" si="16"/>
        <v>44136</v>
      </c>
      <c r="K52" s="1347">
        <f t="shared" si="16"/>
        <v>44105</v>
      </c>
      <c r="L52" s="1347">
        <f t="shared" si="16"/>
        <v>44075</v>
      </c>
      <c r="M52" s="1347">
        <f t="shared" si="16"/>
        <v>44044</v>
      </c>
      <c r="N52" s="1347">
        <f t="shared" si="16"/>
        <v>44013</v>
      </c>
      <c r="O52" s="1347">
        <f t="shared" si="16"/>
        <v>43983</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9"/>
      <c r="O54" s="3000"/>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5"/>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3"/>
      <c r="M3" s="2964"/>
      <c r="N3" s="2964"/>
      <c r="O3" s="2964"/>
      <c r="P3" s="1327"/>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4"/>
      <c r="M4" s="2945"/>
      <c r="N4" s="2945"/>
      <c r="O4" s="2945"/>
      <c r="P4" s="3302" t="s">
        <v>2472</v>
      </c>
      <c r="Q4" s="3303"/>
      <c r="R4" s="3308" t="s">
        <v>2468</v>
      </c>
      <c r="S4" s="3309"/>
      <c r="T4" s="3308" t="s">
        <v>2469</v>
      </c>
      <c r="U4" s="3309"/>
      <c r="V4" s="3314" t="s">
        <v>2470</v>
      </c>
      <c r="W4" s="3314"/>
      <c r="X4" s="1539"/>
      <c r="Y4" s="3308" t="s">
        <v>2472</v>
      </c>
      <c r="Z4" s="3309"/>
      <c r="AA4" s="3295" t="s">
        <v>2468</v>
      </c>
      <c r="AB4" s="3296" t="s">
        <v>2469</v>
      </c>
      <c r="AC4" s="3295" t="s">
        <v>2470</v>
      </c>
    </row>
    <row r="5" spans="1:29" ht="15">
      <c r="A5" s="364"/>
      <c r="B5" s="365"/>
      <c r="C5" s="3317" t="s">
        <v>2363</v>
      </c>
      <c r="D5" s="3318"/>
      <c r="E5" s="3324" t="s">
        <v>2364</v>
      </c>
      <c r="F5" s="3325"/>
      <c r="G5" s="3317" t="s">
        <v>2365</v>
      </c>
      <c r="H5" s="3318"/>
      <c r="I5" s="3317" t="s">
        <v>2366</v>
      </c>
      <c r="J5" s="3318"/>
      <c r="K5" s="567"/>
      <c r="L5" s="2944"/>
      <c r="M5" s="2945"/>
      <c r="N5" s="2945"/>
      <c r="O5" s="2945"/>
      <c r="P5" s="3304"/>
      <c r="Q5" s="3305"/>
      <c r="R5" s="3310"/>
      <c r="S5" s="3311"/>
      <c r="T5" s="3310"/>
      <c r="U5" s="3311"/>
      <c r="V5" s="3314"/>
      <c r="W5" s="3314"/>
      <c r="X5" s="1539"/>
      <c r="Y5" s="3310"/>
      <c r="Z5" s="3311"/>
      <c r="AA5" s="3296"/>
      <c r="AB5" s="3296"/>
      <c r="AC5" s="3296"/>
    </row>
    <row r="6" spans="1:29" ht="15.75" thickBot="1">
      <c r="A6" s="366"/>
      <c r="B6" s="367"/>
      <c r="C6" s="3315" t="s">
        <v>2367</v>
      </c>
      <c r="D6" s="3316"/>
      <c r="E6" s="3322" t="s">
        <v>2367</v>
      </c>
      <c r="F6" s="3323"/>
      <c r="G6" s="3315" t="s">
        <v>2367</v>
      </c>
      <c r="H6" s="3316"/>
      <c r="I6" s="3315" t="s">
        <v>2367</v>
      </c>
      <c r="J6" s="3316"/>
      <c r="K6" s="567" t="s">
        <v>2368</v>
      </c>
      <c r="L6" s="2944"/>
      <c r="M6" s="2945"/>
      <c r="N6" s="2945"/>
      <c r="O6" s="2945"/>
      <c r="P6" s="3306"/>
      <c r="Q6" s="3307"/>
      <c r="R6" s="3310"/>
      <c r="S6" s="3311"/>
      <c r="T6" s="3312"/>
      <c r="U6" s="3313"/>
      <c r="V6" s="3314"/>
      <c r="W6" s="3314"/>
      <c r="X6" s="1539"/>
      <c r="Y6" s="3312"/>
      <c r="Z6" s="3313"/>
      <c r="AA6" s="3297"/>
      <c r="AB6" s="3297"/>
      <c r="AC6" s="3297"/>
    </row>
    <row r="7" spans="1:29" s="113" customFormat="1" ht="15.75" thickBot="1">
      <c r="A7" s="368" t="s">
        <v>2369</v>
      </c>
      <c r="B7" s="369"/>
      <c r="C7" s="370">
        <f>'数据-取费表'!B2</f>
        <v>44371</v>
      </c>
      <c r="D7" s="371">
        <v>100</v>
      </c>
      <c r="E7" s="372"/>
      <c r="F7" s="373">
        <f>SUMIF(48:48,YEAR(E7)&amp;"-"&amp;MONTH(E7),49:49)</f>
        <v>0</v>
      </c>
      <c r="G7" s="372"/>
      <c r="H7" s="371">
        <f>SUMIF(48:48,YEAR(G7)&amp;"-"&amp;MONTH(G7),49:49)</f>
        <v>0</v>
      </c>
      <c r="I7" s="372"/>
      <c r="J7" s="371">
        <f>SUMIF(48:48,YEAR(I7)&amp;"-"&amp;MONTH(I7),49:49)</f>
        <v>0</v>
      </c>
      <c r="K7" s="568"/>
      <c r="L7" s="2946"/>
      <c r="M7" s="2947"/>
      <c r="N7" s="2947"/>
      <c r="O7" s="2947"/>
      <c r="P7" s="3319" t="s">
        <v>2370</v>
      </c>
      <c r="Q7" s="3321"/>
      <c r="R7" s="710" t="s">
        <v>17</v>
      </c>
      <c r="S7" s="711">
        <f t="shared" ref="S7:S14" si="0">F7</f>
        <v>0</v>
      </c>
      <c r="T7" s="710" t="s">
        <v>17</v>
      </c>
      <c r="U7" s="711">
        <f t="shared" ref="U7:U14" si="1">H7</f>
        <v>0</v>
      </c>
      <c r="V7" s="710" t="s">
        <v>17</v>
      </c>
      <c r="W7" s="711">
        <f t="shared" ref="W7:W14" si="2">J7</f>
        <v>0</v>
      </c>
      <c r="X7" s="712"/>
      <c r="Y7" s="3319" t="s">
        <v>2370</v>
      </c>
      <c r="Z7" s="3320"/>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6"/>
      <c r="M8" s="2947"/>
      <c r="N8" s="2947"/>
      <c r="O8" s="2947"/>
      <c r="P8" s="3319" t="s">
        <v>2373</v>
      </c>
      <c r="Q8" s="3320"/>
      <c r="R8" s="710" t="s">
        <v>17</v>
      </c>
      <c r="S8" s="711">
        <f t="shared" si="0"/>
        <v>0</v>
      </c>
      <c r="T8" s="710" t="s">
        <v>17</v>
      </c>
      <c r="U8" s="711">
        <f t="shared" si="1"/>
        <v>0</v>
      </c>
      <c r="V8" s="710" t="s">
        <v>17</v>
      </c>
      <c r="W8" s="711">
        <f t="shared" si="2"/>
        <v>0</v>
      </c>
      <c r="X8" s="712"/>
      <c r="Y8" s="3319" t="s">
        <v>2373</v>
      </c>
      <c r="Z8" s="3320"/>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6"/>
      <c r="M9" s="2947"/>
      <c r="N9" s="2947"/>
      <c r="O9" s="2947"/>
      <c r="P9" s="3283" t="s">
        <v>2376</v>
      </c>
      <c r="Q9" s="1527" t="str">
        <f t="shared" ref="Q9:Q14" si="6">B9</f>
        <v>用途</v>
      </c>
      <c r="R9" s="710" t="s">
        <v>17</v>
      </c>
      <c r="S9" s="711">
        <f t="shared" si="0"/>
        <v>100</v>
      </c>
      <c r="T9" s="710" t="s">
        <v>17</v>
      </c>
      <c r="U9" s="711">
        <f t="shared" si="1"/>
        <v>100</v>
      </c>
      <c r="V9" s="710" t="s">
        <v>17</v>
      </c>
      <c r="W9" s="711">
        <f t="shared" si="2"/>
        <v>100</v>
      </c>
      <c r="X9" s="712"/>
      <c r="Y9" s="3153"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8"/>
      <c r="M10" s="2949"/>
      <c r="N10" s="2949"/>
      <c r="O10" s="2949"/>
      <c r="P10" s="3283"/>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0"/>
      <c r="M11" s="2945"/>
      <c r="N11" s="2945"/>
      <c r="O11" s="2945"/>
      <c r="P11" s="3283"/>
      <c r="Q11" s="1527">
        <f t="shared" si="6"/>
        <v>111</v>
      </c>
      <c r="R11" s="710" t="s">
        <v>17</v>
      </c>
      <c r="S11" s="711">
        <f t="shared" si="0"/>
        <v>100</v>
      </c>
      <c r="T11" s="710" t="s">
        <v>17</v>
      </c>
      <c r="U11" s="711">
        <f t="shared" si="1"/>
        <v>100</v>
      </c>
      <c r="V11" s="710" t="s">
        <v>17</v>
      </c>
      <c r="W11" s="711">
        <f t="shared" si="2"/>
        <v>100</v>
      </c>
      <c r="X11" s="712"/>
      <c r="Y11" s="315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6"/>
      <c r="M12" s="2947"/>
      <c r="N12" s="2947"/>
      <c r="O12" s="2947"/>
      <c r="P12" s="3283"/>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1"/>
      <c r="M13" s="2945"/>
      <c r="N13" s="2945"/>
      <c r="O13" s="2945"/>
      <c r="P13" s="3283"/>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1"/>
      <c r="M14" s="2945"/>
      <c r="N14" s="2945"/>
      <c r="O14" s="2945"/>
      <c r="P14" s="3285" t="s">
        <v>2381</v>
      </c>
      <c r="Q14" s="1536" t="str">
        <f t="shared" si="6"/>
        <v>交通便捷度</v>
      </c>
      <c r="R14" s="714" t="s">
        <v>17</v>
      </c>
      <c r="S14" s="715">
        <f t="shared" si="0"/>
        <v>100</v>
      </c>
      <c r="T14" s="714" t="s">
        <v>17</v>
      </c>
      <c r="U14" s="715">
        <f t="shared" si="1"/>
        <v>100</v>
      </c>
      <c r="V14" s="714" t="s">
        <v>17</v>
      </c>
      <c r="W14" s="715">
        <f t="shared" si="2"/>
        <v>100</v>
      </c>
      <c r="X14" s="1539"/>
      <c r="Y14" s="3285"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1"/>
      <c r="M15" s="2945"/>
      <c r="N15" s="2945"/>
      <c r="O15" s="2945"/>
      <c r="P15" s="3286"/>
      <c r="Q15" s="1536"/>
      <c r="R15" s="714"/>
      <c r="S15" s="715"/>
      <c r="T15" s="714"/>
      <c r="U15" s="715"/>
      <c r="V15" s="714"/>
      <c r="W15" s="715"/>
      <c r="X15" s="1539"/>
      <c r="Y15" s="3286"/>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1"/>
      <c r="M16" s="2945"/>
      <c r="N16" s="2945"/>
      <c r="O16" s="2945"/>
      <c r="P16" s="3286"/>
      <c r="Q16" s="1536" t="str">
        <f>B16</f>
        <v>公共配套设施</v>
      </c>
      <c r="R16" s="714" t="s">
        <v>17</v>
      </c>
      <c r="S16" s="715">
        <f>F16</f>
        <v>100</v>
      </c>
      <c r="T16" s="714" t="s">
        <v>17</v>
      </c>
      <c r="U16" s="715">
        <f>H16</f>
        <v>100</v>
      </c>
      <c r="V16" s="714" t="s">
        <v>17</v>
      </c>
      <c r="W16" s="715">
        <f>J16</f>
        <v>100</v>
      </c>
      <c r="X16" s="1539"/>
      <c r="Y16" s="3286"/>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1"/>
      <c r="M17" s="2945"/>
      <c r="N17" s="2945"/>
      <c r="O17" s="2945"/>
      <c r="P17" s="3286"/>
      <c r="Q17" s="1536"/>
      <c r="R17" s="714"/>
      <c r="S17" s="715"/>
      <c r="T17" s="714"/>
      <c r="U17" s="715"/>
      <c r="V17" s="714"/>
      <c r="W17" s="715"/>
      <c r="X17" s="1539"/>
      <c r="Y17" s="3286"/>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1"/>
      <c r="M18" s="2945"/>
      <c r="N18" s="2945"/>
      <c r="O18" s="2945"/>
      <c r="P18" s="3286"/>
      <c r="Q18" s="1536" t="str">
        <f>B18</f>
        <v>基础设施水平</v>
      </c>
      <c r="R18" s="714" t="s">
        <v>17</v>
      </c>
      <c r="S18" s="715">
        <f>F18</f>
        <v>100</v>
      </c>
      <c r="T18" s="714" t="s">
        <v>17</v>
      </c>
      <c r="U18" s="715">
        <f>H18</f>
        <v>100</v>
      </c>
      <c r="V18" s="714" t="s">
        <v>17</v>
      </c>
      <c r="W18" s="715">
        <f>J18</f>
        <v>100</v>
      </c>
      <c r="X18" s="1539"/>
      <c r="Y18" s="3286"/>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1"/>
      <c r="M19" s="2945"/>
      <c r="N19" s="2945"/>
      <c r="O19" s="2945"/>
      <c r="P19" s="3286"/>
      <c r="Q19" s="1536"/>
      <c r="R19" s="714"/>
      <c r="S19" s="715"/>
      <c r="T19" s="714"/>
      <c r="U19" s="715"/>
      <c r="V19" s="714"/>
      <c r="W19" s="715"/>
      <c r="X19" s="1539"/>
      <c r="Y19" s="3286"/>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1"/>
      <c r="M20" s="2945"/>
      <c r="N20" s="2945"/>
      <c r="O20" s="2945"/>
      <c r="P20" s="3286"/>
      <c r="Q20" s="1536" t="str">
        <f>B20</f>
        <v>自然及人文环境</v>
      </c>
      <c r="R20" s="714" t="s">
        <v>17</v>
      </c>
      <c r="S20" s="715">
        <f>F20</f>
        <v>100</v>
      </c>
      <c r="T20" s="714" t="s">
        <v>17</v>
      </c>
      <c r="U20" s="715">
        <f>H20</f>
        <v>100</v>
      </c>
      <c r="V20" s="714" t="s">
        <v>17</v>
      </c>
      <c r="W20" s="715">
        <f>J20</f>
        <v>100</v>
      </c>
      <c r="X20" s="1539"/>
      <c r="Y20" s="3286"/>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1"/>
      <c r="M21" s="2945"/>
      <c r="N21" s="2945"/>
      <c r="O21" s="2945"/>
      <c r="P21" s="3286"/>
      <c r="Q21" s="1536"/>
      <c r="R21" s="714"/>
      <c r="S21" s="715"/>
      <c r="T21" s="714"/>
      <c r="U21" s="715"/>
      <c r="V21" s="714"/>
      <c r="W21" s="715"/>
      <c r="X21" s="1539"/>
      <c r="Y21" s="3286"/>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1"/>
      <c r="M22" s="2945"/>
      <c r="N22" s="2945"/>
      <c r="O22" s="2945"/>
      <c r="P22" s="3286"/>
      <c r="Q22" s="1536" t="str">
        <f>B22</f>
        <v>楼层</v>
      </c>
      <c r="R22" s="714" t="s">
        <v>17</v>
      </c>
      <c r="S22" s="715">
        <f>F22</f>
        <v>100</v>
      </c>
      <c r="T22" s="714" t="s">
        <v>17</v>
      </c>
      <c r="U22" s="715">
        <f>H22</f>
        <v>100</v>
      </c>
      <c r="V22" s="714" t="s">
        <v>17</v>
      </c>
      <c r="W22" s="715">
        <f>J22</f>
        <v>100</v>
      </c>
      <c r="X22" s="1539"/>
      <c r="Y22" s="3286"/>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1"/>
      <c r="M23" s="2945"/>
      <c r="N23" s="2945"/>
      <c r="O23" s="2945"/>
      <c r="P23" s="3286"/>
      <c r="Q23" s="1536">
        <f>B23</f>
        <v>111</v>
      </c>
      <c r="R23" s="714" t="s">
        <v>17</v>
      </c>
      <c r="S23" s="715">
        <f>F23</f>
        <v>100</v>
      </c>
      <c r="T23" s="714" t="s">
        <v>17</v>
      </c>
      <c r="U23" s="715">
        <f>H23</f>
        <v>100</v>
      </c>
      <c r="V23" s="714" t="s">
        <v>17</v>
      </c>
      <c r="W23" s="715">
        <f>J23</f>
        <v>100</v>
      </c>
      <c r="X23" s="1539"/>
      <c r="Y23" s="3286"/>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1"/>
      <c r="M24" s="2945"/>
      <c r="N24" s="2945"/>
      <c r="O24" s="2945"/>
      <c r="P24" s="3286"/>
      <c r="Q24" s="1536">
        <f t="shared" ref="Q24:Q36" si="11">B24</f>
        <v>111</v>
      </c>
      <c r="R24" s="714" t="s">
        <v>17</v>
      </c>
      <c r="S24" s="715">
        <f>F24</f>
        <v>100</v>
      </c>
      <c r="T24" s="714" t="s">
        <v>17</v>
      </c>
      <c r="U24" s="715">
        <f>H24</f>
        <v>100</v>
      </c>
      <c r="V24" s="714" t="s">
        <v>17</v>
      </c>
      <c r="W24" s="715">
        <f>J24</f>
        <v>100</v>
      </c>
      <c r="X24" s="1539"/>
      <c r="Y24" s="3286"/>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6"/>
      <c r="M25" s="2947"/>
      <c r="N25" s="2947"/>
      <c r="O25" s="2947"/>
      <c r="P25" s="3286"/>
      <c r="Q25" s="1527">
        <f t="shared" si="11"/>
        <v>111</v>
      </c>
      <c r="R25" s="710" t="s">
        <v>17</v>
      </c>
      <c r="S25" s="711">
        <f>F25</f>
        <v>100</v>
      </c>
      <c r="T25" s="710" t="s">
        <v>17</v>
      </c>
      <c r="U25" s="711">
        <f>H25</f>
        <v>100</v>
      </c>
      <c r="V25" s="710" t="s">
        <v>17</v>
      </c>
      <c r="W25" s="711">
        <f>J25</f>
        <v>100</v>
      </c>
      <c r="X25" s="712"/>
      <c r="Y25" s="3286"/>
      <c r="Z25" s="55">
        <f>Q25</f>
        <v>111</v>
      </c>
      <c r="AA25" s="1537">
        <f>D25/F25</f>
        <v>1</v>
      </c>
      <c r="AB25" s="1537">
        <f>D25/H25</f>
        <v>1</v>
      </c>
      <c r="AC25" s="1537">
        <f>D25/J25</f>
        <v>1</v>
      </c>
    </row>
    <row r="26" spans="1:29" ht="28.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1"/>
      <c r="M26" s="2945"/>
      <c r="N26" s="2945"/>
      <c r="O26" s="2945"/>
      <c r="P26" s="3341"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290"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0"/>
      <c r="M27" s="2952"/>
      <c r="N27" s="2952"/>
      <c r="O27" s="2952"/>
      <c r="P27" s="3290"/>
      <c r="Q27" s="716" t="str">
        <f t="shared" si="11"/>
        <v>项目停车位配比</v>
      </c>
      <c r="R27" s="717" t="s">
        <v>17</v>
      </c>
      <c r="S27" s="718">
        <f t="shared" si="12"/>
        <v>100</v>
      </c>
      <c r="T27" s="717" t="s">
        <v>17</v>
      </c>
      <c r="U27" s="718">
        <f t="shared" si="13"/>
        <v>100</v>
      </c>
      <c r="V27" s="717" t="s">
        <v>17</v>
      </c>
      <c r="W27" s="718">
        <f t="shared" si="14"/>
        <v>100</v>
      </c>
      <c r="X27" s="719"/>
      <c r="Y27" s="3290"/>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1"/>
      <c r="M28" s="2945"/>
      <c r="N28" s="2945"/>
      <c r="O28" s="2945"/>
      <c r="P28" s="3290"/>
      <c r="Q28" s="1536" t="str">
        <f t="shared" si="11"/>
        <v>公共部分装修</v>
      </c>
      <c r="R28" s="714" t="s">
        <v>17</v>
      </c>
      <c r="S28" s="715">
        <f t="shared" si="12"/>
        <v>100</v>
      </c>
      <c r="T28" s="714" t="s">
        <v>17</v>
      </c>
      <c r="U28" s="715">
        <f t="shared" si="13"/>
        <v>100</v>
      </c>
      <c r="V28" s="714" t="s">
        <v>17</v>
      </c>
      <c r="W28" s="715">
        <f t="shared" si="14"/>
        <v>100</v>
      </c>
      <c r="X28" s="1539"/>
      <c r="Y28" s="3290"/>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1"/>
      <c r="M29" s="2945"/>
      <c r="N29" s="2945"/>
      <c r="O29" s="2945"/>
      <c r="P29" s="3290"/>
      <c r="Q29" s="1536" t="str">
        <f t="shared" si="11"/>
        <v>成新率</v>
      </c>
      <c r="R29" s="714" t="s">
        <v>17</v>
      </c>
      <c r="S29" s="715" t="e">
        <f t="shared" si="12"/>
        <v>#N/A</v>
      </c>
      <c r="T29" s="714" t="s">
        <v>17</v>
      </c>
      <c r="U29" s="715" t="e">
        <f t="shared" si="13"/>
        <v>#N/A</v>
      </c>
      <c r="V29" s="714" t="s">
        <v>17</v>
      </c>
      <c r="W29" s="715" t="e">
        <f t="shared" si="14"/>
        <v>#N/A</v>
      </c>
      <c r="X29" s="1539"/>
      <c r="Y29" s="3290"/>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1"/>
      <c r="M30" s="2945"/>
      <c r="N30" s="2945"/>
      <c r="O30" s="2945"/>
      <c r="P30" s="3290"/>
      <c r="Q30" s="1536" t="str">
        <f t="shared" si="11"/>
        <v>物业等级</v>
      </c>
      <c r="R30" s="714" t="s">
        <v>17</v>
      </c>
      <c r="S30" s="715">
        <f t="shared" si="12"/>
        <v>100</v>
      </c>
      <c r="T30" s="714" t="s">
        <v>17</v>
      </c>
      <c r="U30" s="715">
        <f t="shared" si="13"/>
        <v>100</v>
      </c>
      <c r="V30" s="714" t="s">
        <v>17</v>
      </c>
      <c r="W30" s="715">
        <f t="shared" si="14"/>
        <v>100</v>
      </c>
      <c r="X30" s="1539"/>
      <c r="Y30" s="3290"/>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6"/>
      <c r="M31" s="2947"/>
      <c r="N31" s="2947"/>
      <c r="O31" s="2947"/>
      <c r="P31" s="3290"/>
      <c r="Q31" s="1527" t="str">
        <f t="shared" si="11"/>
        <v>停车位面积</v>
      </c>
      <c r="R31" s="710" t="s">
        <v>17</v>
      </c>
      <c r="S31" s="711" t="e">
        <f t="shared" si="12"/>
        <v>#N/A</v>
      </c>
      <c r="T31" s="710" t="s">
        <v>17</v>
      </c>
      <c r="U31" s="711" t="e">
        <f t="shared" si="13"/>
        <v>#N/A</v>
      </c>
      <c r="V31" s="710" t="s">
        <v>17</v>
      </c>
      <c r="W31" s="711" t="e">
        <f t="shared" si="14"/>
        <v>#N/A</v>
      </c>
      <c r="X31" s="712"/>
      <c r="Y31" s="3290"/>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1"/>
      <c r="M32" s="2945"/>
      <c r="N32" s="2945"/>
      <c r="O32" s="2945"/>
      <c r="P32" s="3290" t="s">
        <v>2386</v>
      </c>
      <c r="Q32" s="1536" t="str">
        <f t="shared" si="11"/>
        <v>车位类型</v>
      </c>
      <c r="R32" s="714" t="s">
        <v>17</v>
      </c>
      <c r="S32" s="715">
        <f t="shared" si="12"/>
        <v>100</v>
      </c>
      <c r="T32" s="714" t="s">
        <v>17</v>
      </c>
      <c r="U32" s="715">
        <f t="shared" si="13"/>
        <v>100</v>
      </c>
      <c r="V32" s="714" t="s">
        <v>17</v>
      </c>
      <c r="W32" s="715">
        <f t="shared" si="14"/>
        <v>100</v>
      </c>
      <c r="X32" s="1539"/>
      <c r="Y32" s="3290"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1"/>
      <c r="M33" s="2945"/>
      <c r="N33" s="2945"/>
      <c r="O33" s="2945"/>
      <c r="P33" s="3290"/>
      <c r="Q33" s="1536" t="str">
        <f t="shared" si="11"/>
        <v>是否直接入户</v>
      </c>
      <c r="R33" s="714" t="s">
        <v>17</v>
      </c>
      <c r="S33" s="715">
        <f t="shared" si="12"/>
        <v>100</v>
      </c>
      <c r="T33" s="714" t="s">
        <v>17</v>
      </c>
      <c r="U33" s="715">
        <f t="shared" si="13"/>
        <v>100</v>
      </c>
      <c r="V33" s="714" t="s">
        <v>17</v>
      </c>
      <c r="W33" s="715">
        <f t="shared" si="14"/>
        <v>100</v>
      </c>
      <c r="X33" s="1539"/>
      <c r="Y33" s="3290"/>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1"/>
      <c r="M34" s="2945"/>
      <c r="N34" s="2945"/>
      <c r="O34" s="2945"/>
      <c r="P34" s="3290"/>
      <c r="Q34" s="1536">
        <f t="shared" si="11"/>
        <v>111</v>
      </c>
      <c r="R34" s="714" t="s">
        <v>17</v>
      </c>
      <c r="S34" s="715">
        <f t="shared" si="12"/>
        <v>100</v>
      </c>
      <c r="T34" s="714" t="s">
        <v>17</v>
      </c>
      <c r="U34" s="715">
        <f t="shared" si="13"/>
        <v>100</v>
      </c>
      <c r="V34" s="714" t="s">
        <v>17</v>
      </c>
      <c r="W34" s="715">
        <f t="shared" si="14"/>
        <v>100</v>
      </c>
      <c r="X34" s="1539"/>
      <c r="Y34" s="3290"/>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0"/>
      <c r="M35" s="2952"/>
      <c r="N35" s="2952"/>
      <c r="O35" s="2952"/>
      <c r="P35" s="3290"/>
      <c r="Q35" s="716">
        <f t="shared" si="11"/>
        <v>111</v>
      </c>
      <c r="R35" s="717" t="s">
        <v>17</v>
      </c>
      <c r="S35" s="718">
        <f t="shared" si="12"/>
        <v>100</v>
      </c>
      <c r="T35" s="717" t="s">
        <v>17</v>
      </c>
      <c r="U35" s="718">
        <f t="shared" si="13"/>
        <v>100</v>
      </c>
      <c r="V35" s="717" t="s">
        <v>17</v>
      </c>
      <c r="W35" s="718">
        <f t="shared" si="14"/>
        <v>100</v>
      </c>
      <c r="X35" s="719"/>
      <c r="Y35" s="3290"/>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1"/>
      <c r="M36" s="2945"/>
      <c r="N36" s="2945"/>
      <c r="O36" s="2945"/>
      <c r="P36" s="3290"/>
      <c r="Q36" s="1536">
        <f t="shared" si="11"/>
        <v>111</v>
      </c>
      <c r="R36" s="714" t="s">
        <v>17</v>
      </c>
      <c r="S36" s="715">
        <f t="shared" si="12"/>
        <v>100</v>
      </c>
      <c r="T36" s="714" t="s">
        <v>17</v>
      </c>
      <c r="U36" s="715">
        <f t="shared" si="13"/>
        <v>100</v>
      </c>
      <c r="V36" s="714" t="s">
        <v>17</v>
      </c>
      <c r="W36" s="715">
        <f t="shared" si="14"/>
        <v>100</v>
      </c>
      <c r="X36" s="1539"/>
      <c r="Y36" s="3290"/>
      <c r="Z36" s="1540">
        <f t="shared" si="15"/>
        <v>111</v>
      </c>
      <c r="AA36" s="1537">
        <f t="shared" si="3"/>
        <v>1</v>
      </c>
      <c r="AB36" s="1537">
        <f t="shared" si="4"/>
        <v>1</v>
      </c>
      <c r="AC36" s="1537">
        <f t="shared" si="5"/>
        <v>1</v>
      </c>
    </row>
    <row r="37" spans="1:29" ht="15">
      <c r="A37" s="438" t="s">
        <v>2541</v>
      </c>
      <c r="B37" s="2159" t="s">
        <v>2542</v>
      </c>
      <c r="C37" s="1316" t="s">
        <v>1</v>
      </c>
      <c r="D37" s="1317"/>
      <c r="E37" s="1318"/>
      <c r="F37" s="1319"/>
      <c r="G37" s="1320"/>
      <c r="H37" s="1321"/>
      <c r="I37" s="1318"/>
      <c r="J37" s="1321"/>
      <c r="K37" s="576"/>
      <c r="L37" s="2953"/>
      <c r="M37" s="2954"/>
      <c r="N37" s="2945"/>
      <c r="O37" s="2954"/>
      <c r="P37" s="3283" t="str">
        <f>A37</f>
        <v>成交单价</v>
      </c>
      <c r="Q37" s="3283"/>
      <c r="R37" s="3284">
        <f>E37</f>
        <v>0</v>
      </c>
      <c r="S37" s="3284"/>
      <c r="T37" s="3284">
        <f>G37</f>
        <v>0</v>
      </c>
      <c r="U37" s="3284"/>
      <c r="V37" s="3284">
        <f>I37</f>
        <v>0</v>
      </c>
      <c r="W37" s="3284"/>
      <c r="X37" s="699"/>
      <c r="Y37" s="721"/>
      <c r="Z37" s="699"/>
      <c r="AA37" s="699"/>
      <c r="AB37" s="699"/>
      <c r="AC37" s="699"/>
    </row>
    <row r="38" spans="1:29" ht="15.75" thickBot="1">
      <c r="A38" s="445" t="s">
        <v>2543</v>
      </c>
      <c r="B38" s="446" t="str">
        <f>B37</f>
        <v>元/车位</v>
      </c>
      <c r="C38" s="1322" t="e">
        <f>R39</f>
        <v>#DIV/0!</v>
      </c>
      <c r="D38" s="2538" t="s">
        <v>2880</v>
      </c>
      <c r="E38" s="1323" t="e">
        <f>R38</f>
        <v>#DIV/0!</v>
      </c>
      <c r="F38" s="2539"/>
      <c r="G38" s="1322" t="e">
        <f>T38</f>
        <v>#DIV/0!</v>
      </c>
      <c r="H38" s="2539"/>
      <c r="I38" s="1323" t="e">
        <f>V38</f>
        <v>#DIV/0!</v>
      </c>
      <c r="J38" s="2539"/>
      <c r="K38" s="2541">
        <f>F38+H38+J38</f>
        <v>0</v>
      </c>
      <c r="L38" s="2953"/>
      <c r="M38" s="2954"/>
      <c r="N38" s="2954"/>
      <c r="O38" s="2954"/>
      <c r="P38" s="3283" t="str">
        <f>A38</f>
        <v>比较价值（元/平方米）</v>
      </c>
      <c r="Q38" s="3283"/>
      <c r="R38" s="3284" t="e">
        <f>IF(F1="售价",ROUND(PRODUCT(R37,AA7:AA36),0),ROUND(PRODUCT(R37,AA7:AA36),1))</f>
        <v>#DIV/0!</v>
      </c>
      <c r="S38" s="3284"/>
      <c r="T38" s="3284" t="e">
        <f>IF(F1="售价",ROUND(PRODUCT(T37,AB7:AB36),0),ROUND(PRODUCT(T37,AB7:AB36),1))</f>
        <v>#DIV/0!</v>
      </c>
      <c r="U38" s="3284"/>
      <c r="V38" s="3284" t="e">
        <f>IF(F1="售价",ROUND(PRODUCT(V37,AC7:AC36),0),ROUND(PRODUCT(V37,AC7:AC36),1))</f>
        <v>#DIV/0!</v>
      </c>
      <c r="W38" s="3284"/>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3"/>
      <c r="M39" s="2954"/>
      <c r="N39" s="2954"/>
      <c r="O39" s="2954"/>
      <c r="P39" s="3280" t="str">
        <f>A39</f>
        <v>估价对象XX用房的比较价值（楼面单价，元/平方米）</v>
      </c>
      <c r="Q39" s="3281"/>
      <c r="R39" s="3342" t="e">
        <f>IF(F1="售价",ROUND(IF(D38="简单平均",AVERAGE(R38:W38),R38*F38+T38*H38+V38*J38),0),ROUND(IF(D38="简单平均",AVERAGE(R38:V38),R38*F38+T38*H38+V38*J38),1))</f>
        <v>#DIV/0!</v>
      </c>
      <c r="S39" s="3342"/>
      <c r="T39" s="3342"/>
      <c r="U39" s="3342"/>
      <c r="V39" s="3342"/>
      <c r="W39" s="3342"/>
      <c r="X39" s="699"/>
      <c r="Y39" s="699"/>
      <c r="Z39" s="699"/>
      <c r="AA39" s="699"/>
      <c r="AB39" s="699"/>
      <c r="AC39" s="699"/>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9" customFormat="1" ht="13.5" customHeight="1">
      <c r="A44" s="2957"/>
      <c r="B44" s="2957"/>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9"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8" t="s">
        <v>2548</v>
      </c>
      <c r="B47" s="1058"/>
      <c r="C47" s="1071"/>
      <c r="D47" s="1071"/>
      <c r="E47" s="1071"/>
      <c r="F47" s="1329"/>
      <c r="G47" s="1329"/>
      <c r="H47" s="1071"/>
      <c r="I47" s="1071"/>
      <c r="J47" s="1071"/>
      <c r="K47" s="1072"/>
      <c r="L47" s="1073"/>
      <c r="M47" s="1071"/>
      <c r="N47" s="2998"/>
      <c r="O47" s="2998"/>
      <c r="P47" s="2987"/>
      <c r="Q47" s="2968"/>
      <c r="R47" s="2954"/>
      <c r="S47" s="2954"/>
      <c r="T47" s="2954"/>
      <c r="U47" s="2954"/>
      <c r="V47" s="2954"/>
      <c r="W47" s="2954"/>
      <c r="X47" s="2954"/>
      <c r="Y47" s="2954"/>
      <c r="Z47" s="2954"/>
      <c r="AA47" s="2954"/>
      <c r="AB47" s="2954"/>
      <c r="AC47" s="2954"/>
    </row>
    <row r="48" spans="1:29" s="465" customFormat="1" ht="15">
      <c r="A48" s="462" t="s">
        <v>2549</v>
      </c>
      <c r="B48" s="463"/>
      <c r="C48" s="1346" t="str">
        <f>YEAR(C7)&amp;"-"&amp;MONTH(C7)</f>
        <v>2021-6</v>
      </c>
      <c r="D48" s="1347">
        <f>EDATE(C48,-1)</f>
        <v>44317</v>
      </c>
      <c r="E48" s="1347">
        <f t="shared" ref="E48:O48" si="16">EDATE(D48,-1)</f>
        <v>44287</v>
      </c>
      <c r="F48" s="1347">
        <f t="shared" si="16"/>
        <v>44256</v>
      </c>
      <c r="G48" s="1347">
        <f t="shared" si="16"/>
        <v>44228</v>
      </c>
      <c r="H48" s="1347">
        <f t="shared" si="16"/>
        <v>44197</v>
      </c>
      <c r="I48" s="1347">
        <f t="shared" si="16"/>
        <v>44166</v>
      </c>
      <c r="J48" s="1347">
        <f t="shared" si="16"/>
        <v>44136</v>
      </c>
      <c r="K48" s="1347">
        <f t="shared" si="16"/>
        <v>44105</v>
      </c>
      <c r="L48" s="1347">
        <f t="shared" si="16"/>
        <v>44075</v>
      </c>
      <c r="M48" s="1347">
        <f t="shared" si="16"/>
        <v>44044</v>
      </c>
      <c r="N48" s="1347">
        <f t="shared" si="16"/>
        <v>44013</v>
      </c>
      <c r="O48" s="1347">
        <f t="shared" si="16"/>
        <v>43983</v>
      </c>
      <c r="P48" s="2988"/>
      <c r="Q48" s="2970"/>
      <c r="R48" s="2970"/>
      <c r="S48" s="2970"/>
      <c r="T48" s="2970"/>
      <c r="U48" s="2970"/>
      <c r="V48" s="2970"/>
      <c r="W48" s="2970"/>
      <c r="X48" s="2970"/>
      <c r="Y48" s="2970"/>
      <c r="Z48" s="2970"/>
      <c r="AA48" s="2970"/>
      <c r="AB48" s="2970"/>
      <c r="AC48" s="2970"/>
    </row>
    <row r="49" spans="1:29" s="113" customFormat="1" ht="15">
      <c r="A49" s="466"/>
      <c r="B49" s="467"/>
      <c r="C49" s="1339">
        <v>100</v>
      </c>
      <c r="D49" s="469"/>
      <c r="E49" s="469"/>
      <c r="F49" s="469"/>
      <c r="G49" s="469"/>
      <c r="H49" s="469"/>
      <c r="I49" s="469"/>
      <c r="J49" s="469"/>
      <c r="K49" s="469"/>
      <c r="L49" s="469"/>
      <c r="M49" s="470"/>
      <c r="N49" s="469"/>
      <c r="O49" s="470"/>
      <c r="P49" s="2989"/>
      <c r="Q49" s="2888"/>
      <c r="R49" s="2888"/>
      <c r="S49" s="2888"/>
      <c r="T49" s="2888"/>
      <c r="U49" s="2888"/>
      <c r="V49" s="2888"/>
      <c r="W49" s="2888"/>
      <c r="X49" s="2888"/>
      <c r="Y49" s="2888"/>
      <c r="Z49" s="2888"/>
      <c r="AA49" s="2888"/>
      <c r="AB49" s="2888"/>
      <c r="AC49" s="2888"/>
    </row>
    <row r="50" spans="1:29" s="113" customFormat="1" ht="15.75" thickBot="1">
      <c r="A50" s="472" t="s">
        <v>2406</v>
      </c>
      <c r="B50" s="473"/>
      <c r="C50" s="474"/>
      <c r="D50" s="475"/>
      <c r="E50" s="475"/>
      <c r="F50" s="475"/>
      <c r="G50" s="475"/>
      <c r="H50" s="475"/>
      <c r="I50" s="475"/>
      <c r="J50" s="475"/>
      <c r="K50" s="475"/>
      <c r="L50" s="475"/>
      <c r="M50" s="476"/>
      <c r="N50" s="475"/>
      <c r="O50" s="476"/>
      <c r="P50" s="2989"/>
      <c r="Q50" s="2968"/>
      <c r="R50" s="2888"/>
      <c r="S50" s="2888"/>
      <c r="T50" s="2888"/>
      <c r="U50" s="2888"/>
      <c r="V50" s="2888"/>
      <c r="W50" s="2888"/>
      <c r="X50" s="2888"/>
      <c r="Y50" s="2888"/>
      <c r="Z50" s="2888"/>
      <c r="AA50" s="2888"/>
      <c r="AB50" s="2888"/>
      <c r="AC50" s="2888"/>
    </row>
    <row r="51" spans="1:29" s="113" customFormat="1" ht="15">
      <c r="A51" s="478" t="s">
        <v>2371</v>
      </c>
      <c r="B51" s="467"/>
      <c r="C51" s="479" t="s">
        <v>2473</v>
      </c>
      <c r="D51" s="480"/>
      <c r="E51" s="480"/>
      <c r="F51" s="480"/>
      <c r="G51" s="480"/>
      <c r="H51" s="480"/>
      <c r="I51" s="480"/>
      <c r="J51" s="480"/>
      <c r="K51" s="480"/>
      <c r="L51" s="481"/>
      <c r="M51" s="482"/>
      <c r="N51" s="2981"/>
      <c r="O51" s="2981"/>
      <c r="P51" s="2990"/>
      <c r="Q51" s="2968"/>
      <c r="R51" s="2888"/>
      <c r="S51" s="2888"/>
      <c r="T51" s="2888"/>
      <c r="U51" s="2888"/>
      <c r="V51" s="2888"/>
      <c r="W51" s="2888"/>
      <c r="X51" s="2888"/>
      <c r="Y51" s="2888"/>
      <c r="Z51" s="2888"/>
      <c r="AA51" s="2888"/>
      <c r="AB51" s="2888"/>
      <c r="AC51" s="2888"/>
    </row>
    <row r="52" spans="1:29" s="113" customFormat="1" ht="15.75" thickBot="1">
      <c r="A52" s="478"/>
      <c r="B52" s="467"/>
      <c r="C52" s="595">
        <v>100</v>
      </c>
      <c r="D52" s="469"/>
      <c r="E52" s="469"/>
      <c r="F52" s="469"/>
      <c r="G52" s="469"/>
      <c r="H52" s="469"/>
      <c r="I52" s="469"/>
      <c r="J52" s="469"/>
      <c r="K52" s="469"/>
      <c r="L52" s="469"/>
      <c r="M52" s="471"/>
      <c r="N52" s="2981"/>
      <c r="O52" s="2981"/>
      <c r="P52" s="2989"/>
      <c r="Q52" s="2968"/>
      <c r="R52" s="2888"/>
      <c r="S52" s="2888"/>
      <c r="T52" s="2888"/>
      <c r="U52" s="2888"/>
      <c r="V52" s="2888"/>
      <c r="W52" s="2888"/>
      <c r="X52" s="2888"/>
      <c r="Y52" s="2888"/>
      <c r="Z52" s="2888"/>
      <c r="AA52" s="2888"/>
      <c r="AB52" s="2888"/>
      <c r="AC52" s="2888"/>
    </row>
    <row r="53" spans="1:29">
      <c r="A53" s="484" t="s">
        <v>2409</v>
      </c>
      <c r="B53" s="485" t="s">
        <v>2375</v>
      </c>
      <c r="C53" s="486">
        <f>C9</f>
        <v>0</v>
      </c>
      <c r="D53" s="487"/>
      <c r="E53" s="487"/>
      <c r="F53" s="487"/>
      <c r="G53" s="487"/>
      <c r="H53" s="487"/>
      <c r="I53" s="487"/>
      <c r="J53" s="487"/>
      <c r="K53" s="488"/>
      <c r="L53" s="489"/>
      <c r="M53" s="490"/>
      <c r="N53" s="2982"/>
      <c r="O53" s="2982"/>
      <c r="P53" s="2991"/>
      <c r="Q53" s="2968"/>
      <c r="R53" s="2954"/>
      <c r="S53" s="2954"/>
      <c r="T53" s="2954"/>
      <c r="U53" s="2954"/>
      <c r="V53" s="2954"/>
      <c r="W53" s="2954"/>
      <c r="X53" s="2954"/>
      <c r="Y53" s="2954"/>
      <c r="Z53" s="2954"/>
      <c r="AA53" s="2954"/>
      <c r="AB53" s="2954"/>
      <c r="AC53" s="2954"/>
    </row>
    <row r="54" spans="1:29" ht="15.75" thickBot="1">
      <c r="A54" s="491"/>
      <c r="B54" s="492"/>
      <c r="C54" s="493">
        <v>100</v>
      </c>
      <c r="D54" s="493"/>
      <c r="E54" s="493"/>
      <c r="F54" s="493"/>
      <c r="G54" s="493"/>
      <c r="H54" s="493"/>
      <c r="I54" s="493"/>
      <c r="J54" s="493"/>
      <c r="K54" s="493"/>
      <c r="L54" s="493"/>
      <c r="M54" s="494"/>
      <c r="N54" s="2983"/>
      <c r="O54" s="2983"/>
      <c r="P54" s="2991"/>
      <c r="Q54" s="2968"/>
      <c r="R54" s="2954"/>
      <c r="S54" s="2954"/>
      <c r="T54" s="2954"/>
      <c r="U54" s="2954"/>
      <c r="V54" s="2954"/>
      <c r="W54" s="2954"/>
      <c r="X54" s="2954"/>
      <c r="Y54" s="2954"/>
      <c r="Z54" s="2954"/>
      <c r="AA54" s="2954"/>
      <c r="AB54" s="2954"/>
      <c r="AC54" s="2954"/>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2"/>
      <c r="O55" s="2982"/>
      <c r="P55" s="2991"/>
      <c r="Q55" s="2968"/>
      <c r="R55" s="2954"/>
      <c r="S55" s="2954"/>
      <c r="T55" s="2954"/>
      <c r="U55" s="2954"/>
      <c r="V55" s="2954"/>
      <c r="W55" s="2954"/>
      <c r="X55" s="2954"/>
      <c r="Y55" s="2954"/>
      <c r="Z55" s="2954"/>
      <c r="AA55" s="2954"/>
      <c r="AB55" s="2954"/>
      <c r="AC55" s="295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3"/>
      <c r="O56" s="2983"/>
      <c r="P56" s="2991"/>
      <c r="Q56" s="2968"/>
      <c r="R56" s="2954"/>
      <c r="S56" s="2954"/>
      <c r="T56" s="2954"/>
      <c r="U56" s="2954"/>
      <c r="V56" s="2954"/>
      <c r="W56" s="2954"/>
      <c r="X56" s="2954"/>
      <c r="Y56" s="2954"/>
      <c r="Z56" s="2954"/>
      <c r="AA56" s="2954"/>
      <c r="AB56" s="2954"/>
      <c r="AC56" s="2954"/>
    </row>
    <row r="57" spans="1:29" ht="15.75" thickTop="1">
      <c r="A57" s="491"/>
      <c r="B57" s="616">
        <f>B11</f>
        <v>111</v>
      </c>
      <c r="C57" s="506"/>
      <c r="D57" s="506"/>
      <c r="E57" s="506"/>
      <c r="F57" s="506"/>
      <c r="G57" s="506"/>
      <c r="H57" s="506"/>
      <c r="I57" s="506"/>
      <c r="J57" s="506"/>
      <c r="K57" s="507"/>
      <c r="L57" s="508"/>
      <c r="M57" s="509"/>
      <c r="N57" s="2982"/>
      <c r="O57" s="2982"/>
      <c r="P57" s="2991"/>
      <c r="Q57" s="2968"/>
      <c r="R57" s="2954"/>
      <c r="S57" s="2954"/>
      <c r="T57" s="2954"/>
      <c r="U57" s="2954"/>
      <c r="V57" s="2954"/>
      <c r="W57" s="2954"/>
      <c r="X57" s="2954"/>
      <c r="Y57" s="2954"/>
      <c r="Z57" s="2954"/>
      <c r="AA57" s="2954"/>
      <c r="AB57" s="2954"/>
      <c r="AC57" s="2954"/>
    </row>
    <row r="58" spans="1:29" ht="15.75" thickBot="1">
      <c r="A58" s="491"/>
      <c r="B58" s="492"/>
      <c r="C58" s="517"/>
      <c r="D58" s="493"/>
      <c r="E58" s="493"/>
      <c r="F58" s="493"/>
      <c r="G58" s="493"/>
      <c r="H58" s="493"/>
      <c r="I58" s="493"/>
      <c r="J58" s="493"/>
      <c r="K58" s="493"/>
      <c r="L58" s="493"/>
      <c r="M58" s="494"/>
      <c r="N58" s="2983"/>
      <c r="O58" s="2983"/>
      <c r="P58" s="2991"/>
      <c r="Q58" s="2968"/>
      <c r="R58" s="2954"/>
      <c r="S58" s="2954"/>
      <c r="T58" s="2954"/>
      <c r="U58" s="2954"/>
      <c r="V58" s="2954"/>
      <c r="W58" s="2954"/>
      <c r="X58" s="2954"/>
      <c r="Y58" s="2954"/>
      <c r="Z58" s="2954"/>
      <c r="AA58" s="2954"/>
      <c r="AB58" s="2954"/>
      <c r="AC58" s="2954"/>
    </row>
    <row r="59" spans="1:29" s="430" customFormat="1" ht="15.75" thickTop="1">
      <c r="A59" s="510"/>
      <c r="B59" s="495">
        <f>B12</f>
        <v>111</v>
      </c>
      <c r="C59" s="506"/>
      <c r="D59" s="506"/>
      <c r="E59" s="506"/>
      <c r="F59" s="506"/>
      <c r="G59" s="511"/>
      <c r="H59" s="512"/>
      <c r="I59" s="512"/>
      <c r="J59" s="512"/>
      <c r="K59" s="512"/>
      <c r="L59" s="513"/>
      <c r="M59" s="514"/>
      <c r="N59" s="2984"/>
      <c r="O59" s="2984"/>
      <c r="P59" s="2992"/>
      <c r="Q59" s="2975"/>
      <c r="R59" s="2976"/>
      <c r="S59" s="2976"/>
      <c r="T59" s="2976"/>
      <c r="U59" s="2976"/>
      <c r="V59" s="2976"/>
      <c r="W59" s="2976"/>
      <c r="X59" s="2976"/>
      <c r="Y59" s="2976"/>
      <c r="Z59" s="2976"/>
      <c r="AA59" s="2976"/>
      <c r="AB59" s="2976"/>
      <c r="AC59" s="2976"/>
    </row>
    <row r="60" spans="1:29" s="430" customFormat="1" ht="15.75" thickBot="1">
      <c r="A60" s="510"/>
      <c r="B60" s="500"/>
      <c r="C60" s="517"/>
      <c r="D60" s="493"/>
      <c r="E60" s="493"/>
      <c r="F60" s="493"/>
      <c r="G60" s="493"/>
      <c r="H60" s="493"/>
      <c r="I60" s="493"/>
      <c r="J60" s="493"/>
      <c r="K60" s="493"/>
      <c r="L60" s="493"/>
      <c r="M60" s="494"/>
      <c r="N60" s="2983"/>
      <c r="O60" s="2983"/>
      <c r="P60" s="2992"/>
      <c r="Q60" s="2975"/>
      <c r="R60" s="2976"/>
      <c r="S60" s="2976"/>
      <c r="T60" s="2976"/>
      <c r="U60" s="2976"/>
      <c r="V60" s="2976"/>
      <c r="W60" s="2976"/>
      <c r="X60" s="2976"/>
      <c r="Y60" s="2976"/>
      <c r="Z60" s="2976"/>
      <c r="AA60" s="2976"/>
      <c r="AB60" s="2976"/>
      <c r="AC60" s="2976"/>
    </row>
    <row r="61" spans="1:29" s="430" customFormat="1" ht="15.75" thickTop="1">
      <c r="A61" s="510"/>
      <c r="B61" s="495">
        <f>B13</f>
        <v>111</v>
      </c>
      <c r="C61" s="511"/>
      <c r="D61" s="511"/>
      <c r="E61" s="511"/>
      <c r="F61" s="511"/>
      <c r="G61" s="511"/>
      <c r="H61" s="512"/>
      <c r="I61" s="512"/>
      <c r="J61" s="512"/>
      <c r="K61" s="512"/>
      <c r="L61" s="513"/>
      <c r="M61" s="514"/>
      <c r="N61" s="2984"/>
      <c r="O61" s="2984"/>
      <c r="P61" s="2993"/>
      <c r="Q61" s="2978"/>
      <c r="R61" s="2976"/>
      <c r="S61" s="2976"/>
      <c r="T61" s="2976"/>
      <c r="U61" s="2976"/>
      <c r="V61" s="2976"/>
      <c r="W61" s="2976"/>
      <c r="X61" s="2976"/>
      <c r="Y61" s="2976"/>
      <c r="Z61" s="2976"/>
      <c r="AA61" s="2976"/>
      <c r="AB61" s="2976"/>
      <c r="AC61" s="2976"/>
    </row>
    <row r="62" spans="1:29" s="430" customFormat="1" ht="15.75" thickBot="1">
      <c r="A62" s="510"/>
      <c r="B62" s="500"/>
      <c r="C62" s="517"/>
      <c r="D62" s="517"/>
      <c r="E62" s="517"/>
      <c r="F62" s="517"/>
      <c r="G62" s="517"/>
      <c r="H62" s="519"/>
      <c r="I62" s="519"/>
      <c r="J62" s="519"/>
      <c r="K62" s="519"/>
      <c r="L62" s="519"/>
      <c r="M62" s="520"/>
      <c r="N62" s="2984"/>
      <c r="O62" s="2984"/>
      <c r="P62" s="2992"/>
      <c r="Q62" s="2975"/>
      <c r="R62" s="2976"/>
      <c r="S62" s="2976"/>
      <c r="T62" s="2976"/>
      <c r="U62" s="2976"/>
      <c r="V62" s="2976"/>
      <c r="W62" s="2976"/>
      <c r="X62" s="2976"/>
      <c r="Y62" s="2976"/>
      <c r="Z62" s="2976"/>
      <c r="AA62" s="2976"/>
      <c r="AB62" s="2976"/>
      <c r="AC62" s="2976"/>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2"/>
      <c r="O63" s="2982"/>
      <c r="P63" s="2995"/>
      <c r="Q63" s="2968"/>
      <c r="R63" s="2954"/>
      <c r="S63" s="2954"/>
      <c r="T63" s="2954"/>
      <c r="U63" s="2954"/>
      <c r="V63" s="2954"/>
      <c r="W63" s="2954"/>
      <c r="X63" s="2954"/>
      <c r="Y63" s="2954"/>
      <c r="Z63" s="2954"/>
      <c r="AA63" s="2954"/>
      <c r="AB63" s="2954"/>
      <c r="AC63" s="295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3"/>
      <c r="O64" s="2983"/>
      <c r="P64" s="2991"/>
      <c r="Q64" s="2968"/>
      <c r="R64" s="2954"/>
      <c r="S64" s="2954"/>
      <c r="T64" s="2954"/>
      <c r="U64" s="2954"/>
      <c r="V64" s="2954"/>
      <c r="W64" s="2954"/>
      <c r="X64" s="2954"/>
      <c r="Y64" s="2954"/>
      <c r="Z64" s="2954"/>
      <c r="AA64" s="2954"/>
      <c r="AB64" s="2954"/>
      <c r="AC64" s="2954"/>
    </row>
    <row r="65" spans="1:29" ht="15.75" thickTop="1">
      <c r="A65" s="491"/>
      <c r="B65" s="495" t="s">
        <v>2424</v>
      </c>
      <c r="C65" s="535" t="s">
        <v>2418</v>
      </c>
      <c r="D65" s="535" t="s">
        <v>2419</v>
      </c>
      <c r="E65" s="535" t="s">
        <v>2420</v>
      </c>
      <c r="F65" s="535" t="s">
        <v>2421</v>
      </c>
      <c r="G65" s="535" t="s">
        <v>2422</v>
      </c>
      <c r="H65" s="496"/>
      <c r="I65" s="496"/>
      <c r="J65" s="496"/>
      <c r="K65" s="497"/>
      <c r="L65" s="498"/>
      <c r="M65" s="499"/>
      <c r="N65" s="2982"/>
      <c r="O65" s="2982"/>
      <c r="P65" s="2991"/>
      <c r="Q65" s="2968"/>
      <c r="R65" s="2954"/>
      <c r="S65" s="2954"/>
      <c r="T65" s="2954"/>
      <c r="U65" s="2954"/>
      <c r="V65" s="2954"/>
      <c r="W65" s="2954"/>
      <c r="X65" s="2954"/>
      <c r="Y65" s="2954"/>
      <c r="Z65" s="2954"/>
      <c r="AA65" s="2954"/>
      <c r="AB65" s="2954"/>
      <c r="AC65" s="295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3"/>
      <c r="O66" s="2983"/>
      <c r="P66" s="2991"/>
      <c r="Q66" s="2968"/>
      <c r="R66" s="2954"/>
      <c r="S66" s="2954"/>
      <c r="T66" s="2954"/>
      <c r="U66" s="2954"/>
      <c r="V66" s="2954"/>
      <c r="W66" s="2954"/>
      <c r="X66" s="2954"/>
      <c r="Y66" s="2954"/>
      <c r="Z66" s="2954"/>
      <c r="AA66" s="2954"/>
      <c r="AB66" s="2954"/>
      <c r="AC66" s="2954"/>
    </row>
    <row r="67" spans="1:29" ht="15.75" thickTop="1">
      <c r="A67" s="491"/>
      <c r="B67" s="503" t="s">
        <v>2510</v>
      </c>
      <c r="C67" s="616" t="s">
        <v>2496</v>
      </c>
      <c r="D67" s="616" t="s">
        <v>2497</v>
      </c>
      <c r="E67" s="616" t="s">
        <v>2498</v>
      </c>
      <c r="F67" s="616" t="s">
        <v>2499</v>
      </c>
      <c r="G67" s="616" t="s">
        <v>2500</v>
      </c>
      <c r="H67" s="496"/>
      <c r="I67" s="496"/>
      <c r="J67" s="496"/>
      <c r="K67" s="496"/>
      <c r="L67" s="496"/>
      <c r="M67" s="1291"/>
      <c r="N67" s="2983"/>
      <c r="O67" s="2983"/>
      <c r="P67" s="2991"/>
      <c r="Q67" s="2968"/>
      <c r="R67" s="2954"/>
      <c r="S67" s="2954"/>
      <c r="T67" s="2954"/>
      <c r="U67" s="2954"/>
      <c r="V67" s="2954"/>
      <c r="W67" s="2954"/>
      <c r="X67" s="2954"/>
      <c r="Y67" s="2954"/>
      <c r="Z67" s="2954"/>
      <c r="AA67" s="2954"/>
      <c r="AB67" s="2954"/>
      <c r="AC67" s="295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3"/>
      <c r="O68" s="2983"/>
      <c r="P68" s="2991"/>
      <c r="Q68" s="2968"/>
      <c r="R68" s="2954"/>
      <c r="S68" s="2954"/>
      <c r="T68" s="2954"/>
      <c r="U68" s="2954"/>
      <c r="V68" s="2954"/>
      <c r="W68" s="2954"/>
      <c r="X68" s="2954"/>
      <c r="Y68" s="2954"/>
      <c r="Z68" s="2954"/>
      <c r="AA68" s="2954"/>
      <c r="AB68" s="2954"/>
      <c r="AC68" s="2954"/>
    </row>
    <row r="69" spans="1:29" ht="15.75" thickTop="1">
      <c r="A69" s="491"/>
      <c r="B69" s="495" t="s">
        <v>2430</v>
      </c>
      <c r="C69" s="535" t="s">
        <v>2418</v>
      </c>
      <c r="D69" s="535" t="s">
        <v>2419</v>
      </c>
      <c r="E69" s="535" t="s">
        <v>2420</v>
      </c>
      <c r="F69" s="535" t="s">
        <v>2421</v>
      </c>
      <c r="G69" s="535" t="s">
        <v>2422</v>
      </c>
      <c r="H69" s="496"/>
      <c r="I69" s="496"/>
      <c r="J69" s="496"/>
      <c r="K69" s="497"/>
      <c r="L69" s="498"/>
      <c r="M69" s="499"/>
      <c r="N69" s="2982"/>
      <c r="O69" s="2982"/>
      <c r="P69" s="2991"/>
      <c r="Q69" s="2968"/>
      <c r="R69" s="2954"/>
      <c r="S69" s="2954"/>
      <c r="T69" s="2954"/>
      <c r="U69" s="2954"/>
      <c r="V69" s="2954"/>
      <c r="W69" s="2954"/>
      <c r="X69" s="2954"/>
      <c r="Y69" s="2954"/>
      <c r="Z69" s="2954"/>
      <c r="AA69" s="2954"/>
      <c r="AB69" s="2954"/>
      <c r="AC69" s="295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3"/>
      <c r="O70" s="2983"/>
      <c r="P70" s="2991"/>
      <c r="Q70" s="2968"/>
      <c r="R70" s="2954"/>
      <c r="S70" s="2954"/>
      <c r="T70" s="2954"/>
      <c r="U70" s="2954"/>
      <c r="V70" s="2954"/>
      <c r="W70" s="2954"/>
      <c r="X70" s="2954"/>
      <c r="Y70" s="2954"/>
      <c r="Z70" s="2954"/>
      <c r="AA70" s="2954"/>
      <c r="AB70" s="2954"/>
      <c r="AC70" s="2954"/>
    </row>
    <row r="71" spans="1:29" ht="15.75" thickTop="1">
      <c r="A71" s="491"/>
      <c r="B71" s="495" t="s">
        <v>2550</v>
      </c>
      <c r="C71" s="511"/>
      <c r="D71" s="511"/>
      <c r="E71" s="511"/>
      <c r="F71" s="511"/>
      <c r="G71" s="511"/>
      <c r="H71" s="540"/>
      <c r="I71" s="540"/>
      <c r="J71" s="540"/>
      <c r="K71" s="541"/>
      <c r="L71" s="542"/>
      <c r="M71" s="543"/>
      <c r="N71" s="2982"/>
      <c r="O71" s="2982"/>
      <c r="P71" s="2991"/>
      <c r="Q71" s="2968"/>
      <c r="R71" s="2954"/>
      <c r="S71" s="2954"/>
      <c r="T71" s="2954"/>
      <c r="U71" s="2954"/>
      <c r="V71" s="2954"/>
      <c r="W71" s="2954"/>
      <c r="X71" s="2954"/>
      <c r="Y71" s="2954"/>
      <c r="Z71" s="2954"/>
      <c r="AA71" s="2954"/>
      <c r="AB71" s="2954"/>
      <c r="AC71" s="295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3"/>
      <c r="O72" s="2983"/>
      <c r="P72" s="2991"/>
      <c r="Q72" s="2968"/>
      <c r="R72" s="2954"/>
      <c r="S72" s="2954"/>
      <c r="T72" s="2954"/>
      <c r="U72" s="2954"/>
      <c r="V72" s="2954"/>
      <c r="W72" s="2954"/>
      <c r="X72" s="2954"/>
      <c r="Y72" s="2954"/>
      <c r="Z72" s="2954"/>
      <c r="AA72" s="2954"/>
      <c r="AB72" s="2954"/>
      <c r="AC72" s="2954"/>
    </row>
    <row r="73" spans="1:29" s="113" customFormat="1" ht="15.75" thickTop="1">
      <c r="A73" s="536"/>
      <c r="B73" s="495">
        <f>B23</f>
        <v>111</v>
      </c>
      <c r="C73" s="506"/>
      <c r="D73" s="506"/>
      <c r="E73" s="506"/>
      <c r="F73" s="506"/>
      <c r="G73" s="511"/>
      <c r="H73" s="511"/>
      <c r="I73" s="511"/>
      <c r="J73" s="511"/>
      <c r="K73" s="511"/>
      <c r="L73" s="537"/>
      <c r="M73" s="538"/>
      <c r="N73" s="2981"/>
      <c r="O73" s="2981"/>
      <c r="P73" s="2991"/>
      <c r="Q73" s="2968"/>
      <c r="R73" s="2888"/>
      <c r="S73" s="2888"/>
      <c r="T73" s="2888"/>
      <c r="U73" s="2888"/>
      <c r="V73" s="2888"/>
      <c r="W73" s="2888"/>
      <c r="X73" s="2888"/>
      <c r="Y73" s="2888"/>
      <c r="Z73" s="2888"/>
      <c r="AA73" s="2888"/>
      <c r="AB73" s="2888"/>
      <c r="AC73" s="2888"/>
    </row>
    <row r="74" spans="1:29" s="113" customFormat="1" ht="15.75" thickBot="1">
      <c r="A74" s="536"/>
      <c r="B74" s="500"/>
      <c r="C74" s="517"/>
      <c r="D74" s="493"/>
      <c r="E74" s="493"/>
      <c r="F74" s="493"/>
      <c r="G74" s="493"/>
      <c r="H74" s="493"/>
      <c r="I74" s="493"/>
      <c r="J74" s="493"/>
      <c r="K74" s="493"/>
      <c r="L74" s="493"/>
      <c r="M74" s="494"/>
      <c r="N74" s="2983"/>
      <c r="O74" s="2983"/>
      <c r="P74" s="2991"/>
      <c r="Q74" s="2968"/>
      <c r="R74" s="2888"/>
      <c r="S74" s="2888"/>
      <c r="T74" s="2888"/>
      <c r="U74" s="2888"/>
      <c r="V74" s="2888"/>
      <c r="W74" s="2888"/>
      <c r="X74" s="2888"/>
      <c r="Y74" s="2888"/>
      <c r="Z74" s="2888"/>
      <c r="AA74" s="2888"/>
      <c r="AB74" s="2888"/>
      <c r="AC74" s="2888"/>
    </row>
    <row r="75" spans="1:29" s="113" customFormat="1" ht="15.75" thickTop="1">
      <c r="A75" s="536"/>
      <c r="B75" s="495">
        <f>B24</f>
        <v>111</v>
      </c>
      <c r="C75" s="506"/>
      <c r="D75" s="506"/>
      <c r="E75" s="506"/>
      <c r="F75" s="506"/>
      <c r="G75" s="511"/>
      <c r="H75" s="511"/>
      <c r="I75" s="511"/>
      <c r="J75" s="511"/>
      <c r="K75" s="511"/>
      <c r="L75" s="511"/>
      <c r="M75" s="538"/>
      <c r="N75" s="2981"/>
      <c r="O75" s="2981"/>
      <c r="P75" s="2991"/>
      <c r="Q75" s="2968"/>
      <c r="R75" s="2888"/>
      <c r="S75" s="2888"/>
      <c r="T75" s="2888"/>
      <c r="U75" s="2888"/>
      <c r="V75" s="2888"/>
      <c r="W75" s="2888"/>
      <c r="X75" s="2888"/>
      <c r="Y75" s="2888"/>
      <c r="Z75" s="2888"/>
      <c r="AA75" s="2888"/>
      <c r="AB75" s="2888"/>
      <c r="AC75" s="2888"/>
    </row>
    <row r="76" spans="1:29" s="113" customFormat="1" ht="15.75" thickBot="1">
      <c r="A76" s="536"/>
      <c r="B76" s="500"/>
      <c r="C76" s="517"/>
      <c r="D76" s="493"/>
      <c r="E76" s="493"/>
      <c r="F76" s="493"/>
      <c r="G76" s="493"/>
      <c r="H76" s="493"/>
      <c r="I76" s="493"/>
      <c r="J76" s="493"/>
      <c r="K76" s="493"/>
      <c r="L76" s="493"/>
      <c r="M76" s="494"/>
      <c r="N76" s="2983"/>
      <c r="O76" s="2983"/>
      <c r="P76" s="2991"/>
      <c r="Q76" s="2968"/>
      <c r="R76" s="2888"/>
      <c r="S76" s="2888"/>
      <c r="T76" s="2888"/>
      <c r="U76" s="2888"/>
      <c r="V76" s="2888"/>
      <c r="W76" s="2888"/>
      <c r="X76" s="2888"/>
      <c r="Y76" s="2888"/>
      <c r="Z76" s="2888"/>
      <c r="AA76" s="2888"/>
      <c r="AB76" s="2888"/>
      <c r="AC76" s="2888"/>
    </row>
    <row r="77" spans="1:29" s="430" customFormat="1" ht="15.75" thickTop="1">
      <c r="A77" s="510"/>
      <c r="B77" s="495">
        <f>B25</f>
        <v>111</v>
      </c>
      <c r="C77" s="511"/>
      <c r="D77" s="511"/>
      <c r="E77" s="511"/>
      <c r="F77" s="511"/>
      <c r="G77" s="511"/>
      <c r="H77" s="512"/>
      <c r="I77" s="512"/>
      <c r="J77" s="512"/>
      <c r="K77" s="512"/>
      <c r="L77" s="513"/>
      <c r="M77" s="514"/>
      <c r="N77" s="2984"/>
      <c r="O77" s="2984"/>
      <c r="P77" s="2992"/>
      <c r="Q77" s="2975"/>
      <c r="R77" s="2976"/>
      <c r="S77" s="2976"/>
      <c r="T77" s="2976"/>
      <c r="U77" s="2976"/>
      <c r="V77" s="2976"/>
      <c r="W77" s="2976"/>
      <c r="X77" s="2976"/>
      <c r="Y77" s="2976"/>
      <c r="Z77" s="2976"/>
      <c r="AA77" s="2976"/>
      <c r="AB77" s="2976"/>
      <c r="AC77" s="2976"/>
    </row>
    <row r="78" spans="1:29" s="430" customFormat="1" ht="15.75" thickBot="1">
      <c r="A78" s="510"/>
      <c r="B78" s="500"/>
      <c r="C78" s="517"/>
      <c r="D78" s="517"/>
      <c r="E78" s="517"/>
      <c r="F78" s="517"/>
      <c r="G78" s="493"/>
      <c r="H78" s="493"/>
      <c r="I78" s="493"/>
      <c r="J78" s="493"/>
      <c r="K78" s="493"/>
      <c r="L78" s="493"/>
      <c r="M78" s="494"/>
      <c r="N78" s="2984"/>
      <c r="O78" s="2984"/>
      <c r="P78" s="2992"/>
      <c r="Q78" s="2975"/>
      <c r="R78" s="2976"/>
      <c r="S78" s="2976"/>
      <c r="T78" s="2976"/>
      <c r="U78" s="2976"/>
      <c r="V78" s="2976"/>
      <c r="W78" s="2976"/>
      <c r="X78" s="2976"/>
      <c r="Y78" s="2976"/>
      <c r="Z78" s="2976"/>
      <c r="AA78" s="2976"/>
      <c r="AB78" s="2976"/>
      <c r="AC78" s="2976"/>
    </row>
    <row r="79" spans="1:29" ht="27.75" thickTop="1">
      <c r="A79" s="484" t="s">
        <v>2384</v>
      </c>
      <c r="B79" s="485" t="s">
        <v>2551</v>
      </c>
      <c r="C79" s="486">
        <f>C26</f>
        <v>0</v>
      </c>
      <c r="D79" s="487"/>
      <c r="E79" s="487"/>
      <c r="F79" s="487"/>
      <c r="G79" s="487"/>
      <c r="H79" s="487"/>
      <c r="I79" s="487"/>
      <c r="J79" s="487"/>
      <c r="K79" s="488"/>
      <c r="L79" s="489"/>
      <c r="M79" s="490"/>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1"/>
      <c r="B81" s="495" t="s">
        <v>2552</v>
      </c>
      <c r="C81" s="617"/>
      <c r="D81" s="617"/>
      <c r="E81" s="617"/>
      <c r="F81" s="617"/>
      <c r="G81" s="617"/>
      <c r="H81" s="617"/>
      <c r="I81" s="617"/>
      <c r="J81" s="617"/>
      <c r="K81" s="618"/>
      <c r="L81" s="619"/>
      <c r="M81" s="620"/>
      <c r="N81" s="2981"/>
      <c r="O81" s="2981"/>
      <c r="P81" s="2991"/>
      <c r="Q81" s="2968"/>
      <c r="R81" s="2954"/>
      <c r="S81" s="2954"/>
      <c r="T81" s="2954"/>
      <c r="U81" s="2954"/>
      <c r="V81" s="2954"/>
      <c r="W81" s="2954"/>
      <c r="X81" s="2954"/>
      <c r="Y81" s="2954"/>
      <c r="Z81" s="2954"/>
      <c r="AA81" s="2954"/>
      <c r="AB81" s="2954"/>
      <c r="AC81" s="2954"/>
    </row>
    <row r="82" spans="1:29" s="430" customFormat="1" ht="15.75" thickBot="1">
      <c r="A82" s="510"/>
      <c r="B82" s="500"/>
      <c r="C82" s="517"/>
      <c r="D82" s="493"/>
      <c r="E82" s="493"/>
      <c r="F82" s="493"/>
      <c r="G82" s="493"/>
      <c r="H82" s="493"/>
      <c r="I82" s="493"/>
      <c r="J82" s="493"/>
      <c r="K82" s="493"/>
      <c r="L82" s="493"/>
      <c r="M82" s="494"/>
      <c r="N82" s="2983"/>
      <c r="O82" s="2983"/>
      <c r="P82" s="2992"/>
      <c r="Q82" s="2975"/>
      <c r="R82" s="2976"/>
      <c r="S82" s="2976"/>
      <c r="T82" s="2976"/>
      <c r="U82" s="2976"/>
      <c r="V82" s="2976"/>
      <c r="W82" s="2976"/>
      <c r="X82" s="2976"/>
      <c r="Y82" s="2976"/>
      <c r="Z82" s="2976"/>
      <c r="AA82" s="2976"/>
      <c r="AB82" s="2976"/>
      <c r="AC82" s="2976"/>
    </row>
    <row r="83" spans="1:29" ht="15" thickTop="1">
      <c r="A83" s="556"/>
      <c r="B83" s="495" t="s">
        <v>2437</v>
      </c>
      <c r="C83" s="511"/>
      <c r="D83" s="511"/>
      <c r="E83" s="540"/>
      <c r="F83" s="540"/>
      <c r="G83" s="540"/>
      <c r="H83" s="540"/>
      <c r="I83" s="540"/>
      <c r="J83" s="540"/>
      <c r="K83" s="541"/>
      <c r="L83" s="542"/>
      <c r="M83" s="543"/>
      <c r="N83" s="2982"/>
      <c r="O83" s="2982"/>
      <c r="P83" s="2991"/>
      <c r="Q83" s="2968"/>
      <c r="R83" s="2954"/>
      <c r="S83" s="2954"/>
      <c r="T83" s="2954"/>
      <c r="U83" s="2954"/>
      <c r="V83" s="2954"/>
      <c r="W83" s="2954"/>
      <c r="X83" s="2954"/>
      <c r="Y83" s="2954"/>
      <c r="Z83" s="2954"/>
      <c r="AA83" s="2954"/>
      <c r="AB83" s="2954"/>
      <c r="AC83" s="295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2"/>
      <c r="O85" s="2982"/>
      <c r="P85" s="2991"/>
      <c r="Q85" s="2968"/>
      <c r="R85" s="2954"/>
      <c r="S85" s="2954"/>
      <c r="T85" s="2954"/>
      <c r="U85" s="2954"/>
      <c r="V85" s="2954"/>
      <c r="W85" s="2954"/>
      <c r="X85" s="2954"/>
      <c r="Y85" s="2954"/>
      <c r="Z85" s="2954"/>
      <c r="AA85" s="2954"/>
      <c r="AB85" s="2954"/>
      <c r="AC85" s="2954"/>
    </row>
    <row r="86" spans="1:29">
      <c r="A86" s="556"/>
      <c r="B86" s="503"/>
      <c r="C86" s="560">
        <v>0.5</v>
      </c>
      <c r="D86" s="560">
        <v>0.6</v>
      </c>
      <c r="E86" s="560">
        <v>0.7</v>
      </c>
      <c r="F86" s="560">
        <v>0.8</v>
      </c>
      <c r="G86" s="560">
        <v>0.9</v>
      </c>
      <c r="H86" s="560">
        <v>1.0001</v>
      </c>
      <c r="I86" s="579"/>
      <c r="J86" s="579"/>
      <c r="K86" s="580"/>
      <c r="L86" s="581"/>
      <c r="M86" s="582"/>
      <c r="N86" s="2982"/>
      <c r="O86" s="2982"/>
      <c r="P86" s="2991"/>
      <c r="Q86" s="2968"/>
      <c r="R86" s="2954"/>
      <c r="S86" s="2954"/>
      <c r="T86" s="2954"/>
      <c r="U86" s="2954"/>
      <c r="V86" s="2954"/>
      <c r="W86" s="2954"/>
      <c r="X86" s="2954"/>
      <c r="Y86" s="2954"/>
      <c r="Z86" s="2954"/>
      <c r="AA86" s="2954"/>
      <c r="AB86" s="2954"/>
      <c r="AC86" s="295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6"/>
      <c r="B88" s="503" t="s">
        <v>2554</v>
      </c>
      <c r="C88" s="487"/>
      <c r="D88" s="487"/>
      <c r="E88" s="487"/>
      <c r="F88" s="487"/>
      <c r="G88" s="487"/>
      <c r="H88" s="487"/>
      <c r="I88" s="487"/>
      <c r="J88" s="487"/>
      <c r="K88" s="488"/>
      <c r="L88" s="489"/>
      <c r="M88" s="490"/>
      <c r="N88" s="2982"/>
      <c r="O88" s="2982"/>
      <c r="P88" s="2991"/>
      <c r="Q88" s="2968"/>
      <c r="R88" s="2954"/>
      <c r="S88" s="2954"/>
      <c r="T88" s="2954"/>
      <c r="U88" s="2954"/>
      <c r="V88" s="2954"/>
      <c r="W88" s="2954"/>
      <c r="X88" s="2954"/>
      <c r="Y88" s="2954"/>
      <c r="Z88" s="2954"/>
      <c r="AA88" s="2954"/>
      <c r="AB88" s="2954"/>
      <c r="AC88" s="295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3"/>
      <c r="O89" s="2983"/>
      <c r="P89" s="2991"/>
      <c r="Q89" s="2968"/>
      <c r="R89" s="2954"/>
      <c r="S89" s="2954"/>
      <c r="T89" s="2954"/>
      <c r="U89" s="2954"/>
      <c r="V89" s="2954"/>
      <c r="W89" s="2954"/>
      <c r="X89" s="2954"/>
      <c r="Y89" s="2954"/>
      <c r="Z89" s="2954"/>
      <c r="AA89" s="2954"/>
      <c r="AB89" s="2954"/>
      <c r="AC89" s="2954"/>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4"/>
      <c r="O90" s="2984"/>
      <c r="P90" s="2992"/>
      <c r="Q90" s="2975"/>
      <c r="R90" s="2976"/>
      <c r="S90" s="2976"/>
      <c r="T90" s="2976"/>
      <c r="U90" s="2976"/>
      <c r="V90" s="2976"/>
      <c r="W90" s="2976"/>
      <c r="X90" s="2976"/>
      <c r="Y90" s="2976"/>
      <c r="Z90" s="2976"/>
      <c r="AA90" s="2976"/>
      <c r="AB90" s="2976"/>
      <c r="AC90" s="2976"/>
    </row>
    <row r="91" spans="1:29" s="430" customFormat="1">
      <c r="A91" s="550"/>
      <c r="B91" s="503"/>
      <c r="C91" s="552"/>
      <c r="D91" s="552"/>
      <c r="E91" s="552"/>
      <c r="F91" s="552"/>
      <c r="G91" s="552"/>
      <c r="H91" s="552"/>
      <c r="I91" s="552"/>
      <c r="J91" s="553"/>
      <c r="K91" s="553"/>
      <c r="L91" s="554"/>
      <c r="M91" s="555"/>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17"/>
      <c r="D92" s="493"/>
      <c r="E92" s="493"/>
      <c r="F92" s="493"/>
      <c r="G92" s="493"/>
      <c r="H92" s="493"/>
      <c r="I92" s="493"/>
      <c r="J92" s="493"/>
      <c r="K92" s="493"/>
      <c r="L92" s="493"/>
      <c r="M92" s="494"/>
      <c r="N92" s="2984"/>
      <c r="O92" s="2984"/>
      <c r="P92" s="2992"/>
      <c r="Q92" s="2975"/>
      <c r="R92" s="2976"/>
      <c r="S92" s="2976"/>
      <c r="T92" s="2976"/>
      <c r="U92" s="2976"/>
      <c r="V92" s="2976"/>
      <c r="W92" s="2976"/>
      <c r="X92" s="2976"/>
      <c r="Y92" s="2976"/>
      <c r="Z92" s="2976"/>
      <c r="AA92" s="2976"/>
      <c r="AB92" s="2976"/>
      <c r="AC92" s="2976"/>
    </row>
    <row r="93" spans="1:29" ht="15" thickTop="1">
      <c r="A93" s="556"/>
      <c r="B93" s="495" t="s">
        <v>2556</v>
      </c>
      <c r="C93" s="511"/>
      <c r="D93" s="511"/>
      <c r="E93" s="540"/>
      <c r="F93" s="540"/>
      <c r="G93" s="540"/>
      <c r="H93" s="540"/>
      <c r="I93" s="540"/>
      <c r="J93" s="540"/>
      <c r="K93" s="541"/>
      <c r="L93" s="542"/>
      <c r="M93" s="543"/>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6"/>
      <c r="B95" s="495" t="s">
        <v>2557</v>
      </c>
      <c r="C95" s="487"/>
      <c r="D95" s="487"/>
      <c r="E95" s="487"/>
      <c r="F95" s="487"/>
      <c r="G95" s="487"/>
      <c r="H95" s="487"/>
      <c r="I95" s="487"/>
      <c r="J95" s="487"/>
      <c r="K95" s="488"/>
      <c r="L95" s="489"/>
      <c r="M95" s="490"/>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3"/>
      <c r="O96" s="2983"/>
      <c r="P96" s="2991"/>
      <c r="Q96" s="2968"/>
      <c r="R96" s="2954"/>
      <c r="S96" s="2954"/>
      <c r="T96" s="2954"/>
      <c r="U96" s="2954"/>
      <c r="V96" s="2954"/>
      <c r="W96" s="2954"/>
      <c r="X96" s="2954"/>
      <c r="Y96" s="2954"/>
      <c r="Z96" s="2954"/>
      <c r="AA96" s="2954"/>
      <c r="AB96" s="2954"/>
      <c r="AC96" s="2954"/>
    </row>
    <row r="97" spans="1:29" ht="15" thickTop="1">
      <c r="A97" s="556"/>
      <c r="B97" s="592">
        <f>B34</f>
        <v>111</v>
      </c>
      <c r="C97" s="506"/>
      <c r="D97" s="506"/>
      <c r="E97" s="506"/>
      <c r="F97" s="506"/>
      <c r="G97" s="511"/>
      <c r="H97" s="512"/>
      <c r="I97" s="512"/>
      <c r="J97" s="512"/>
      <c r="K97" s="512"/>
      <c r="L97" s="513"/>
      <c r="M97" s="514"/>
      <c r="N97" s="2983"/>
      <c r="O97" s="2983"/>
      <c r="P97" s="2996"/>
      <c r="Q97" s="2997"/>
      <c r="R97" s="2954"/>
      <c r="S97" s="2954"/>
      <c r="T97" s="2954"/>
      <c r="U97" s="2954"/>
      <c r="V97" s="2954"/>
      <c r="W97" s="2954"/>
      <c r="X97" s="2954"/>
      <c r="Y97" s="2954"/>
      <c r="Z97" s="2954"/>
      <c r="AA97" s="2954"/>
      <c r="AB97" s="2954"/>
      <c r="AC97" s="2954"/>
    </row>
    <row r="98" spans="1:29" ht="15.75" thickBot="1">
      <c r="A98" s="491"/>
      <c r="B98" s="500"/>
      <c r="C98" s="517"/>
      <c r="D98" s="493"/>
      <c r="E98" s="493"/>
      <c r="F98" s="493"/>
      <c r="G98" s="517"/>
      <c r="H98" s="519"/>
      <c r="I98" s="519"/>
      <c r="J98" s="519"/>
      <c r="K98" s="519"/>
      <c r="L98" s="519"/>
      <c r="M98" s="520"/>
      <c r="N98" s="2983"/>
      <c r="O98" s="2983"/>
      <c r="P98" s="2991"/>
      <c r="Q98" s="2968"/>
      <c r="R98" s="2954"/>
      <c r="S98" s="2954"/>
      <c r="T98" s="2954"/>
      <c r="U98" s="2954"/>
      <c r="V98" s="2954"/>
      <c r="W98" s="2954"/>
      <c r="X98" s="2954"/>
      <c r="Y98" s="2954"/>
      <c r="Z98" s="2954"/>
      <c r="AA98" s="2954"/>
      <c r="AB98" s="2954"/>
      <c r="AC98" s="2954"/>
    </row>
    <row r="99" spans="1:29" s="430" customFormat="1" ht="15" thickTop="1">
      <c r="A99" s="550"/>
      <c r="B99" s="495">
        <f>B35</f>
        <v>111</v>
      </c>
      <c r="C99" s="506"/>
      <c r="D99" s="506"/>
      <c r="E99" s="506"/>
      <c r="F99" s="506"/>
      <c r="G99" s="511"/>
      <c r="H99" s="512"/>
      <c r="I99" s="512"/>
      <c r="J99" s="512"/>
      <c r="K99" s="512"/>
      <c r="L99" s="513"/>
      <c r="M99" s="514"/>
      <c r="N99" s="2984"/>
      <c r="O99" s="2984"/>
      <c r="P99" s="2992"/>
      <c r="Q99" s="2975"/>
      <c r="R99" s="2976"/>
      <c r="S99" s="2976"/>
      <c r="T99" s="2976"/>
      <c r="U99" s="2976"/>
      <c r="V99" s="2976"/>
      <c r="W99" s="2976"/>
      <c r="X99" s="2976"/>
      <c r="Y99" s="2976"/>
      <c r="Z99" s="2976"/>
      <c r="AA99" s="2976"/>
      <c r="AB99" s="2976"/>
      <c r="AC99" s="2976"/>
    </row>
    <row r="100" spans="1:29" s="430" customFormat="1" ht="15.75" thickBot="1">
      <c r="A100" s="510"/>
      <c r="B100" s="492"/>
      <c r="C100" s="517"/>
      <c r="D100" s="493"/>
      <c r="E100" s="493"/>
      <c r="F100" s="493"/>
      <c r="G100" s="517"/>
      <c r="H100" s="519"/>
      <c r="I100" s="519"/>
      <c r="J100" s="519"/>
      <c r="K100" s="519"/>
      <c r="L100" s="519"/>
      <c r="M100" s="520"/>
      <c r="N100" s="2984"/>
      <c r="O100" s="2984"/>
      <c r="P100" s="2992"/>
      <c r="Q100" s="2975"/>
      <c r="R100" s="2976"/>
      <c r="S100" s="2976"/>
      <c r="T100" s="2976"/>
      <c r="U100" s="2976"/>
      <c r="V100" s="2976"/>
      <c r="W100" s="2976"/>
      <c r="X100" s="2976"/>
      <c r="Y100" s="2976"/>
      <c r="Z100" s="2976"/>
      <c r="AA100" s="2976"/>
      <c r="AB100" s="2976"/>
      <c r="AC100" s="2976"/>
    </row>
    <row r="101" spans="1:29" ht="15" thickTop="1">
      <c r="A101" s="556"/>
      <c r="B101" s="495">
        <f>B36</f>
        <v>111</v>
      </c>
      <c r="C101" s="511"/>
      <c r="D101" s="511"/>
      <c r="E101" s="511"/>
      <c r="F101" s="511"/>
      <c r="G101" s="511"/>
      <c r="H101" s="512"/>
      <c r="I101" s="512"/>
      <c r="J101" s="512"/>
      <c r="K101" s="512"/>
      <c r="L101" s="513"/>
      <c r="M101" s="514"/>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17"/>
      <c r="D102" s="517"/>
      <c r="E102" s="517"/>
      <c r="F102" s="517"/>
      <c r="G102" s="517"/>
      <c r="H102" s="519"/>
      <c r="I102" s="519"/>
      <c r="J102" s="519"/>
      <c r="K102" s="519"/>
      <c r="L102" s="519"/>
      <c r="M102" s="520"/>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298" t="s">
        <v>2467</v>
      </c>
      <c r="D4" s="3299"/>
      <c r="E4" s="3300" t="s">
        <v>2468</v>
      </c>
      <c r="F4" s="3301"/>
      <c r="G4" s="3298" t="s">
        <v>2469</v>
      </c>
      <c r="H4" s="3299"/>
      <c r="I4" s="3298" t="s">
        <v>2470</v>
      </c>
      <c r="J4" s="3299"/>
      <c r="K4" s="567" t="s">
        <v>2471</v>
      </c>
      <c r="L4" s="2944"/>
      <c r="M4" s="2945"/>
      <c r="N4" s="2945"/>
      <c r="O4" s="2945"/>
      <c r="P4" s="3302" t="s">
        <v>2472</v>
      </c>
      <c r="Q4" s="3303"/>
      <c r="R4" s="3308" t="s">
        <v>2468</v>
      </c>
      <c r="S4" s="3309"/>
      <c r="T4" s="3308" t="s">
        <v>2469</v>
      </c>
      <c r="U4" s="3309"/>
      <c r="V4" s="3314" t="s">
        <v>2470</v>
      </c>
      <c r="W4" s="3314"/>
      <c r="X4" s="1539"/>
      <c r="Y4" s="3308" t="s">
        <v>2472</v>
      </c>
      <c r="Z4" s="3309"/>
      <c r="AA4" s="3295" t="s">
        <v>2468</v>
      </c>
      <c r="AB4" s="3296" t="s">
        <v>2469</v>
      </c>
      <c r="AC4" s="3295" t="s">
        <v>2470</v>
      </c>
    </row>
    <row r="5" spans="1:29" ht="15">
      <c r="A5" s="364"/>
      <c r="B5" s="365"/>
      <c r="C5" s="3317" t="s">
        <v>2363</v>
      </c>
      <c r="D5" s="3318"/>
      <c r="E5" s="3324" t="s">
        <v>2364</v>
      </c>
      <c r="F5" s="3325"/>
      <c r="G5" s="3317" t="s">
        <v>2365</v>
      </c>
      <c r="H5" s="3318"/>
      <c r="I5" s="3317" t="s">
        <v>2366</v>
      </c>
      <c r="J5" s="3318"/>
      <c r="K5" s="567"/>
      <c r="L5" s="2944"/>
      <c r="M5" s="2945"/>
      <c r="N5" s="2945"/>
      <c r="O5" s="2945"/>
      <c r="P5" s="3304"/>
      <c r="Q5" s="3305"/>
      <c r="R5" s="3310"/>
      <c r="S5" s="3311"/>
      <c r="T5" s="3310"/>
      <c r="U5" s="3311"/>
      <c r="V5" s="3314"/>
      <c r="W5" s="3314"/>
      <c r="X5" s="1539"/>
      <c r="Y5" s="3310"/>
      <c r="Z5" s="3311"/>
      <c r="AA5" s="3296"/>
      <c r="AB5" s="3296"/>
      <c r="AC5" s="3296"/>
    </row>
    <row r="6" spans="1:29" ht="15.75" thickBot="1">
      <c r="A6" s="366"/>
      <c r="B6" s="367"/>
      <c r="C6" s="3315" t="s">
        <v>2367</v>
      </c>
      <c r="D6" s="3316"/>
      <c r="E6" s="3322" t="s">
        <v>2367</v>
      </c>
      <c r="F6" s="3323"/>
      <c r="G6" s="3315" t="s">
        <v>2367</v>
      </c>
      <c r="H6" s="3316"/>
      <c r="I6" s="3315" t="s">
        <v>2367</v>
      </c>
      <c r="J6" s="3316"/>
      <c r="K6" s="567" t="s">
        <v>2368</v>
      </c>
      <c r="L6" s="2944"/>
      <c r="M6" s="2945"/>
      <c r="N6" s="2945"/>
      <c r="O6" s="2945"/>
      <c r="P6" s="3306"/>
      <c r="Q6" s="3307"/>
      <c r="R6" s="3310"/>
      <c r="S6" s="3311"/>
      <c r="T6" s="3312"/>
      <c r="U6" s="3313"/>
      <c r="V6" s="3314"/>
      <c r="W6" s="3314"/>
      <c r="X6" s="1539"/>
      <c r="Y6" s="3312"/>
      <c r="Z6" s="3313"/>
      <c r="AA6" s="3297"/>
      <c r="AB6" s="3297"/>
      <c r="AC6" s="3297"/>
    </row>
    <row r="7" spans="1:29" s="113" customFormat="1" ht="15.75" thickBot="1">
      <c r="A7" s="368" t="s">
        <v>2369</v>
      </c>
      <c r="B7" s="369"/>
      <c r="C7" s="370">
        <f>'数据-取费表'!B2</f>
        <v>44371</v>
      </c>
      <c r="D7" s="371">
        <v>100</v>
      </c>
      <c r="E7" s="372"/>
      <c r="F7" s="373">
        <f>SUMIF(46:46,YEAR(E7)&amp;"-"&amp;MONTH(E7),47:47)</f>
        <v>0</v>
      </c>
      <c r="G7" s="2160"/>
      <c r="H7" s="371">
        <f>SUMIF(46:46,YEAR(G7)&amp;"-"&amp;MONTH(G7),47:47)</f>
        <v>0</v>
      </c>
      <c r="I7" s="372"/>
      <c r="J7" s="371">
        <f>SUMIF(46:46,YEAR(I7)&amp;"-"&amp;MONTH(I7),47:47)</f>
        <v>0</v>
      </c>
      <c r="K7" s="568"/>
      <c r="L7" s="2946"/>
      <c r="M7" s="2947"/>
      <c r="N7" s="2947"/>
      <c r="O7" s="2947"/>
      <c r="P7" s="3319" t="s">
        <v>2370</v>
      </c>
      <c r="Q7" s="3321"/>
      <c r="R7" s="710" t="s">
        <v>17</v>
      </c>
      <c r="S7" s="711">
        <f t="shared" ref="S7:S14" si="0">F7</f>
        <v>0</v>
      </c>
      <c r="T7" s="710" t="s">
        <v>17</v>
      </c>
      <c r="U7" s="711">
        <f t="shared" ref="U7:U14" si="1">H7</f>
        <v>0</v>
      </c>
      <c r="V7" s="710" t="s">
        <v>17</v>
      </c>
      <c r="W7" s="711">
        <f t="shared" ref="W7:W14" si="2">J7</f>
        <v>0</v>
      </c>
      <c r="X7" s="712"/>
      <c r="Y7" s="3319" t="s">
        <v>2370</v>
      </c>
      <c r="Z7" s="3320"/>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6"/>
      <c r="M8" s="2947"/>
      <c r="N8" s="2947"/>
      <c r="O8" s="2947"/>
      <c r="P8" s="3319" t="s">
        <v>2373</v>
      </c>
      <c r="Q8" s="3320"/>
      <c r="R8" s="710" t="s">
        <v>17</v>
      </c>
      <c r="S8" s="711">
        <f t="shared" si="0"/>
        <v>0</v>
      </c>
      <c r="T8" s="710" t="s">
        <v>17</v>
      </c>
      <c r="U8" s="711">
        <f t="shared" si="1"/>
        <v>0</v>
      </c>
      <c r="V8" s="710" t="s">
        <v>17</v>
      </c>
      <c r="W8" s="711">
        <f t="shared" si="2"/>
        <v>0</v>
      </c>
      <c r="X8" s="712"/>
      <c r="Y8" s="3319" t="s">
        <v>2373</v>
      </c>
      <c r="Z8" s="3320"/>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6"/>
      <c r="M9" s="2947"/>
      <c r="N9" s="2947"/>
      <c r="O9" s="3001"/>
      <c r="P9" s="3283" t="s">
        <v>2376</v>
      </c>
      <c r="Q9" s="1527" t="str">
        <f t="shared" ref="Q9:Q14" si="6">B9</f>
        <v>用途</v>
      </c>
      <c r="R9" s="710" t="s">
        <v>17</v>
      </c>
      <c r="S9" s="711">
        <f t="shared" si="0"/>
        <v>100</v>
      </c>
      <c r="T9" s="710" t="s">
        <v>17</v>
      </c>
      <c r="U9" s="711">
        <f t="shared" si="1"/>
        <v>100</v>
      </c>
      <c r="V9" s="710" t="s">
        <v>17</v>
      </c>
      <c r="W9" s="711">
        <f t="shared" si="2"/>
        <v>100</v>
      </c>
      <c r="X9" s="712"/>
      <c r="Y9" s="3153"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8"/>
      <c r="M10" s="2949"/>
      <c r="N10" s="2949"/>
      <c r="O10" s="3002"/>
      <c r="P10" s="3283"/>
      <c r="Q10" s="1527" t="str">
        <f t="shared" si="6"/>
        <v>土地使用年限（年）</v>
      </c>
      <c r="R10" s="710" t="s">
        <v>17</v>
      </c>
      <c r="S10" s="711">
        <f t="shared" si="0"/>
        <v>100</v>
      </c>
      <c r="T10" s="710" t="s">
        <v>17</v>
      </c>
      <c r="U10" s="711">
        <f t="shared" si="1"/>
        <v>100</v>
      </c>
      <c r="V10" s="710" t="s">
        <v>17</v>
      </c>
      <c r="W10" s="711">
        <f t="shared" si="2"/>
        <v>100</v>
      </c>
      <c r="X10" s="712"/>
      <c r="Y10" s="3153"/>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50"/>
      <c r="M11" s="2945"/>
      <c r="N11" s="2945"/>
      <c r="O11" s="3003"/>
      <c r="P11" s="3283"/>
      <c r="Q11" s="1527">
        <f t="shared" si="6"/>
        <v>111</v>
      </c>
      <c r="R11" s="710" t="s">
        <v>17</v>
      </c>
      <c r="S11" s="711">
        <f t="shared" si="0"/>
        <v>100</v>
      </c>
      <c r="T11" s="710" t="s">
        <v>17</v>
      </c>
      <c r="U11" s="711">
        <f t="shared" si="1"/>
        <v>100</v>
      </c>
      <c r="V11" s="710" t="s">
        <v>17</v>
      </c>
      <c r="W11" s="711">
        <f t="shared" si="2"/>
        <v>100</v>
      </c>
      <c r="X11" s="712"/>
      <c r="Y11" s="3153"/>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6"/>
      <c r="M12" s="2947"/>
      <c r="N12" s="2947"/>
      <c r="O12" s="3001"/>
      <c r="P12" s="3283"/>
      <c r="Q12" s="1527">
        <f t="shared" si="6"/>
        <v>111</v>
      </c>
      <c r="R12" s="710" t="s">
        <v>17</v>
      </c>
      <c r="S12" s="711">
        <f t="shared" si="0"/>
        <v>100</v>
      </c>
      <c r="T12" s="710" t="s">
        <v>17</v>
      </c>
      <c r="U12" s="711">
        <f t="shared" si="1"/>
        <v>100</v>
      </c>
      <c r="V12" s="710" t="s">
        <v>17</v>
      </c>
      <c r="W12" s="711">
        <f t="shared" si="2"/>
        <v>100</v>
      </c>
      <c r="X12" s="712"/>
      <c r="Y12" s="3153"/>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1"/>
      <c r="M13" s="2945"/>
      <c r="N13" s="2945"/>
      <c r="O13" s="3003"/>
      <c r="P13" s="3283"/>
      <c r="Q13" s="1527">
        <f t="shared" si="6"/>
        <v>111</v>
      </c>
      <c r="R13" s="710" t="s">
        <v>17</v>
      </c>
      <c r="S13" s="711">
        <f t="shared" si="0"/>
        <v>100</v>
      </c>
      <c r="T13" s="710" t="s">
        <v>17</v>
      </c>
      <c r="U13" s="711">
        <f t="shared" si="1"/>
        <v>100</v>
      </c>
      <c r="V13" s="710" t="s">
        <v>17</v>
      </c>
      <c r="W13" s="711">
        <f t="shared" si="2"/>
        <v>100</v>
      </c>
      <c r="X13" s="712"/>
      <c r="Y13" s="3153"/>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1"/>
      <c r="M14" s="2945"/>
      <c r="N14" s="2945"/>
      <c r="O14" s="3003"/>
      <c r="P14" s="3285" t="s">
        <v>2381</v>
      </c>
      <c r="Q14" s="1536" t="str">
        <f t="shared" si="6"/>
        <v>交通便捷度</v>
      </c>
      <c r="R14" s="714" t="s">
        <v>17</v>
      </c>
      <c r="S14" s="715">
        <f t="shared" si="0"/>
        <v>100</v>
      </c>
      <c r="T14" s="714" t="s">
        <v>17</v>
      </c>
      <c r="U14" s="715">
        <f t="shared" si="1"/>
        <v>100</v>
      </c>
      <c r="V14" s="714" t="s">
        <v>17</v>
      </c>
      <c r="W14" s="715">
        <f t="shared" si="2"/>
        <v>100</v>
      </c>
      <c r="X14" s="1539"/>
      <c r="Y14" s="3285"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1"/>
      <c r="M15" s="2945"/>
      <c r="N15" s="2945"/>
      <c r="O15" s="3003"/>
      <c r="P15" s="3286"/>
      <c r="Q15" s="1536"/>
      <c r="R15" s="714"/>
      <c r="S15" s="715"/>
      <c r="T15" s="714"/>
      <c r="U15" s="715"/>
      <c r="V15" s="714"/>
      <c r="W15" s="715"/>
      <c r="X15" s="1539"/>
      <c r="Y15" s="3286"/>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1"/>
      <c r="M16" s="2945"/>
      <c r="N16" s="2945"/>
      <c r="O16" s="3003"/>
      <c r="P16" s="3286"/>
      <c r="Q16" s="1536" t="str">
        <f>B16</f>
        <v>公共配套设施</v>
      </c>
      <c r="R16" s="714" t="s">
        <v>17</v>
      </c>
      <c r="S16" s="715">
        <f>F16</f>
        <v>100</v>
      </c>
      <c r="T16" s="714" t="s">
        <v>17</v>
      </c>
      <c r="U16" s="715">
        <f>H16</f>
        <v>100</v>
      </c>
      <c r="V16" s="714" t="s">
        <v>17</v>
      </c>
      <c r="W16" s="715">
        <f>J16</f>
        <v>100</v>
      </c>
      <c r="X16" s="1539"/>
      <c r="Y16" s="3286"/>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1"/>
      <c r="M17" s="2945"/>
      <c r="N17" s="2945"/>
      <c r="O17" s="3003"/>
      <c r="P17" s="3286"/>
      <c r="Q17" s="1536"/>
      <c r="R17" s="714"/>
      <c r="S17" s="715"/>
      <c r="T17" s="714"/>
      <c r="U17" s="715"/>
      <c r="V17" s="714"/>
      <c r="W17" s="715"/>
      <c r="X17" s="1539"/>
      <c r="Y17" s="3286"/>
      <c r="Z17" s="1540"/>
      <c r="AA17" s="1537">
        <v>1</v>
      </c>
      <c r="AB17" s="1537">
        <v>1</v>
      </c>
      <c r="AC17" s="1537">
        <v>1</v>
      </c>
    </row>
    <row r="18" spans="1:29" ht="28.5">
      <c r="A18" s="387"/>
      <c r="B18" s="1293"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1"/>
      <c r="M18" s="2945"/>
      <c r="N18" s="2945"/>
      <c r="O18" s="3003"/>
      <c r="P18" s="3286"/>
      <c r="Q18" s="1536" t="str">
        <f>B18</f>
        <v>基础设施水平</v>
      </c>
      <c r="R18" s="714" t="s">
        <v>17</v>
      </c>
      <c r="S18" s="715">
        <f>F18</f>
        <v>100</v>
      </c>
      <c r="T18" s="714" t="s">
        <v>17</v>
      </c>
      <c r="U18" s="715">
        <f>H18</f>
        <v>100</v>
      </c>
      <c r="V18" s="714" t="s">
        <v>17</v>
      </c>
      <c r="W18" s="715">
        <f>J18</f>
        <v>100</v>
      </c>
      <c r="X18" s="1539"/>
      <c r="Y18" s="3286"/>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1"/>
      <c r="M19" s="2945"/>
      <c r="N19" s="2945"/>
      <c r="O19" s="3003"/>
      <c r="P19" s="3286"/>
      <c r="Q19" s="1536"/>
      <c r="R19" s="714"/>
      <c r="S19" s="715"/>
      <c r="T19" s="714"/>
      <c r="U19" s="715"/>
      <c r="V19" s="714"/>
      <c r="W19" s="715"/>
      <c r="X19" s="1539"/>
      <c r="Y19" s="3286"/>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1"/>
      <c r="M20" s="2945"/>
      <c r="N20" s="2945"/>
      <c r="O20" s="3003"/>
      <c r="P20" s="3286"/>
      <c r="Q20" s="1536" t="str">
        <f>B20</f>
        <v>自然及人文环境</v>
      </c>
      <c r="R20" s="714" t="s">
        <v>17</v>
      </c>
      <c r="S20" s="715">
        <f>F20</f>
        <v>100</v>
      </c>
      <c r="T20" s="714" t="s">
        <v>17</v>
      </c>
      <c r="U20" s="715">
        <f>H20</f>
        <v>100</v>
      </c>
      <c r="V20" s="714" t="s">
        <v>17</v>
      </c>
      <c r="W20" s="715">
        <f>J20</f>
        <v>100</v>
      </c>
      <c r="X20" s="1539"/>
      <c r="Y20" s="3286"/>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1"/>
      <c r="M21" s="2945"/>
      <c r="N21" s="2945"/>
      <c r="O21" s="3003"/>
      <c r="P21" s="3286"/>
      <c r="Q21" s="1536"/>
      <c r="R21" s="714"/>
      <c r="S21" s="715"/>
      <c r="T21" s="714"/>
      <c r="U21" s="715"/>
      <c r="V21" s="714"/>
      <c r="W21" s="715"/>
      <c r="X21" s="1539"/>
      <c r="Y21" s="3286"/>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1"/>
      <c r="M22" s="2945"/>
      <c r="N22" s="2945"/>
      <c r="O22" s="3003"/>
      <c r="P22" s="3286"/>
      <c r="Q22" s="1536" t="str">
        <f>B22</f>
        <v>楼层</v>
      </c>
      <c r="R22" s="714" t="s">
        <v>17</v>
      </c>
      <c r="S22" s="715">
        <f>F22</f>
        <v>100</v>
      </c>
      <c r="T22" s="714" t="s">
        <v>17</v>
      </c>
      <c r="U22" s="715">
        <f>H22</f>
        <v>100</v>
      </c>
      <c r="V22" s="714" t="s">
        <v>17</v>
      </c>
      <c r="W22" s="715">
        <f>J22</f>
        <v>100</v>
      </c>
      <c r="X22" s="1539"/>
      <c r="Y22" s="3286"/>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1"/>
      <c r="M23" s="2945"/>
      <c r="N23" s="2945"/>
      <c r="O23" s="3003"/>
      <c r="P23" s="3286"/>
      <c r="Q23" s="1536">
        <f>B23</f>
        <v>111</v>
      </c>
      <c r="R23" s="714" t="s">
        <v>17</v>
      </c>
      <c r="S23" s="715">
        <f>F23</f>
        <v>100</v>
      </c>
      <c r="T23" s="714" t="s">
        <v>17</v>
      </c>
      <c r="U23" s="715">
        <f>H23</f>
        <v>100</v>
      </c>
      <c r="V23" s="714" t="s">
        <v>17</v>
      </c>
      <c r="W23" s="715">
        <f>J23</f>
        <v>100</v>
      </c>
      <c r="X23" s="1539"/>
      <c r="Y23" s="3286"/>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1"/>
      <c r="M24" s="2945"/>
      <c r="N24" s="2945"/>
      <c r="O24" s="3003"/>
      <c r="P24" s="3286"/>
      <c r="Q24" s="1536">
        <f t="shared" ref="Q24:Q34" si="11">B24</f>
        <v>111</v>
      </c>
      <c r="R24" s="714" t="s">
        <v>17</v>
      </c>
      <c r="S24" s="715">
        <f>F24</f>
        <v>100</v>
      </c>
      <c r="T24" s="714" t="s">
        <v>17</v>
      </c>
      <c r="U24" s="715">
        <f>H24</f>
        <v>100</v>
      </c>
      <c r="V24" s="714" t="s">
        <v>17</v>
      </c>
      <c r="W24" s="715">
        <f>J24</f>
        <v>100</v>
      </c>
      <c r="X24" s="1539"/>
      <c r="Y24" s="3286"/>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6"/>
      <c r="M25" s="2947"/>
      <c r="N25" s="2947"/>
      <c r="O25" s="3001"/>
      <c r="P25" s="3286"/>
      <c r="Q25" s="1527">
        <f t="shared" si="11"/>
        <v>111</v>
      </c>
      <c r="R25" s="710" t="s">
        <v>17</v>
      </c>
      <c r="S25" s="711">
        <f>F25</f>
        <v>100</v>
      </c>
      <c r="T25" s="710" t="s">
        <v>17</v>
      </c>
      <c r="U25" s="711">
        <f>H25</f>
        <v>100</v>
      </c>
      <c r="V25" s="710" t="s">
        <v>17</v>
      </c>
      <c r="W25" s="711">
        <f>J25</f>
        <v>100</v>
      </c>
      <c r="X25" s="712"/>
      <c r="Y25" s="3286"/>
      <c r="Z25" s="55">
        <f>Q25</f>
        <v>111</v>
      </c>
      <c r="AA25" s="1537">
        <f>D25/F25</f>
        <v>1</v>
      </c>
      <c r="AB25" s="1537">
        <f>D25/H25</f>
        <v>1</v>
      </c>
      <c r="AC25" s="1537">
        <f>D25/J25</f>
        <v>1</v>
      </c>
    </row>
    <row r="26" spans="1:29" ht="28.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51"/>
      <c r="M26" s="2945"/>
      <c r="N26" s="2945"/>
      <c r="O26" s="3003"/>
      <c r="P26" s="3341"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290"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0"/>
      <c r="M27" s="2952"/>
      <c r="N27" s="2952"/>
      <c r="O27" s="3004"/>
      <c r="P27" s="3290"/>
      <c r="Q27" s="716" t="str">
        <f t="shared" si="11"/>
        <v>成新率</v>
      </c>
      <c r="R27" s="717" t="s">
        <v>17</v>
      </c>
      <c r="S27" s="718" t="e">
        <f t="shared" si="12"/>
        <v>#N/A</v>
      </c>
      <c r="T27" s="717" t="s">
        <v>17</v>
      </c>
      <c r="U27" s="718" t="e">
        <f t="shared" si="13"/>
        <v>#N/A</v>
      </c>
      <c r="V27" s="717" t="s">
        <v>17</v>
      </c>
      <c r="W27" s="718" t="e">
        <f t="shared" si="14"/>
        <v>#N/A</v>
      </c>
      <c r="X27" s="719"/>
      <c r="Y27" s="3290"/>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1"/>
      <c r="M28" s="2945"/>
      <c r="N28" s="2945"/>
      <c r="O28" s="3003"/>
      <c r="P28" s="3290"/>
      <c r="Q28" s="1536" t="str">
        <f t="shared" si="11"/>
        <v>物业等级</v>
      </c>
      <c r="R28" s="714" t="s">
        <v>17</v>
      </c>
      <c r="S28" s="715">
        <f t="shared" si="12"/>
        <v>100</v>
      </c>
      <c r="T28" s="714" t="s">
        <v>17</v>
      </c>
      <c r="U28" s="715">
        <f t="shared" si="13"/>
        <v>100</v>
      </c>
      <c r="V28" s="714" t="s">
        <v>17</v>
      </c>
      <c r="W28" s="715">
        <f t="shared" si="14"/>
        <v>100</v>
      </c>
      <c r="X28" s="1539"/>
      <c r="Y28" s="3290"/>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1"/>
      <c r="M29" s="2945"/>
      <c r="N29" s="2945"/>
      <c r="O29" s="3003"/>
      <c r="P29" s="3290"/>
      <c r="Q29" s="1536" t="str">
        <f t="shared" si="11"/>
        <v>有无电梯</v>
      </c>
      <c r="R29" s="714" t="s">
        <v>17</v>
      </c>
      <c r="S29" s="715">
        <f t="shared" si="12"/>
        <v>100</v>
      </c>
      <c r="T29" s="714" t="s">
        <v>17</v>
      </c>
      <c r="U29" s="715">
        <f t="shared" si="13"/>
        <v>100</v>
      </c>
      <c r="V29" s="714" t="s">
        <v>17</v>
      </c>
      <c r="W29" s="715">
        <f t="shared" si="14"/>
        <v>100</v>
      </c>
      <c r="X29" s="1539"/>
      <c r="Y29" s="3290"/>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1"/>
      <c r="M30" s="2945"/>
      <c r="N30" s="2945"/>
      <c r="O30" s="3003"/>
      <c r="P30" s="3290"/>
      <c r="Q30" s="1536" t="str">
        <f t="shared" si="11"/>
        <v>建筑面积</v>
      </c>
      <c r="R30" s="714" t="s">
        <v>17</v>
      </c>
      <c r="S30" s="715" t="e">
        <f t="shared" si="12"/>
        <v>#N/A</v>
      </c>
      <c r="T30" s="714" t="s">
        <v>17</v>
      </c>
      <c r="U30" s="715" t="e">
        <f t="shared" si="13"/>
        <v>#N/A</v>
      </c>
      <c r="V30" s="714" t="s">
        <v>17</v>
      </c>
      <c r="W30" s="715" t="e">
        <f t="shared" si="14"/>
        <v>#N/A</v>
      </c>
      <c r="X30" s="1539"/>
      <c r="Y30" s="3290"/>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6"/>
      <c r="M31" s="2947"/>
      <c r="N31" s="2947"/>
      <c r="O31" s="3001"/>
      <c r="P31" s="3290"/>
      <c r="Q31" s="1527" t="str">
        <f t="shared" si="11"/>
        <v>是否封闭</v>
      </c>
      <c r="R31" s="710" t="s">
        <v>17</v>
      </c>
      <c r="S31" s="711">
        <f t="shared" si="12"/>
        <v>100</v>
      </c>
      <c r="T31" s="710" t="s">
        <v>17</v>
      </c>
      <c r="U31" s="711">
        <f t="shared" si="13"/>
        <v>100</v>
      </c>
      <c r="V31" s="710" t="s">
        <v>17</v>
      </c>
      <c r="W31" s="711">
        <f t="shared" si="14"/>
        <v>100</v>
      </c>
      <c r="X31" s="712"/>
      <c r="Y31" s="3290"/>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1"/>
      <c r="M32" s="2945"/>
      <c r="N32" s="2945"/>
      <c r="O32" s="3003"/>
      <c r="P32" s="3290" t="s">
        <v>2386</v>
      </c>
      <c r="Q32" s="1536">
        <f t="shared" si="11"/>
        <v>111</v>
      </c>
      <c r="R32" s="714" t="s">
        <v>17</v>
      </c>
      <c r="S32" s="715">
        <f t="shared" si="12"/>
        <v>100</v>
      </c>
      <c r="T32" s="714" t="s">
        <v>17</v>
      </c>
      <c r="U32" s="715">
        <f t="shared" si="13"/>
        <v>100</v>
      </c>
      <c r="V32" s="714" t="s">
        <v>17</v>
      </c>
      <c r="W32" s="715">
        <f t="shared" si="14"/>
        <v>100</v>
      </c>
      <c r="X32" s="1539"/>
      <c r="Y32" s="3290"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1"/>
      <c r="M33" s="2945"/>
      <c r="N33" s="2945"/>
      <c r="O33" s="3003"/>
      <c r="P33" s="3290"/>
      <c r="Q33" s="1536">
        <f t="shared" si="11"/>
        <v>111</v>
      </c>
      <c r="R33" s="714" t="s">
        <v>17</v>
      </c>
      <c r="S33" s="715">
        <f t="shared" si="12"/>
        <v>100</v>
      </c>
      <c r="T33" s="714" t="s">
        <v>17</v>
      </c>
      <c r="U33" s="715">
        <f t="shared" si="13"/>
        <v>100</v>
      </c>
      <c r="V33" s="714" t="s">
        <v>17</v>
      </c>
      <c r="W33" s="715">
        <f t="shared" si="14"/>
        <v>100</v>
      </c>
      <c r="X33" s="1539"/>
      <c r="Y33" s="3290"/>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1"/>
      <c r="M34" s="2945"/>
      <c r="N34" s="2945"/>
      <c r="O34" s="3003"/>
      <c r="P34" s="3290"/>
      <c r="Q34" s="1536">
        <f t="shared" si="11"/>
        <v>111</v>
      </c>
      <c r="R34" s="714" t="s">
        <v>17</v>
      </c>
      <c r="S34" s="715">
        <f t="shared" si="12"/>
        <v>100</v>
      </c>
      <c r="T34" s="714" t="s">
        <v>17</v>
      </c>
      <c r="U34" s="715">
        <f t="shared" si="13"/>
        <v>100</v>
      </c>
      <c r="V34" s="714" t="s">
        <v>17</v>
      </c>
      <c r="W34" s="715">
        <f t="shared" si="14"/>
        <v>100</v>
      </c>
      <c r="X34" s="1539"/>
      <c r="Y34" s="3290"/>
      <c r="Z34" s="1540">
        <f t="shared" si="15"/>
        <v>111</v>
      </c>
      <c r="AA34" s="1537">
        <f t="shared" si="3"/>
        <v>1</v>
      </c>
      <c r="AB34" s="1537">
        <f t="shared" si="4"/>
        <v>1</v>
      </c>
      <c r="AC34" s="1537">
        <f t="shared" si="5"/>
        <v>1</v>
      </c>
    </row>
    <row r="35" spans="1:30" ht="15">
      <c r="A35" s="438" t="s">
        <v>2398</v>
      </c>
      <c r="B35" s="439"/>
      <c r="C35" s="1316" t="s">
        <v>1</v>
      </c>
      <c r="D35" s="1317"/>
      <c r="E35" s="1318"/>
      <c r="F35" s="1319"/>
      <c r="G35" s="1320"/>
      <c r="H35" s="1321"/>
      <c r="I35" s="1318"/>
      <c r="J35" s="1321"/>
      <c r="K35" s="723"/>
      <c r="L35" s="2953"/>
      <c r="M35" s="2954"/>
      <c r="N35" s="2945"/>
      <c r="O35" s="2954"/>
      <c r="P35" s="3283" t="str">
        <f>A35</f>
        <v>成交单价（元/平方米）</v>
      </c>
      <c r="Q35" s="3283"/>
      <c r="R35" s="3284">
        <f>E35</f>
        <v>0</v>
      </c>
      <c r="S35" s="3284"/>
      <c r="T35" s="3284">
        <f>G35</f>
        <v>0</v>
      </c>
      <c r="U35" s="3284"/>
      <c r="V35" s="3284">
        <f>I35</f>
        <v>0</v>
      </c>
      <c r="W35" s="3284"/>
      <c r="X35" s="699"/>
      <c r="Y35" s="721"/>
      <c r="Z35" s="699"/>
      <c r="AA35" s="699"/>
      <c r="AB35" s="699"/>
      <c r="AC35" s="699"/>
    </row>
    <row r="36" spans="1:30" ht="15.75" thickBot="1">
      <c r="A36" s="445" t="s">
        <v>2490</v>
      </c>
      <c r="B36" s="446"/>
      <c r="C36" s="1322" t="e">
        <f>R37</f>
        <v>#DIV/0!</v>
      </c>
      <c r="D36" s="2538" t="s">
        <v>2880</v>
      </c>
      <c r="E36" s="1323" t="e">
        <f>R36</f>
        <v>#DIV/0!</v>
      </c>
      <c r="F36" s="2539"/>
      <c r="G36" s="1322" t="e">
        <f>T36</f>
        <v>#DIV/0!</v>
      </c>
      <c r="H36" s="2539"/>
      <c r="I36" s="1323" t="e">
        <f>V36</f>
        <v>#DIV/0!</v>
      </c>
      <c r="J36" s="2539"/>
      <c r="K36" s="2541">
        <f>F36+H36+J36</f>
        <v>0</v>
      </c>
      <c r="L36" s="2953"/>
      <c r="M36" s="2954"/>
      <c r="N36" s="2945"/>
      <c r="O36" s="2954"/>
      <c r="P36" s="3283" t="str">
        <f>A36</f>
        <v>比较价值（元/平方米）</v>
      </c>
      <c r="Q36" s="3283"/>
      <c r="R36" s="3284" t="e">
        <f>IF(F1="售价",ROUND(PRODUCT(R35,AA7:AA34),0),ROUND(PRODUCT(R35,AA7:AA34),1))</f>
        <v>#DIV/0!</v>
      </c>
      <c r="S36" s="3284"/>
      <c r="T36" s="3284" t="e">
        <f>IF(F1="售价",ROUND(PRODUCT(T35,AB7:AB34),0),ROUND(PRODUCT(T35,AB7:AB34),1))</f>
        <v>#DIV/0!</v>
      </c>
      <c r="U36" s="3284"/>
      <c r="V36" s="3284" t="e">
        <f>IF(F1="售价",ROUND(PRODUCT(V35,AC7:AC34),0),ROUND(PRODUCT(V35,AC7:AC34),1))</f>
        <v>#DIV/0!</v>
      </c>
      <c r="W36" s="3284"/>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3"/>
      <c r="M37" s="2954"/>
      <c r="N37" s="2954"/>
      <c r="O37" s="2954"/>
      <c r="P37" s="3280" t="str">
        <f>A37</f>
        <v>估价对象XX用房的比较价值（楼面单价，元/平方米）</v>
      </c>
      <c r="Q37" s="3281"/>
      <c r="R37" s="3342" t="e">
        <f>IF(F1="售价",ROUND(IF(D36="简单平均",AVERAGE(R36:W36),R36*F36+T36*H36+V36*J36),0),ROUND(IF(D36="简单平均",AVERAGE(R36:V36),R36*F36+T36*H36+V36*J36),1))</f>
        <v>#DIV/0!</v>
      </c>
      <c r="S37" s="3342"/>
      <c r="T37" s="3342"/>
      <c r="U37" s="3342"/>
      <c r="V37" s="3342"/>
      <c r="W37" s="3342"/>
      <c r="X37" s="699"/>
      <c r="Y37" s="699"/>
      <c r="Z37" s="699"/>
      <c r="AA37" s="699"/>
      <c r="AB37" s="699"/>
      <c r="AC37" s="699"/>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9" customFormat="1" ht="13.5" customHeight="1">
      <c r="A42" s="2957"/>
      <c r="B42" s="2957"/>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9"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3" t="s">
        <v>2495</v>
      </c>
      <c r="B45" s="699"/>
      <c r="C45" s="704"/>
      <c r="D45" s="704"/>
      <c r="E45" s="704"/>
      <c r="F45" s="705"/>
      <c r="G45" s="705"/>
      <c r="H45" s="704"/>
      <c r="I45" s="704"/>
      <c r="J45" s="704"/>
      <c r="K45" s="706"/>
      <c r="L45" s="707"/>
      <c r="M45" s="704"/>
      <c r="N45" s="2998"/>
      <c r="O45" s="2998"/>
      <c r="P45" s="2998"/>
      <c r="Q45" s="2968"/>
      <c r="R45" s="2954"/>
      <c r="S45" s="2954"/>
      <c r="T45" s="2954"/>
      <c r="U45" s="2954"/>
      <c r="V45" s="2954"/>
      <c r="W45" s="2954"/>
      <c r="X45" s="2954"/>
      <c r="Y45" s="2954"/>
      <c r="Z45" s="2954"/>
      <c r="AA45" s="2954"/>
      <c r="AB45" s="2954"/>
      <c r="AC45" s="2954"/>
      <c r="AD45" s="2954"/>
    </row>
    <row r="46" spans="1:30" s="465" customFormat="1" ht="15">
      <c r="A46" s="462" t="s">
        <v>2369</v>
      </c>
      <c r="B46" s="463"/>
      <c r="C46" s="1346" t="str">
        <f>YEAR(C7)&amp;"-"&amp;MONTH(C7)</f>
        <v>2021-6</v>
      </c>
      <c r="D46" s="1347">
        <f>EDATE(C46,-1)</f>
        <v>44317</v>
      </c>
      <c r="E46" s="1347">
        <f t="shared" ref="E46:O46" si="16">EDATE(D46,-1)</f>
        <v>44287</v>
      </c>
      <c r="F46" s="1347">
        <f t="shared" si="16"/>
        <v>44256</v>
      </c>
      <c r="G46" s="1347">
        <f t="shared" si="16"/>
        <v>44228</v>
      </c>
      <c r="H46" s="1347">
        <f t="shared" si="16"/>
        <v>44197</v>
      </c>
      <c r="I46" s="1347">
        <f t="shared" si="16"/>
        <v>44166</v>
      </c>
      <c r="J46" s="1347">
        <f t="shared" si="16"/>
        <v>44136</v>
      </c>
      <c r="K46" s="1347">
        <f t="shared" si="16"/>
        <v>44105</v>
      </c>
      <c r="L46" s="1347">
        <f t="shared" si="16"/>
        <v>44075</v>
      </c>
      <c r="M46" s="1347">
        <f t="shared" si="16"/>
        <v>44044</v>
      </c>
      <c r="N46" s="1347">
        <f t="shared" si="16"/>
        <v>44013</v>
      </c>
      <c r="O46" s="1347">
        <f t="shared" si="16"/>
        <v>43983</v>
      </c>
      <c r="P46" s="3005"/>
      <c r="Q46" s="2970"/>
      <c r="R46" s="2970"/>
      <c r="S46" s="2970"/>
      <c r="T46" s="2970"/>
      <c r="U46" s="2970"/>
      <c r="V46" s="2970"/>
      <c r="W46" s="2970"/>
      <c r="X46" s="2970"/>
      <c r="Y46" s="2970"/>
      <c r="Z46" s="2970"/>
      <c r="AA46" s="2970"/>
      <c r="AB46" s="2970"/>
      <c r="AC46" s="2970"/>
      <c r="AD46" s="2970"/>
    </row>
    <row r="47" spans="1:30" s="113" customFormat="1" ht="15">
      <c r="A47" s="466"/>
      <c r="B47" s="467"/>
      <c r="C47" s="1345">
        <v>100</v>
      </c>
      <c r="D47" s="469"/>
      <c r="E47" s="469"/>
      <c r="F47" s="469"/>
      <c r="G47" s="469"/>
      <c r="H47" s="469"/>
      <c r="I47" s="469"/>
      <c r="J47" s="469"/>
      <c r="K47" s="469"/>
      <c r="L47" s="469"/>
      <c r="M47" s="470"/>
      <c r="N47" s="469"/>
      <c r="O47" s="471"/>
      <c r="P47" s="2968"/>
      <c r="Q47" s="2888"/>
      <c r="R47" s="2888"/>
      <c r="S47" s="2888"/>
      <c r="T47" s="2888"/>
      <c r="U47" s="2888"/>
      <c r="V47" s="2888"/>
      <c r="W47" s="2888"/>
      <c r="X47" s="2888"/>
      <c r="Y47" s="2888"/>
      <c r="Z47" s="2888"/>
      <c r="AA47" s="2888"/>
      <c r="AB47" s="2888"/>
      <c r="AC47" s="2888"/>
      <c r="AD47" s="2888"/>
    </row>
    <row r="48" spans="1:30" s="113" customFormat="1" ht="15.75" thickBot="1">
      <c r="A48" s="472" t="s">
        <v>2406</v>
      </c>
      <c r="B48" s="473"/>
      <c r="C48" s="474"/>
      <c r="D48" s="475"/>
      <c r="E48" s="475"/>
      <c r="F48" s="475"/>
      <c r="G48" s="475"/>
      <c r="H48" s="475"/>
      <c r="I48" s="475"/>
      <c r="J48" s="475"/>
      <c r="K48" s="475"/>
      <c r="L48" s="475"/>
      <c r="M48" s="476"/>
      <c r="N48" s="475"/>
      <c r="O48" s="477"/>
      <c r="P48" s="2968"/>
      <c r="Q48" s="2968"/>
      <c r="R48" s="2888"/>
      <c r="S48" s="2888"/>
      <c r="T48" s="2888"/>
      <c r="U48" s="2888"/>
      <c r="V48" s="2888"/>
      <c r="W48" s="2888"/>
      <c r="X48" s="2888"/>
      <c r="Y48" s="2888"/>
      <c r="Z48" s="2888"/>
      <c r="AA48" s="2888"/>
      <c r="AB48" s="2888"/>
      <c r="AC48" s="2888"/>
      <c r="AD48" s="2888"/>
    </row>
    <row r="49" spans="1:30" s="113" customFormat="1" ht="15">
      <c r="A49" s="478" t="s">
        <v>2371</v>
      </c>
      <c r="B49" s="467"/>
      <c r="C49" s="479" t="s">
        <v>2473</v>
      </c>
      <c r="D49" s="480"/>
      <c r="E49" s="480"/>
      <c r="F49" s="480"/>
      <c r="G49" s="480"/>
      <c r="H49" s="480"/>
      <c r="I49" s="480"/>
      <c r="J49" s="480"/>
      <c r="K49" s="480"/>
      <c r="L49" s="481"/>
      <c r="M49" s="482"/>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8"/>
      <c r="B50" s="467"/>
      <c r="C50" s="595">
        <v>100</v>
      </c>
      <c r="D50" s="469"/>
      <c r="E50" s="469"/>
      <c r="F50" s="469"/>
      <c r="G50" s="469"/>
      <c r="H50" s="469"/>
      <c r="I50" s="469"/>
      <c r="J50" s="469"/>
      <c r="K50" s="469"/>
      <c r="L50" s="469"/>
      <c r="M50" s="471"/>
      <c r="N50" s="2981"/>
      <c r="O50" s="2981"/>
      <c r="P50" s="2968"/>
      <c r="Q50" s="2968"/>
      <c r="R50" s="2888"/>
      <c r="S50" s="2888"/>
      <c r="T50" s="2888"/>
      <c r="U50" s="2888"/>
      <c r="V50" s="2888"/>
      <c r="W50" s="2888"/>
      <c r="X50" s="2888"/>
      <c r="Y50" s="2888"/>
      <c r="Z50" s="2888"/>
      <c r="AA50" s="2888"/>
      <c r="AB50" s="2888"/>
      <c r="AC50" s="2888"/>
      <c r="AD50" s="2888"/>
    </row>
    <row r="51" spans="1:30">
      <c r="A51" s="484" t="s">
        <v>2409</v>
      </c>
      <c r="B51" s="485" t="s">
        <v>2375</v>
      </c>
      <c r="C51" s="486">
        <f>C9</f>
        <v>0</v>
      </c>
      <c r="D51" s="487"/>
      <c r="E51" s="487"/>
      <c r="F51" s="487"/>
      <c r="G51" s="487"/>
      <c r="H51" s="487"/>
      <c r="I51" s="487"/>
      <c r="J51" s="487"/>
      <c r="K51" s="488"/>
      <c r="L51" s="489"/>
      <c r="M51" s="490"/>
      <c r="N51" s="2982"/>
      <c r="O51" s="2982"/>
      <c r="P51" s="3007"/>
      <c r="Q51" s="2968"/>
      <c r="R51" s="2954"/>
      <c r="S51" s="2954"/>
      <c r="T51" s="2954"/>
      <c r="U51" s="2954"/>
      <c r="V51" s="2954"/>
      <c r="W51" s="2954"/>
      <c r="X51" s="2954"/>
      <c r="Y51" s="2954"/>
      <c r="Z51" s="2954"/>
      <c r="AA51" s="2954"/>
      <c r="AB51" s="2954"/>
      <c r="AC51" s="2954"/>
      <c r="AD51" s="2954"/>
    </row>
    <row r="52" spans="1:30" ht="15.75" thickBot="1">
      <c r="A52" s="491"/>
      <c r="B52" s="492"/>
      <c r="C52" s="493">
        <v>100</v>
      </c>
      <c r="D52" s="493"/>
      <c r="E52" s="493"/>
      <c r="F52" s="493"/>
      <c r="G52" s="493"/>
      <c r="H52" s="493"/>
      <c r="I52" s="493"/>
      <c r="J52" s="493"/>
      <c r="K52" s="493"/>
      <c r="L52" s="493"/>
      <c r="M52" s="494"/>
      <c r="N52" s="2983"/>
      <c r="O52" s="2983"/>
      <c r="P52" s="3007"/>
      <c r="Q52" s="2968"/>
      <c r="R52" s="2954"/>
      <c r="S52" s="2954"/>
      <c r="T52" s="2954"/>
      <c r="U52" s="2954"/>
      <c r="V52" s="2954"/>
      <c r="W52" s="2954"/>
      <c r="X52" s="2954"/>
      <c r="Y52" s="2954"/>
      <c r="Z52" s="2954"/>
      <c r="AA52" s="2954"/>
      <c r="AB52" s="2954"/>
      <c r="AC52" s="2954"/>
      <c r="AD52" s="2954"/>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2"/>
      <c r="O53" s="2982"/>
      <c r="P53" s="3007"/>
      <c r="Q53" s="2968"/>
      <c r="R53" s="2954"/>
      <c r="S53" s="2954"/>
      <c r="T53" s="2954"/>
      <c r="U53" s="2954"/>
      <c r="V53" s="2954"/>
      <c r="W53" s="2954"/>
      <c r="X53" s="2954"/>
      <c r="Y53" s="2954"/>
      <c r="Z53" s="2954"/>
      <c r="AA53" s="2954"/>
      <c r="AB53" s="2954"/>
      <c r="AC53" s="2954"/>
      <c r="AD53" s="295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3"/>
      <c r="O54" s="2983"/>
      <c r="P54" s="3007"/>
      <c r="Q54" s="2968"/>
      <c r="R54" s="2954"/>
      <c r="S54" s="2954"/>
      <c r="T54" s="2954"/>
      <c r="U54" s="2954"/>
      <c r="V54" s="2954"/>
      <c r="W54" s="2954"/>
      <c r="X54" s="2954"/>
      <c r="Y54" s="2954"/>
      <c r="Z54" s="2954"/>
      <c r="AA54" s="2954"/>
      <c r="AB54" s="2954"/>
      <c r="AC54" s="2954"/>
      <c r="AD54" s="2954"/>
    </row>
    <row r="55" spans="1:30" ht="15.75" thickTop="1">
      <c r="A55" s="491"/>
      <c r="B55" s="616">
        <f>B11</f>
        <v>111</v>
      </c>
      <c r="C55" s="506"/>
      <c r="D55" s="506"/>
      <c r="E55" s="506"/>
      <c r="F55" s="506"/>
      <c r="G55" s="506"/>
      <c r="H55" s="506"/>
      <c r="I55" s="506"/>
      <c r="J55" s="506"/>
      <c r="K55" s="507"/>
      <c r="L55" s="508"/>
      <c r="M55" s="509"/>
      <c r="N55" s="2982"/>
      <c r="O55" s="2982"/>
      <c r="P55" s="3007"/>
      <c r="Q55" s="2968"/>
      <c r="R55" s="2954"/>
      <c r="S55" s="2954"/>
      <c r="T55" s="2954"/>
      <c r="U55" s="2954"/>
      <c r="V55" s="2954"/>
      <c r="W55" s="2954"/>
      <c r="X55" s="2954"/>
      <c r="Y55" s="2954"/>
      <c r="Z55" s="2954"/>
      <c r="AA55" s="2954"/>
      <c r="AB55" s="2954"/>
      <c r="AC55" s="2954"/>
      <c r="AD55" s="2954"/>
    </row>
    <row r="56" spans="1:30" ht="15.75" thickBot="1">
      <c r="A56" s="491"/>
      <c r="B56" s="492"/>
      <c r="C56" s="517"/>
      <c r="D56" s="493"/>
      <c r="E56" s="493"/>
      <c r="F56" s="493"/>
      <c r="G56" s="493"/>
      <c r="H56" s="493"/>
      <c r="I56" s="493"/>
      <c r="J56" s="493"/>
      <c r="K56" s="493"/>
      <c r="L56" s="493"/>
      <c r="M56" s="494"/>
      <c r="N56" s="2983"/>
      <c r="O56" s="2983"/>
      <c r="P56" s="3007"/>
      <c r="Q56" s="2968"/>
      <c r="R56" s="2954"/>
      <c r="S56" s="2954"/>
      <c r="T56" s="2954"/>
      <c r="U56" s="2954"/>
      <c r="V56" s="2954"/>
      <c r="W56" s="2954"/>
      <c r="X56" s="2954"/>
      <c r="Y56" s="2954"/>
      <c r="Z56" s="2954"/>
      <c r="AA56" s="2954"/>
      <c r="AB56" s="2954"/>
      <c r="AC56" s="2954"/>
      <c r="AD56" s="2954"/>
    </row>
    <row r="57" spans="1:30" s="430" customFormat="1" ht="15.75" thickTop="1">
      <c r="A57" s="510"/>
      <c r="B57" s="495">
        <f>B12</f>
        <v>111</v>
      </c>
      <c r="C57" s="506"/>
      <c r="D57" s="506"/>
      <c r="E57" s="506"/>
      <c r="F57" s="506"/>
      <c r="G57" s="511"/>
      <c r="H57" s="512"/>
      <c r="I57" s="512"/>
      <c r="J57" s="512"/>
      <c r="K57" s="512"/>
      <c r="L57" s="513"/>
      <c r="M57" s="514"/>
      <c r="N57" s="2984"/>
      <c r="O57" s="2984"/>
      <c r="P57" s="3008"/>
      <c r="Q57" s="2975"/>
      <c r="R57" s="2976"/>
      <c r="S57" s="2976"/>
      <c r="T57" s="2976"/>
      <c r="U57" s="2976"/>
      <c r="V57" s="2976"/>
      <c r="W57" s="2976"/>
      <c r="X57" s="2976"/>
      <c r="Y57" s="2976"/>
      <c r="Z57" s="2976"/>
      <c r="AA57" s="2976"/>
      <c r="AB57" s="2976"/>
      <c r="AC57" s="2976"/>
      <c r="AD57" s="2976"/>
    </row>
    <row r="58" spans="1:30" s="430" customFormat="1" ht="15.75" thickBot="1">
      <c r="A58" s="510"/>
      <c r="B58" s="500"/>
      <c r="C58" s="517"/>
      <c r="D58" s="493"/>
      <c r="E58" s="493"/>
      <c r="F58" s="493"/>
      <c r="G58" s="493"/>
      <c r="H58" s="493"/>
      <c r="I58" s="493"/>
      <c r="J58" s="493"/>
      <c r="K58" s="493"/>
      <c r="L58" s="493"/>
      <c r="M58" s="494"/>
      <c r="N58" s="2983"/>
      <c r="O58" s="2983"/>
      <c r="P58" s="3008"/>
      <c r="Q58" s="2975"/>
      <c r="R58" s="2976"/>
      <c r="S58" s="2976"/>
      <c r="T58" s="2976"/>
      <c r="U58" s="2976"/>
      <c r="V58" s="2976"/>
      <c r="W58" s="2976"/>
      <c r="X58" s="2976"/>
      <c r="Y58" s="2976"/>
      <c r="Z58" s="2976"/>
      <c r="AA58" s="2976"/>
      <c r="AB58" s="2976"/>
      <c r="AC58" s="2976"/>
      <c r="AD58" s="2976"/>
    </row>
    <row r="59" spans="1:30" s="430" customFormat="1" ht="15.75" thickTop="1">
      <c r="A59" s="510"/>
      <c r="B59" s="495">
        <f>B13</f>
        <v>111</v>
      </c>
      <c r="C59" s="506"/>
      <c r="D59" s="506"/>
      <c r="E59" s="506"/>
      <c r="F59" s="506"/>
      <c r="G59" s="511"/>
      <c r="H59" s="512"/>
      <c r="I59" s="512"/>
      <c r="J59" s="512"/>
      <c r="K59" s="512"/>
      <c r="L59" s="513"/>
      <c r="M59" s="514"/>
      <c r="N59" s="2984"/>
      <c r="O59" s="2984"/>
      <c r="P59" s="2952"/>
      <c r="Q59" s="2978"/>
      <c r="R59" s="2976"/>
      <c r="S59" s="2976"/>
      <c r="T59" s="2976"/>
      <c r="U59" s="2976"/>
      <c r="V59" s="2976"/>
      <c r="W59" s="2976"/>
      <c r="X59" s="2976"/>
      <c r="Y59" s="2976"/>
      <c r="Z59" s="2976"/>
      <c r="AA59" s="2976"/>
      <c r="AB59" s="2976"/>
      <c r="AC59" s="2976"/>
      <c r="AD59" s="2976"/>
    </row>
    <row r="60" spans="1:30" s="430" customFormat="1" ht="15.75" thickBot="1">
      <c r="A60" s="510"/>
      <c r="B60" s="500"/>
      <c r="C60" s="517"/>
      <c r="D60" s="517"/>
      <c r="E60" s="517"/>
      <c r="F60" s="517"/>
      <c r="G60" s="517"/>
      <c r="H60" s="519"/>
      <c r="I60" s="519"/>
      <c r="J60" s="519"/>
      <c r="K60" s="519"/>
      <c r="L60" s="519"/>
      <c r="M60" s="520"/>
      <c r="N60" s="2984"/>
      <c r="O60" s="2984"/>
      <c r="P60" s="3008"/>
      <c r="Q60" s="2975"/>
      <c r="R60" s="2976"/>
      <c r="S60" s="2976"/>
      <c r="T60" s="2976"/>
      <c r="U60" s="2976"/>
      <c r="V60" s="2976"/>
      <c r="W60" s="2976"/>
      <c r="X60" s="2976"/>
      <c r="Y60" s="2976"/>
      <c r="Z60" s="2976"/>
      <c r="AA60" s="2976"/>
      <c r="AB60" s="2976"/>
      <c r="AC60" s="2976"/>
      <c r="AD60" s="2976"/>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2"/>
      <c r="O61" s="2982"/>
      <c r="P61" s="3009"/>
      <c r="Q61" s="2968"/>
      <c r="R61" s="2954"/>
      <c r="S61" s="2954"/>
      <c r="T61" s="2954"/>
      <c r="U61" s="2954"/>
      <c r="V61" s="2954"/>
      <c r="W61" s="2954"/>
      <c r="X61" s="2954"/>
      <c r="Y61" s="2954"/>
      <c r="Z61" s="2954"/>
      <c r="AA61" s="2954"/>
      <c r="AB61" s="2954"/>
      <c r="AC61" s="2954"/>
      <c r="AD61" s="295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3"/>
      <c r="O62" s="2983"/>
      <c r="P62" s="3007"/>
      <c r="Q62" s="2968"/>
      <c r="R62" s="2954"/>
      <c r="S62" s="2954"/>
      <c r="T62" s="2954"/>
      <c r="U62" s="2954"/>
      <c r="V62" s="2954"/>
      <c r="W62" s="2954"/>
      <c r="X62" s="2954"/>
      <c r="Y62" s="2954"/>
      <c r="Z62" s="2954"/>
      <c r="AA62" s="2954"/>
      <c r="AB62" s="2954"/>
      <c r="AC62" s="2954"/>
      <c r="AD62" s="2954"/>
    </row>
    <row r="63" spans="1:30" ht="27.75" thickTop="1">
      <c r="A63" s="491"/>
      <c r="B63" s="495" t="s">
        <v>2561</v>
      </c>
      <c r="C63" s="535" t="s">
        <v>2418</v>
      </c>
      <c r="D63" s="535" t="s">
        <v>2419</v>
      </c>
      <c r="E63" s="535" t="s">
        <v>2420</v>
      </c>
      <c r="F63" s="535" t="s">
        <v>2421</v>
      </c>
      <c r="G63" s="535" t="s">
        <v>2422</v>
      </c>
      <c r="H63" s="496"/>
      <c r="I63" s="496"/>
      <c r="J63" s="496"/>
      <c r="K63" s="497"/>
      <c r="L63" s="498"/>
      <c r="M63" s="499"/>
      <c r="N63" s="2982"/>
      <c r="O63" s="2982"/>
      <c r="P63" s="3007"/>
      <c r="Q63" s="2968"/>
      <c r="R63" s="2954"/>
      <c r="S63" s="2954"/>
      <c r="T63" s="2954"/>
      <c r="U63" s="2954"/>
      <c r="V63" s="2954"/>
      <c r="W63" s="2954"/>
      <c r="X63" s="2954"/>
      <c r="Y63" s="2954"/>
      <c r="Z63" s="2954"/>
      <c r="AA63" s="2954"/>
      <c r="AB63" s="2954"/>
      <c r="AC63" s="2954"/>
      <c r="AD63" s="295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3"/>
      <c r="O64" s="2983"/>
      <c r="P64" s="3007"/>
      <c r="Q64" s="2968"/>
      <c r="R64" s="2954"/>
      <c r="S64" s="2954"/>
      <c r="T64" s="2954"/>
      <c r="U64" s="2954"/>
      <c r="V64" s="2954"/>
      <c r="W64" s="2954"/>
      <c r="X64" s="2954"/>
      <c r="Y64" s="2954"/>
      <c r="Z64" s="2954"/>
      <c r="AA64" s="2954"/>
      <c r="AB64" s="2954"/>
      <c r="AC64" s="2954"/>
      <c r="AD64" s="2954"/>
    </row>
    <row r="65" spans="1:30" ht="15.75" thickTop="1">
      <c r="A65" s="491"/>
      <c r="B65" s="503" t="s">
        <v>2510</v>
      </c>
      <c r="C65" s="616" t="s">
        <v>2496</v>
      </c>
      <c r="D65" s="616" t="s">
        <v>2497</v>
      </c>
      <c r="E65" s="616" t="s">
        <v>2498</v>
      </c>
      <c r="F65" s="616" t="s">
        <v>2499</v>
      </c>
      <c r="G65" s="616" t="s">
        <v>2500</v>
      </c>
      <c r="H65" s="496"/>
      <c r="I65" s="496"/>
      <c r="J65" s="496"/>
      <c r="K65" s="496"/>
      <c r="L65" s="496"/>
      <c r="M65" s="1291"/>
      <c r="N65" s="2983"/>
      <c r="O65" s="2983"/>
      <c r="P65" s="3007"/>
      <c r="Q65" s="2968"/>
      <c r="R65" s="2954"/>
      <c r="S65" s="2954"/>
      <c r="T65" s="2954"/>
      <c r="U65" s="2954"/>
      <c r="V65" s="2954"/>
      <c r="W65" s="2954"/>
      <c r="X65" s="2954"/>
      <c r="Y65" s="2954"/>
      <c r="Z65" s="2954"/>
      <c r="AA65" s="2954"/>
      <c r="AB65" s="2954"/>
      <c r="AC65" s="2954"/>
      <c r="AD65" s="295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3"/>
      <c r="O66" s="2983"/>
      <c r="P66" s="3007"/>
      <c r="Q66" s="2968"/>
      <c r="R66" s="2954"/>
      <c r="S66" s="2954"/>
      <c r="T66" s="2954"/>
      <c r="U66" s="2954"/>
      <c r="V66" s="2954"/>
      <c r="W66" s="2954"/>
      <c r="X66" s="2954"/>
      <c r="Y66" s="2954"/>
      <c r="Z66" s="2954"/>
      <c r="AA66" s="2954"/>
      <c r="AB66" s="2954"/>
      <c r="AC66" s="2954"/>
      <c r="AD66" s="2954"/>
    </row>
    <row r="67" spans="1:30" ht="15.75" thickTop="1">
      <c r="A67" s="491"/>
      <c r="B67" s="495" t="s">
        <v>2430</v>
      </c>
      <c r="C67" s="535" t="s">
        <v>2418</v>
      </c>
      <c r="D67" s="535" t="s">
        <v>2419</v>
      </c>
      <c r="E67" s="535" t="s">
        <v>2420</v>
      </c>
      <c r="F67" s="535" t="s">
        <v>2421</v>
      </c>
      <c r="G67" s="535" t="s">
        <v>2422</v>
      </c>
      <c r="H67" s="496"/>
      <c r="I67" s="496"/>
      <c r="J67" s="496"/>
      <c r="K67" s="497"/>
      <c r="L67" s="498"/>
      <c r="M67" s="499"/>
      <c r="N67" s="2982"/>
      <c r="O67" s="2982"/>
      <c r="P67" s="3007"/>
      <c r="Q67" s="2968"/>
      <c r="R67" s="2954"/>
      <c r="S67" s="2954"/>
      <c r="T67" s="2954"/>
      <c r="U67" s="2954"/>
      <c r="V67" s="2954"/>
      <c r="W67" s="2954"/>
      <c r="X67" s="2954"/>
      <c r="Y67" s="2954"/>
      <c r="Z67" s="2954"/>
      <c r="AA67" s="2954"/>
      <c r="AB67" s="2954"/>
      <c r="AC67" s="2954"/>
      <c r="AD67" s="295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3"/>
      <c r="O68" s="2983"/>
      <c r="P68" s="3007"/>
      <c r="Q68" s="2968"/>
      <c r="R68" s="2954"/>
      <c r="S68" s="2954"/>
      <c r="T68" s="2954"/>
      <c r="U68" s="2954"/>
      <c r="V68" s="2954"/>
      <c r="W68" s="2954"/>
      <c r="X68" s="2954"/>
      <c r="Y68" s="2954"/>
      <c r="Z68" s="2954"/>
      <c r="AA68" s="2954"/>
      <c r="AB68" s="2954"/>
      <c r="AC68" s="2954"/>
      <c r="AD68" s="2954"/>
    </row>
    <row r="69" spans="1:30" ht="15.75" thickTop="1">
      <c r="A69" s="491"/>
      <c r="B69" s="495" t="s">
        <v>2550</v>
      </c>
      <c r="C69" s="511"/>
      <c r="D69" s="511"/>
      <c r="E69" s="511"/>
      <c r="F69" s="511"/>
      <c r="G69" s="511"/>
      <c r="H69" s="540"/>
      <c r="I69" s="540"/>
      <c r="J69" s="540"/>
      <c r="K69" s="541"/>
      <c r="L69" s="542"/>
      <c r="M69" s="543"/>
      <c r="N69" s="2982"/>
      <c r="O69" s="2982"/>
      <c r="P69" s="3007"/>
      <c r="Q69" s="2968"/>
      <c r="R69" s="2954"/>
      <c r="S69" s="2954"/>
      <c r="T69" s="2954"/>
      <c r="U69" s="2954"/>
      <c r="V69" s="2954"/>
      <c r="W69" s="2954"/>
      <c r="X69" s="2954"/>
      <c r="Y69" s="2954"/>
      <c r="Z69" s="2954"/>
      <c r="AA69" s="2954"/>
      <c r="AB69" s="2954"/>
      <c r="AC69" s="2954"/>
      <c r="AD69" s="2954"/>
    </row>
    <row r="70" spans="1:30" ht="15.75" thickBot="1">
      <c r="A70" s="491"/>
      <c r="B70" s="500"/>
      <c r="C70" s="501">
        <v>100</v>
      </c>
      <c r="D70" s="501">
        <f>C70-$K22</f>
        <v>100</v>
      </c>
      <c r="E70" s="501"/>
      <c r="F70" s="501"/>
      <c r="G70" s="501"/>
      <c r="H70" s="501"/>
      <c r="I70" s="501"/>
      <c r="J70" s="501"/>
      <c r="K70" s="501"/>
      <c r="L70" s="501"/>
      <c r="M70" s="502"/>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6"/>
      <c r="B71" s="495">
        <f>B23</f>
        <v>111</v>
      </c>
      <c r="C71" s="506"/>
      <c r="D71" s="506"/>
      <c r="E71" s="506"/>
      <c r="F71" s="506"/>
      <c r="G71" s="511"/>
      <c r="H71" s="511"/>
      <c r="I71" s="511"/>
      <c r="J71" s="511"/>
      <c r="K71" s="511"/>
      <c r="L71" s="537"/>
      <c r="M71" s="538"/>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6"/>
      <c r="B72" s="500"/>
      <c r="C72" s="517"/>
      <c r="D72" s="493"/>
      <c r="E72" s="493"/>
      <c r="F72" s="493"/>
      <c r="G72" s="493"/>
      <c r="H72" s="493"/>
      <c r="I72" s="493"/>
      <c r="J72" s="493"/>
      <c r="K72" s="493"/>
      <c r="L72" s="493"/>
      <c r="M72" s="494"/>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6"/>
      <c r="B73" s="495">
        <f>B24</f>
        <v>111</v>
      </c>
      <c r="C73" s="506"/>
      <c r="D73" s="506"/>
      <c r="E73" s="506"/>
      <c r="F73" s="506"/>
      <c r="G73" s="511"/>
      <c r="H73" s="511"/>
      <c r="I73" s="511"/>
      <c r="J73" s="511"/>
      <c r="K73" s="511"/>
      <c r="L73" s="511"/>
      <c r="M73" s="538"/>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6"/>
      <c r="B74" s="500"/>
      <c r="C74" s="517"/>
      <c r="D74" s="493"/>
      <c r="E74" s="493"/>
      <c r="F74" s="493"/>
      <c r="G74" s="493"/>
      <c r="H74" s="493"/>
      <c r="I74" s="493"/>
      <c r="J74" s="493"/>
      <c r="K74" s="493"/>
      <c r="L74" s="493"/>
      <c r="M74" s="494"/>
      <c r="N74" s="2983"/>
      <c r="O74" s="2983"/>
      <c r="P74" s="3007"/>
      <c r="Q74" s="2968"/>
      <c r="R74" s="2888"/>
      <c r="S74" s="2888"/>
      <c r="T74" s="2888"/>
      <c r="U74" s="2888"/>
      <c r="V74" s="2888"/>
      <c r="W74" s="2888"/>
      <c r="X74" s="2888"/>
      <c r="Y74" s="2888"/>
      <c r="Z74" s="2888"/>
      <c r="AA74" s="2888"/>
      <c r="AB74" s="2888"/>
      <c r="AC74" s="2888"/>
      <c r="AD74" s="2888"/>
    </row>
    <row r="75" spans="1:30" s="430" customFormat="1" ht="15.75" thickTop="1">
      <c r="A75" s="510"/>
      <c r="B75" s="495">
        <f>B25</f>
        <v>111</v>
      </c>
      <c r="C75" s="506"/>
      <c r="D75" s="506"/>
      <c r="E75" s="506"/>
      <c r="F75" s="506"/>
      <c r="G75" s="511"/>
      <c r="H75" s="512"/>
      <c r="I75" s="512"/>
      <c r="J75" s="512"/>
      <c r="K75" s="512"/>
      <c r="L75" s="513"/>
      <c r="M75" s="514"/>
      <c r="N75" s="2984"/>
      <c r="O75" s="2984"/>
      <c r="P75" s="3008"/>
      <c r="Q75" s="2975"/>
      <c r="R75" s="2976"/>
      <c r="S75" s="2976"/>
      <c r="T75" s="2976"/>
      <c r="U75" s="2976"/>
      <c r="V75" s="2976"/>
      <c r="W75" s="2976"/>
      <c r="X75" s="2976"/>
      <c r="Y75" s="2976"/>
      <c r="Z75" s="2976"/>
      <c r="AA75" s="2976"/>
      <c r="AB75" s="2976"/>
      <c r="AC75" s="2976"/>
      <c r="AD75" s="2976"/>
    </row>
    <row r="76" spans="1:30" s="430" customFormat="1" ht="15.75" thickBot="1">
      <c r="A76" s="510"/>
      <c r="B76" s="500"/>
      <c r="C76" s="517"/>
      <c r="D76" s="517"/>
      <c r="E76" s="517"/>
      <c r="F76" s="517"/>
      <c r="G76" s="493"/>
      <c r="H76" s="493"/>
      <c r="I76" s="493"/>
      <c r="J76" s="493"/>
      <c r="K76" s="493"/>
      <c r="L76" s="493"/>
      <c r="M76" s="494"/>
      <c r="N76" s="2984"/>
      <c r="O76" s="2984"/>
      <c r="P76" s="3008"/>
      <c r="Q76" s="2975"/>
      <c r="R76" s="2976"/>
      <c r="S76" s="2976"/>
      <c r="T76" s="2976"/>
      <c r="U76" s="2976"/>
      <c r="V76" s="2976"/>
      <c r="W76" s="2976"/>
      <c r="X76" s="2976"/>
      <c r="Y76" s="2976"/>
      <c r="Z76" s="2976"/>
      <c r="AA76" s="2976"/>
      <c r="AB76" s="2976"/>
      <c r="AC76" s="2976"/>
      <c r="AD76" s="2976"/>
    </row>
    <row r="77" spans="1:30" ht="15" thickTop="1">
      <c r="A77" s="484" t="s">
        <v>2384</v>
      </c>
      <c r="B77" s="485" t="s">
        <v>2437</v>
      </c>
      <c r="C77" s="511"/>
      <c r="D77" s="511"/>
      <c r="E77" s="487"/>
      <c r="F77" s="487"/>
      <c r="G77" s="487"/>
      <c r="H77" s="487"/>
      <c r="I77" s="487"/>
      <c r="J77" s="487"/>
      <c r="K77" s="488"/>
      <c r="L77" s="489"/>
      <c r="M77" s="490"/>
      <c r="N77" s="2982"/>
      <c r="O77" s="2982"/>
      <c r="P77" s="3007"/>
      <c r="Q77" s="2968"/>
      <c r="R77" s="2954"/>
      <c r="S77" s="2954"/>
      <c r="T77" s="2954"/>
      <c r="U77" s="2954"/>
      <c r="V77" s="2954"/>
      <c r="W77" s="2954"/>
      <c r="X77" s="2954"/>
      <c r="Y77" s="2954"/>
      <c r="Z77" s="2954"/>
      <c r="AA77" s="2954"/>
      <c r="AB77" s="2954"/>
      <c r="AC77" s="2954"/>
      <c r="AD77" s="295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1"/>
      <c r="O79" s="2981"/>
      <c r="P79" s="3007"/>
      <c r="Q79" s="2968"/>
      <c r="R79" s="2954"/>
      <c r="S79" s="2954"/>
      <c r="T79" s="2954"/>
      <c r="U79" s="2954"/>
      <c r="V79" s="2954"/>
      <c r="W79" s="2954"/>
      <c r="X79" s="2954"/>
      <c r="Y79" s="2954"/>
      <c r="Z79" s="2954"/>
      <c r="AA79" s="2954"/>
      <c r="AB79" s="2954"/>
      <c r="AC79" s="2954"/>
      <c r="AD79" s="2954"/>
    </row>
    <row r="80" spans="1:30" ht="15">
      <c r="A80" s="491"/>
      <c r="B80" s="503"/>
      <c r="C80" s="560">
        <v>0.5</v>
      </c>
      <c r="D80" s="560">
        <v>0.6</v>
      </c>
      <c r="E80" s="560">
        <v>0.7</v>
      </c>
      <c r="F80" s="560">
        <v>0.8</v>
      </c>
      <c r="G80" s="560">
        <v>0.9</v>
      </c>
      <c r="H80" s="560">
        <v>1.0001</v>
      </c>
      <c r="I80" s="616"/>
      <c r="J80" s="616"/>
      <c r="K80" s="624"/>
      <c r="L80" s="625"/>
      <c r="M80" s="626"/>
      <c r="N80" s="2981"/>
      <c r="O80" s="2981"/>
      <c r="P80" s="3007"/>
      <c r="Q80" s="2968"/>
      <c r="R80" s="2954"/>
      <c r="S80" s="2954"/>
      <c r="T80" s="2954"/>
      <c r="U80" s="2954"/>
      <c r="V80" s="2954"/>
      <c r="W80" s="2954"/>
      <c r="X80" s="2954"/>
      <c r="Y80" s="2954"/>
      <c r="Z80" s="2954"/>
      <c r="AA80" s="2954"/>
      <c r="AB80" s="2954"/>
      <c r="AC80" s="2954"/>
      <c r="AD80" s="295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6"/>
      <c r="B82" s="503" t="s">
        <v>2554</v>
      </c>
      <c r="C82" s="511"/>
      <c r="D82" s="511"/>
      <c r="E82" s="540"/>
      <c r="F82" s="540"/>
      <c r="G82" s="540"/>
      <c r="H82" s="540"/>
      <c r="I82" s="540"/>
      <c r="J82" s="540"/>
      <c r="K82" s="541"/>
      <c r="L82" s="542"/>
      <c r="M82" s="543"/>
      <c r="N82" s="2982"/>
      <c r="O82" s="2982"/>
      <c r="P82" s="3007"/>
      <c r="Q82" s="2968"/>
      <c r="R82" s="2954"/>
      <c r="S82" s="2954"/>
      <c r="T82" s="2954"/>
      <c r="U82" s="2954"/>
      <c r="V82" s="2954"/>
      <c r="W82" s="2954"/>
      <c r="X82" s="2954"/>
      <c r="Y82" s="2954"/>
      <c r="Z82" s="2954"/>
      <c r="AA82" s="2954"/>
      <c r="AB82" s="2954"/>
      <c r="AC82" s="2954"/>
      <c r="AD82" s="295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6"/>
      <c r="B84" s="495" t="s">
        <v>2562</v>
      </c>
      <c r="C84" s="511"/>
      <c r="D84" s="511"/>
      <c r="E84" s="511"/>
      <c r="F84" s="511"/>
      <c r="G84" s="511"/>
      <c r="H84" s="511"/>
      <c r="I84" s="540"/>
      <c r="J84" s="540"/>
      <c r="K84" s="541"/>
      <c r="L84" s="542"/>
      <c r="M84" s="543"/>
      <c r="N84" s="2982"/>
      <c r="O84" s="2982"/>
      <c r="P84" s="3007"/>
      <c r="Q84" s="2968"/>
      <c r="R84" s="2954"/>
      <c r="S84" s="2954"/>
      <c r="T84" s="2954"/>
      <c r="U84" s="2954"/>
      <c r="V84" s="2954"/>
      <c r="W84" s="2954"/>
      <c r="X84" s="2954"/>
      <c r="Y84" s="2954"/>
      <c r="Z84" s="2954"/>
      <c r="AA84" s="2954"/>
      <c r="AB84" s="2954"/>
      <c r="AC84" s="2954"/>
      <c r="AD84" s="295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6"/>
      <c r="B87" s="503"/>
      <c r="C87" s="552"/>
      <c r="D87" s="552"/>
      <c r="E87" s="552"/>
      <c r="F87" s="552"/>
      <c r="G87" s="552"/>
      <c r="H87" s="552"/>
      <c r="I87" s="552"/>
      <c r="J87" s="553"/>
      <c r="K87" s="553"/>
      <c r="L87" s="554"/>
      <c r="M87" s="555"/>
      <c r="N87" s="2982"/>
      <c r="O87" s="2982"/>
      <c r="P87" s="3007"/>
      <c r="Q87" s="2968"/>
      <c r="R87" s="2954"/>
      <c r="S87" s="2954"/>
      <c r="T87" s="2954"/>
      <c r="U87" s="2954"/>
      <c r="V87" s="2954"/>
      <c r="W87" s="2954"/>
      <c r="X87" s="2954"/>
      <c r="Y87" s="2954"/>
      <c r="Z87" s="2954"/>
      <c r="AA87" s="2954"/>
      <c r="AB87" s="2954"/>
      <c r="AC87" s="2954"/>
      <c r="AD87" s="2954"/>
    </row>
    <row r="88" spans="1:30" ht="15.75" thickBot="1">
      <c r="A88" s="491"/>
      <c r="B88" s="500"/>
      <c r="C88" s="517"/>
      <c r="D88" s="493"/>
      <c r="E88" s="493"/>
      <c r="F88" s="493"/>
      <c r="G88" s="493"/>
      <c r="H88" s="493"/>
      <c r="I88" s="493"/>
      <c r="J88" s="493"/>
      <c r="K88" s="493"/>
      <c r="L88" s="493"/>
      <c r="M88" s="493"/>
      <c r="N88" s="2983"/>
      <c r="O88" s="2983"/>
      <c r="P88" s="3007"/>
      <c r="Q88" s="2968"/>
      <c r="R88" s="2954"/>
      <c r="S88" s="2954"/>
      <c r="T88" s="2954"/>
      <c r="U88" s="2954"/>
      <c r="V88" s="2954"/>
      <c r="W88" s="2954"/>
      <c r="X88" s="2954"/>
      <c r="Y88" s="2954"/>
      <c r="Z88" s="2954"/>
      <c r="AA88" s="2954"/>
      <c r="AB88" s="2954"/>
      <c r="AC88" s="2954"/>
      <c r="AD88" s="2954"/>
    </row>
    <row r="89" spans="1:30" s="430" customFormat="1" ht="15" thickTop="1">
      <c r="A89" s="550"/>
      <c r="B89" s="495" t="s">
        <v>2564</v>
      </c>
      <c r="C89" s="511"/>
      <c r="D89" s="511"/>
      <c r="E89" s="511"/>
      <c r="F89" s="511"/>
      <c r="G89" s="511"/>
      <c r="H89" s="511"/>
      <c r="I89" s="511"/>
      <c r="J89" s="511"/>
      <c r="K89" s="511"/>
      <c r="L89" s="511"/>
      <c r="M89" s="538"/>
      <c r="N89" s="2984"/>
      <c r="O89" s="2984"/>
      <c r="P89" s="3008"/>
      <c r="Q89" s="2975"/>
      <c r="R89" s="2976"/>
      <c r="S89" s="2976"/>
      <c r="T89" s="2976"/>
      <c r="U89" s="2976"/>
      <c r="V89" s="2976"/>
      <c r="W89" s="2976"/>
      <c r="X89" s="2976"/>
      <c r="Y89" s="2976"/>
      <c r="Z89" s="2976"/>
      <c r="AA89" s="2976"/>
      <c r="AB89" s="2976"/>
      <c r="AC89" s="2976"/>
      <c r="AD89" s="2976"/>
    </row>
    <row r="90" spans="1:30" s="430" customFormat="1" ht="15.75" thickBot="1">
      <c r="A90" s="510"/>
      <c r="B90" s="500"/>
      <c r="C90" s="517"/>
      <c r="D90" s="493"/>
      <c r="E90" s="493"/>
      <c r="F90" s="493"/>
      <c r="G90" s="493"/>
      <c r="H90" s="493"/>
      <c r="I90" s="493"/>
      <c r="J90" s="493"/>
      <c r="K90" s="493"/>
      <c r="L90" s="493"/>
      <c r="M90" s="494"/>
      <c r="N90" s="2984"/>
      <c r="O90" s="2984"/>
      <c r="P90" s="3008"/>
      <c r="Q90" s="2975"/>
      <c r="R90" s="2976"/>
      <c r="S90" s="2976"/>
      <c r="T90" s="2976"/>
      <c r="U90" s="2976"/>
      <c r="V90" s="2976"/>
      <c r="W90" s="2976"/>
      <c r="X90" s="2976"/>
      <c r="Y90" s="2976"/>
      <c r="Z90" s="2976"/>
      <c r="AA90" s="2976"/>
      <c r="AB90" s="2976"/>
      <c r="AC90" s="2976"/>
      <c r="AD90" s="2976"/>
    </row>
    <row r="91" spans="1:30" ht="15" thickTop="1">
      <c r="A91" s="556"/>
      <c r="B91" s="495">
        <f>B32</f>
        <v>111</v>
      </c>
      <c r="C91" s="506"/>
      <c r="D91" s="506"/>
      <c r="E91" s="506"/>
      <c r="F91" s="506"/>
      <c r="G91" s="511"/>
      <c r="H91" s="512"/>
      <c r="I91" s="512"/>
      <c r="J91" s="512"/>
      <c r="K91" s="512"/>
      <c r="L91" s="513"/>
      <c r="M91" s="514"/>
      <c r="N91" s="2982"/>
      <c r="O91" s="2982"/>
      <c r="P91" s="3007"/>
      <c r="Q91" s="2968"/>
      <c r="R91" s="2954"/>
      <c r="S91" s="2954"/>
      <c r="T91" s="2954"/>
      <c r="U91" s="2954"/>
      <c r="V91" s="2954"/>
      <c r="W91" s="2954"/>
      <c r="X91" s="2954"/>
      <c r="Y91" s="2954"/>
      <c r="Z91" s="2954"/>
      <c r="AA91" s="2954"/>
      <c r="AB91" s="2954"/>
      <c r="AC91" s="2954"/>
      <c r="AD91" s="2954"/>
    </row>
    <row r="92" spans="1:30" ht="15.75" thickBot="1">
      <c r="A92" s="491"/>
      <c r="B92" s="500"/>
      <c r="C92" s="517"/>
      <c r="D92" s="493"/>
      <c r="E92" s="493"/>
      <c r="F92" s="493"/>
      <c r="G92" s="517"/>
      <c r="H92" s="519"/>
      <c r="I92" s="519"/>
      <c r="J92" s="519"/>
      <c r="K92" s="519"/>
      <c r="L92" s="519"/>
      <c r="M92" s="520"/>
      <c r="N92" s="2983"/>
      <c r="O92" s="2983"/>
      <c r="P92" s="3007"/>
      <c r="Q92" s="2968"/>
      <c r="R92" s="2954"/>
      <c r="S92" s="2954"/>
      <c r="T92" s="2954"/>
      <c r="U92" s="2954"/>
      <c r="V92" s="2954"/>
      <c r="W92" s="2954"/>
      <c r="X92" s="2954"/>
      <c r="Y92" s="2954"/>
      <c r="Z92" s="2954"/>
      <c r="AA92" s="2954"/>
      <c r="AB92" s="2954"/>
      <c r="AC92" s="2954"/>
      <c r="AD92" s="2954"/>
    </row>
    <row r="93" spans="1:30" ht="15" thickTop="1">
      <c r="A93" s="556"/>
      <c r="B93" s="495">
        <f>B33</f>
        <v>111</v>
      </c>
      <c r="C93" s="506"/>
      <c r="D93" s="506"/>
      <c r="E93" s="506"/>
      <c r="F93" s="506"/>
      <c r="G93" s="511"/>
      <c r="H93" s="512"/>
      <c r="I93" s="512"/>
      <c r="J93" s="512"/>
      <c r="K93" s="512"/>
      <c r="L93" s="513"/>
      <c r="M93" s="514"/>
      <c r="N93" s="2982"/>
      <c r="O93" s="2982"/>
      <c r="P93" s="3007"/>
      <c r="Q93" s="2968"/>
      <c r="R93" s="2954"/>
      <c r="S93" s="2954"/>
      <c r="T93" s="2954"/>
      <c r="U93" s="2954"/>
      <c r="V93" s="2954"/>
      <c r="W93" s="2954"/>
      <c r="X93" s="2954"/>
      <c r="Y93" s="2954"/>
      <c r="Z93" s="2954"/>
      <c r="AA93" s="2954"/>
      <c r="AB93" s="2954"/>
      <c r="AC93" s="2954"/>
      <c r="AD93" s="2954"/>
    </row>
    <row r="94" spans="1:30" ht="15.75" thickBot="1">
      <c r="A94" s="491"/>
      <c r="B94" s="500"/>
      <c r="C94" s="517"/>
      <c r="D94" s="493"/>
      <c r="E94" s="493"/>
      <c r="F94" s="493"/>
      <c r="G94" s="517"/>
      <c r="H94" s="519"/>
      <c r="I94" s="519"/>
      <c r="J94" s="519"/>
      <c r="K94" s="519"/>
      <c r="L94" s="519"/>
      <c r="M94" s="520"/>
      <c r="N94" s="2983"/>
      <c r="O94" s="2983"/>
      <c r="P94" s="3007"/>
      <c r="Q94" s="2968"/>
      <c r="R94" s="2954"/>
      <c r="S94" s="2954"/>
      <c r="T94" s="2954"/>
      <c r="U94" s="2954"/>
      <c r="V94" s="2954"/>
      <c r="W94" s="2954"/>
      <c r="X94" s="2954"/>
      <c r="Y94" s="2954"/>
      <c r="Z94" s="2954"/>
      <c r="AA94" s="2954"/>
      <c r="AB94" s="2954"/>
      <c r="AC94" s="2954"/>
      <c r="AD94" s="2954"/>
    </row>
    <row r="95" spans="1:30" ht="15" thickTop="1">
      <c r="A95" s="556"/>
      <c r="B95" s="592">
        <f>B34</f>
        <v>111</v>
      </c>
      <c r="C95" s="506"/>
      <c r="D95" s="506"/>
      <c r="E95" s="506"/>
      <c r="F95" s="506"/>
      <c r="G95" s="511"/>
      <c r="H95" s="512"/>
      <c r="I95" s="512"/>
      <c r="J95" s="512"/>
      <c r="K95" s="512"/>
      <c r="L95" s="513"/>
      <c r="M95" s="514"/>
      <c r="N95" s="2983"/>
      <c r="O95" s="2983"/>
      <c r="P95" s="3010"/>
      <c r="Q95" s="2997"/>
      <c r="R95" s="2954"/>
      <c r="S95" s="2954"/>
      <c r="T95" s="2954"/>
      <c r="U95" s="2954"/>
      <c r="V95" s="2954"/>
      <c r="W95" s="2954"/>
      <c r="X95" s="2954"/>
      <c r="Y95" s="2954"/>
      <c r="Z95" s="2954"/>
      <c r="AA95" s="2954"/>
      <c r="AB95" s="2954"/>
      <c r="AC95" s="2954"/>
      <c r="AD95" s="2954"/>
    </row>
    <row r="96" spans="1:30" ht="15.75" thickBot="1">
      <c r="A96" s="491"/>
      <c r="B96" s="500"/>
      <c r="C96" s="517"/>
      <c r="D96" s="517"/>
      <c r="E96" s="517"/>
      <c r="F96" s="517"/>
      <c r="G96" s="517"/>
      <c r="H96" s="519"/>
      <c r="I96" s="519"/>
      <c r="J96" s="519"/>
      <c r="K96" s="519"/>
      <c r="L96" s="519"/>
      <c r="M96" s="520"/>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7"/>
      <c r="B98" s="1067"/>
      <c r="C98" s="1067"/>
      <c r="D98" s="1067"/>
      <c r="E98" s="1067"/>
      <c r="F98" s="1067"/>
      <c r="G98" s="1067"/>
      <c r="H98" s="1067"/>
      <c r="I98" s="1067"/>
      <c r="J98" s="1067"/>
      <c r="K98" s="1068"/>
      <c r="L98" s="1069"/>
      <c r="M98" s="1067"/>
      <c r="N98" s="2954"/>
      <c r="O98" s="2954"/>
      <c r="P98" s="2954"/>
      <c r="Q98" s="2954"/>
      <c r="R98" s="2954"/>
      <c r="S98" s="2954"/>
      <c r="T98" s="2954"/>
      <c r="U98" s="2954"/>
      <c r="V98" s="2954"/>
      <c r="W98" s="2954"/>
      <c r="X98" s="2954"/>
      <c r="Y98" s="2954"/>
      <c r="Z98" s="2954"/>
      <c r="AA98" s="2954"/>
      <c r="AB98" s="2954"/>
      <c r="AC98" s="2954"/>
      <c r="AD98" s="2954"/>
    </row>
    <row r="99" spans="1:30">
      <c r="A99" s="1067"/>
      <c r="B99" s="1067"/>
      <c r="C99" s="1067"/>
      <c r="D99" s="1067"/>
      <c r="E99" s="1067"/>
      <c r="F99" s="1067"/>
      <c r="G99" s="1067"/>
      <c r="H99" s="1067"/>
      <c r="I99" s="1067"/>
      <c r="J99" s="1067"/>
      <c r="K99" s="1068"/>
      <c r="L99" s="1069"/>
      <c r="M99" s="1067"/>
      <c r="N99" s="2954"/>
      <c r="O99" s="2954"/>
      <c r="P99" s="2954"/>
      <c r="Q99" s="2954"/>
      <c r="R99" s="2954"/>
      <c r="S99" s="2954"/>
      <c r="T99" s="2954"/>
      <c r="U99" s="2954"/>
      <c r="V99" s="2954"/>
      <c r="W99" s="2954"/>
      <c r="X99" s="2954"/>
      <c r="Y99" s="2954"/>
      <c r="Z99" s="2954"/>
      <c r="AA99" s="2954"/>
      <c r="AB99" s="2954"/>
      <c r="AC99" s="2954"/>
      <c r="AD99" s="2954"/>
    </row>
    <row r="100" spans="1:30">
      <c r="A100" s="1067"/>
      <c r="B100" s="1067"/>
      <c r="C100" s="1067"/>
      <c r="D100" s="1067"/>
      <c r="E100" s="1067"/>
      <c r="F100" s="1067"/>
      <c r="G100" s="1067"/>
      <c r="H100" s="1067"/>
      <c r="I100" s="1067"/>
      <c r="J100" s="1067"/>
      <c r="K100" s="1068"/>
      <c r="L100" s="1069"/>
      <c r="M100" s="1067"/>
      <c r="N100" s="2954"/>
      <c r="O100" s="2954"/>
      <c r="P100" s="2954"/>
      <c r="Q100" s="2954"/>
      <c r="R100" s="2954"/>
      <c r="S100" s="2954"/>
      <c r="T100" s="2954"/>
      <c r="U100" s="2954"/>
      <c r="V100" s="2954"/>
      <c r="W100" s="2954"/>
      <c r="X100" s="2954"/>
      <c r="Y100" s="2954"/>
      <c r="Z100" s="2954"/>
      <c r="AA100" s="2954"/>
      <c r="AB100" s="2954"/>
      <c r="AC100" s="2954"/>
      <c r="AD100" s="2954"/>
    </row>
    <row r="101" spans="1:30">
      <c r="A101" s="1067"/>
      <c r="B101" s="1067"/>
      <c r="C101" s="1067"/>
      <c r="D101" s="1067"/>
      <c r="E101" s="1067"/>
      <c r="F101" s="1067"/>
      <c r="G101" s="1067"/>
      <c r="H101" s="1067"/>
      <c r="I101" s="1067"/>
      <c r="J101" s="1067"/>
      <c r="K101" s="1068"/>
      <c r="L101" s="1069"/>
      <c r="M101" s="1067"/>
      <c r="N101" s="2954"/>
      <c r="O101" s="2954"/>
      <c r="P101" s="2954"/>
      <c r="Q101" s="2954"/>
      <c r="R101" s="2954"/>
      <c r="S101" s="2954"/>
      <c r="T101" s="2954"/>
      <c r="U101" s="2954"/>
      <c r="V101" s="2954"/>
      <c r="W101" s="2954"/>
      <c r="X101" s="2954"/>
      <c r="Y101" s="2954"/>
      <c r="Z101" s="2954"/>
      <c r="AA101" s="2954"/>
      <c r="AB101" s="2954"/>
      <c r="AC101" s="2954"/>
      <c r="AD101" s="2954"/>
    </row>
    <row r="102" spans="1:30">
      <c r="A102" s="1067"/>
      <c r="B102" s="1067"/>
      <c r="C102" s="1067"/>
      <c r="D102" s="1067"/>
      <c r="E102" s="1067"/>
      <c r="F102" s="1067"/>
      <c r="G102" s="1067"/>
      <c r="H102" s="1067"/>
      <c r="I102" s="1067"/>
      <c r="J102" s="1067"/>
      <c r="K102" s="1068"/>
      <c r="L102" s="1069"/>
      <c r="M102" s="1067"/>
      <c r="N102" s="2954"/>
      <c r="O102" s="2954"/>
      <c r="P102" s="2954"/>
      <c r="Q102" s="2954"/>
      <c r="R102" s="2954"/>
      <c r="S102" s="2954"/>
      <c r="T102" s="2954"/>
      <c r="U102" s="2954"/>
      <c r="V102" s="2954"/>
      <c r="W102" s="2954"/>
      <c r="X102" s="2954"/>
      <c r="Y102" s="2954"/>
      <c r="Z102" s="2954"/>
      <c r="AA102" s="2954"/>
      <c r="AB102" s="2954"/>
      <c r="AC102" s="2954"/>
      <c r="AD102" s="2954"/>
    </row>
    <row r="103" spans="1:30">
      <c r="A103" s="1067"/>
      <c r="B103" s="1067"/>
      <c r="C103" s="1067"/>
      <c r="D103" s="1067"/>
      <c r="E103" s="1067"/>
      <c r="F103" s="1067"/>
      <c r="G103" s="1067"/>
      <c r="H103" s="1067"/>
      <c r="I103" s="1067"/>
      <c r="J103" s="1067"/>
      <c r="K103" s="1068"/>
      <c r="L103" s="1069"/>
      <c r="M103" s="1067"/>
      <c r="N103" s="1067"/>
      <c r="O103" s="1067"/>
      <c r="P103" s="2954"/>
      <c r="Q103" s="2954"/>
      <c r="R103" s="2954"/>
      <c r="S103" s="2954"/>
      <c r="T103" s="2954"/>
      <c r="U103" s="2954"/>
      <c r="V103" s="2954"/>
      <c r="W103" s="2954"/>
      <c r="X103" s="2954"/>
      <c r="Y103" s="2954"/>
      <c r="Z103" s="2954"/>
      <c r="AA103" s="2954"/>
      <c r="AB103" s="2954"/>
      <c r="AC103" s="2954"/>
      <c r="AD103" s="295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6"/>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30" ht="15">
      <c r="A4" s="361" t="s">
        <v>2466</v>
      </c>
      <c r="B4" s="362"/>
      <c r="C4" s="3298" t="s">
        <v>2467</v>
      </c>
      <c r="D4" s="3299"/>
      <c r="E4" s="3300" t="s">
        <v>2468</v>
      </c>
      <c r="F4" s="3301"/>
      <c r="G4" s="3298" t="s">
        <v>2469</v>
      </c>
      <c r="H4" s="3299"/>
      <c r="I4" s="3298" t="s">
        <v>2470</v>
      </c>
      <c r="J4" s="3299"/>
      <c r="K4" s="567" t="s">
        <v>2471</v>
      </c>
      <c r="L4" s="2944"/>
      <c r="M4" s="2945"/>
      <c r="N4" s="2945"/>
      <c r="O4" s="2945"/>
      <c r="P4" s="3302" t="s">
        <v>2472</v>
      </c>
      <c r="Q4" s="3303"/>
      <c r="R4" s="3308" t="s">
        <v>2468</v>
      </c>
      <c r="S4" s="3309"/>
      <c r="T4" s="3308" t="s">
        <v>2469</v>
      </c>
      <c r="U4" s="3309"/>
      <c r="V4" s="3314" t="s">
        <v>2470</v>
      </c>
      <c r="W4" s="3314"/>
      <c r="X4" s="1539"/>
      <c r="Y4" s="3308" t="s">
        <v>2472</v>
      </c>
      <c r="Z4" s="3309"/>
      <c r="AA4" s="3295" t="s">
        <v>2468</v>
      </c>
      <c r="AB4" s="3296" t="s">
        <v>2469</v>
      </c>
      <c r="AC4" s="3295" t="s">
        <v>2470</v>
      </c>
    </row>
    <row r="5" spans="1:30" ht="15">
      <c r="A5" s="364"/>
      <c r="B5" s="365"/>
      <c r="C5" s="3317" t="s">
        <v>2363</v>
      </c>
      <c r="D5" s="3318"/>
      <c r="E5" s="3324" t="s">
        <v>2364</v>
      </c>
      <c r="F5" s="3325"/>
      <c r="G5" s="3317" t="s">
        <v>2365</v>
      </c>
      <c r="H5" s="3318"/>
      <c r="I5" s="3317" t="s">
        <v>2366</v>
      </c>
      <c r="J5" s="3318"/>
      <c r="K5" s="567"/>
      <c r="L5" s="2944"/>
      <c r="M5" s="2945"/>
      <c r="N5" s="2945"/>
      <c r="O5" s="2945"/>
      <c r="P5" s="3304"/>
      <c r="Q5" s="3305"/>
      <c r="R5" s="3310"/>
      <c r="S5" s="3311"/>
      <c r="T5" s="3310"/>
      <c r="U5" s="3311"/>
      <c r="V5" s="3314"/>
      <c r="W5" s="3314"/>
      <c r="X5" s="1539"/>
      <c r="Y5" s="3310"/>
      <c r="Z5" s="3311"/>
      <c r="AA5" s="3296"/>
      <c r="AB5" s="3296"/>
      <c r="AC5" s="3296"/>
    </row>
    <row r="6" spans="1:30" ht="15.75" thickBot="1">
      <c r="A6" s="366"/>
      <c r="B6" s="367"/>
      <c r="C6" s="3315" t="s">
        <v>2367</v>
      </c>
      <c r="D6" s="3316"/>
      <c r="E6" s="3322" t="s">
        <v>2367</v>
      </c>
      <c r="F6" s="3323"/>
      <c r="G6" s="3315" t="s">
        <v>2367</v>
      </c>
      <c r="H6" s="3316"/>
      <c r="I6" s="3315" t="s">
        <v>2367</v>
      </c>
      <c r="J6" s="3316"/>
      <c r="K6" s="567" t="s">
        <v>2368</v>
      </c>
      <c r="L6" s="2944"/>
      <c r="M6" s="2945"/>
      <c r="N6" s="2945"/>
      <c r="O6" s="2945"/>
      <c r="P6" s="3306"/>
      <c r="Q6" s="3307"/>
      <c r="R6" s="3310"/>
      <c r="S6" s="3311"/>
      <c r="T6" s="3312"/>
      <c r="U6" s="3313"/>
      <c r="V6" s="3314"/>
      <c r="W6" s="3314"/>
      <c r="X6" s="1539"/>
      <c r="Y6" s="3312"/>
      <c r="Z6" s="3313"/>
      <c r="AA6" s="3297"/>
      <c r="AB6" s="3297"/>
      <c r="AC6" s="3297"/>
    </row>
    <row r="7" spans="1:30" s="113" customFormat="1" ht="15.75" thickBot="1">
      <c r="A7" s="368" t="s">
        <v>2369</v>
      </c>
      <c r="B7" s="369"/>
      <c r="C7" s="370">
        <f>'数据-取费表'!B2</f>
        <v>44371</v>
      </c>
      <c r="D7" s="371">
        <v>100</v>
      </c>
      <c r="E7" s="372"/>
      <c r="F7" s="373">
        <f>SUMIF(70:70,YEAR(E7)&amp;"-"&amp;INT((MONTH(E7)+2)/3),71:71)</f>
        <v>0</v>
      </c>
      <c r="G7" s="2160"/>
      <c r="H7" s="371">
        <f>SUMIF(70:70,YEAR(G7)&amp;"-"&amp;INT((MONTH(G7)+2)/3),71:71)</f>
        <v>0</v>
      </c>
      <c r="I7" s="2160"/>
      <c r="J7" s="371">
        <f>SUMIF(70:70,YEAR(I7)&amp;"-"&amp;INT((MONTH(I7)+2)/3),71:71)</f>
        <v>0</v>
      </c>
      <c r="K7" s="568"/>
      <c r="L7" s="2946"/>
      <c r="M7" s="2947"/>
      <c r="N7" s="2947"/>
      <c r="O7" s="2947"/>
      <c r="P7" s="3319" t="s">
        <v>2370</v>
      </c>
      <c r="Q7" s="3321"/>
      <c r="R7" s="710" t="s">
        <v>17</v>
      </c>
      <c r="S7" s="711">
        <f t="shared" ref="S7:S15" si="0">F7</f>
        <v>0</v>
      </c>
      <c r="T7" s="710" t="s">
        <v>17</v>
      </c>
      <c r="U7" s="711">
        <f t="shared" ref="U7:U15" si="1">H7</f>
        <v>0</v>
      </c>
      <c r="V7" s="710" t="s">
        <v>17</v>
      </c>
      <c r="W7" s="711">
        <f t="shared" ref="W7:W15" si="2">J7</f>
        <v>0</v>
      </c>
      <c r="X7" s="712"/>
      <c r="Y7" s="3319" t="s">
        <v>2370</v>
      </c>
      <c r="Z7" s="3320"/>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6"/>
      <c r="M8" s="2947"/>
      <c r="N8" s="2947"/>
      <c r="O8" s="2947"/>
      <c r="P8" s="3319" t="s">
        <v>2373</v>
      </c>
      <c r="Q8" s="3320"/>
      <c r="R8" s="710" t="s">
        <v>17</v>
      </c>
      <c r="S8" s="711">
        <f t="shared" si="0"/>
        <v>0</v>
      </c>
      <c r="T8" s="710" t="s">
        <v>17</v>
      </c>
      <c r="U8" s="711">
        <f t="shared" si="1"/>
        <v>0</v>
      </c>
      <c r="V8" s="710" t="s">
        <v>17</v>
      </c>
      <c r="W8" s="711">
        <f t="shared" si="2"/>
        <v>0</v>
      </c>
      <c r="X8" s="712"/>
      <c r="Y8" s="3319" t="s">
        <v>2373</v>
      </c>
      <c r="Z8" s="3320"/>
      <c r="AA8" s="713" t="e">
        <f t="shared" ref="AA8:AA45" si="3">D8/F8</f>
        <v>#DIV/0!</v>
      </c>
      <c r="AB8" s="713" t="e">
        <f t="shared" ref="AB8:AB45" si="4">D8/H8</f>
        <v>#DIV/0!</v>
      </c>
      <c r="AC8" s="713" t="e">
        <f t="shared" ref="AC8:AC45" si="5">D8/J8</f>
        <v>#DIV/0!</v>
      </c>
    </row>
    <row r="9" spans="1:30" s="113" customFormat="1">
      <c r="A9" s="375" t="s">
        <v>2374</v>
      </c>
      <c r="B9" s="67" t="s">
        <v>2375</v>
      </c>
      <c r="C9" s="2163"/>
      <c r="D9" s="131">
        <v>100</v>
      </c>
      <c r="E9" s="2163"/>
      <c r="F9" s="131">
        <f>SUMIF(75:75,E9,76:76)-SUMIF(75:75,C9,76:76)+100</f>
        <v>100</v>
      </c>
      <c r="G9" s="2163"/>
      <c r="H9" s="131">
        <f>SUMIF(75:75,G9,76:76)-SUMIF(75:75,C9,76:76)+100</f>
        <v>100</v>
      </c>
      <c r="I9" s="2163"/>
      <c r="J9" s="131">
        <f>SUMIF(75:75,I9,76:76)-SUMIF(75:75,C9,76:76)+100</f>
        <v>100</v>
      </c>
      <c r="K9" s="568"/>
      <c r="L9" s="2946"/>
      <c r="M9" s="2947"/>
      <c r="N9" s="2947"/>
      <c r="O9" s="3001"/>
      <c r="P9" s="3283" t="s">
        <v>2376</v>
      </c>
      <c r="Q9" s="1527" t="str">
        <f t="shared" ref="Q9:Q15" si="6">B9</f>
        <v>用途</v>
      </c>
      <c r="R9" s="710" t="s">
        <v>17</v>
      </c>
      <c r="S9" s="711">
        <f t="shared" si="0"/>
        <v>100</v>
      </c>
      <c r="T9" s="710" t="s">
        <v>17</v>
      </c>
      <c r="U9" s="711">
        <f t="shared" si="1"/>
        <v>100</v>
      </c>
      <c r="V9" s="710" t="s">
        <v>17</v>
      </c>
      <c r="W9" s="711">
        <f t="shared" si="2"/>
        <v>100</v>
      </c>
      <c r="X9" s="712"/>
      <c r="Y9" s="3153"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106</v>
      </c>
      <c r="G10" s="422"/>
      <c r="H10" s="132">
        <f>ROUND(100/'数据-取费表'!G16,0)</f>
        <v>106</v>
      </c>
      <c r="I10" s="422"/>
      <c r="J10" s="132">
        <f>ROUND(100/'数据-取费表'!G16,0)</f>
        <v>106</v>
      </c>
      <c r="K10" s="628"/>
      <c r="L10" s="2948"/>
      <c r="M10" s="2949"/>
      <c r="N10" s="2949"/>
      <c r="O10" s="3002"/>
      <c r="P10" s="3283"/>
      <c r="Q10" s="1527" t="str">
        <f t="shared" si="6"/>
        <v>土地使用年限（年）</v>
      </c>
      <c r="R10" s="710" t="s">
        <v>17</v>
      </c>
      <c r="S10" s="711">
        <f t="shared" si="0"/>
        <v>106</v>
      </c>
      <c r="T10" s="710" t="s">
        <v>17</v>
      </c>
      <c r="U10" s="711">
        <f t="shared" si="1"/>
        <v>106</v>
      </c>
      <c r="V10" s="710" t="s">
        <v>17</v>
      </c>
      <c r="W10" s="711">
        <f t="shared" si="2"/>
        <v>106</v>
      </c>
      <c r="X10" s="712"/>
      <c r="Y10" s="3153"/>
      <c r="Z10" s="55" t="str">
        <f t="shared" si="7"/>
        <v>土地使用年限（年）</v>
      </c>
      <c r="AA10" s="713">
        <f t="shared" si="3"/>
        <v>0.94339622641509435</v>
      </c>
      <c r="AB10" s="713">
        <f t="shared" si="4"/>
        <v>0.94339622641509435</v>
      </c>
      <c r="AC10" s="713">
        <f t="shared" si="5"/>
        <v>0.94339622641509435</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0"/>
      <c r="M11" s="2945"/>
      <c r="N11" s="2945"/>
      <c r="O11" s="3003"/>
      <c r="P11" s="3283"/>
      <c r="Q11" s="1527" t="str">
        <f t="shared" si="6"/>
        <v>容积率</v>
      </c>
      <c r="R11" s="710" t="s">
        <v>17</v>
      </c>
      <c r="S11" s="711" t="e">
        <f t="shared" si="0"/>
        <v>#N/A</v>
      </c>
      <c r="T11" s="710" t="s">
        <v>17</v>
      </c>
      <c r="U11" s="711" t="e">
        <f t="shared" si="1"/>
        <v>#N/A</v>
      </c>
      <c r="V11" s="710" t="s">
        <v>17</v>
      </c>
      <c r="W11" s="711" t="e">
        <f t="shared" si="2"/>
        <v>#N/A</v>
      </c>
      <c r="X11" s="712"/>
      <c r="Y11" s="3153"/>
      <c r="Z11" s="55" t="str">
        <f t="shared" si="7"/>
        <v>容积率</v>
      </c>
      <c r="AA11" s="713" t="e">
        <f t="shared" si="3"/>
        <v>#N/A</v>
      </c>
      <c r="AB11" s="713" t="e">
        <f t="shared" si="4"/>
        <v>#N/A</v>
      </c>
      <c r="AC11" s="713" t="e">
        <f t="shared" si="5"/>
        <v>#N/A</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6"/>
      <c r="M12" s="2947"/>
      <c r="N12" s="2947"/>
      <c r="O12" s="3001"/>
      <c r="P12" s="3283"/>
      <c r="Q12" s="1527" t="str">
        <f t="shared" si="6"/>
        <v>配建</v>
      </c>
      <c r="R12" s="710" t="s">
        <v>17</v>
      </c>
      <c r="S12" s="711">
        <f t="shared" si="0"/>
        <v>100</v>
      </c>
      <c r="T12" s="710" t="s">
        <v>17</v>
      </c>
      <c r="U12" s="711">
        <f t="shared" si="1"/>
        <v>100</v>
      </c>
      <c r="V12" s="710" t="s">
        <v>17</v>
      </c>
      <c r="W12" s="711">
        <f t="shared" si="2"/>
        <v>100</v>
      </c>
      <c r="X12" s="712"/>
      <c r="Y12" s="3153"/>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1"/>
      <c r="M13" s="2945"/>
      <c r="N13" s="2945"/>
      <c r="O13" s="3003"/>
      <c r="P13" s="3283"/>
      <c r="Q13" s="1527">
        <f t="shared" si="6"/>
        <v>111</v>
      </c>
      <c r="R13" s="710" t="s">
        <v>17</v>
      </c>
      <c r="S13" s="711">
        <f t="shared" si="0"/>
        <v>100</v>
      </c>
      <c r="T13" s="710" t="s">
        <v>17</v>
      </c>
      <c r="U13" s="711">
        <f t="shared" si="1"/>
        <v>100</v>
      </c>
      <c r="V13" s="710" t="s">
        <v>17</v>
      </c>
      <c r="W13" s="711">
        <f t="shared" si="2"/>
        <v>100</v>
      </c>
      <c r="X13" s="712"/>
      <c r="Y13" s="3153"/>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1"/>
      <c r="M14" s="2945"/>
      <c r="N14" s="2945"/>
      <c r="O14" s="3003"/>
      <c r="P14" s="3283"/>
      <c r="Q14" s="1527">
        <f t="shared" si="6"/>
        <v>111</v>
      </c>
      <c r="R14" s="710" t="s">
        <v>17</v>
      </c>
      <c r="S14" s="711">
        <f t="shared" si="0"/>
        <v>100</v>
      </c>
      <c r="T14" s="710" t="s">
        <v>17</v>
      </c>
      <c r="U14" s="711">
        <f t="shared" si="1"/>
        <v>100</v>
      </c>
      <c r="V14" s="710" t="s">
        <v>17</v>
      </c>
      <c r="W14" s="711">
        <f t="shared" si="2"/>
        <v>100</v>
      </c>
      <c r="X14" s="712"/>
      <c r="Y14" s="3153"/>
      <c r="Z14" s="55">
        <f t="shared" si="7"/>
        <v>111</v>
      </c>
      <c r="AA14" s="713">
        <f>D14/F14</f>
        <v>1</v>
      </c>
      <c r="AB14" s="713">
        <f>D14/H14</f>
        <v>1</v>
      </c>
      <c r="AC14" s="713">
        <f>D14/J14</f>
        <v>1</v>
      </c>
    </row>
    <row r="15" spans="1:30" ht="99.75">
      <c r="A15" s="399" t="s">
        <v>2380</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1"/>
      <c r="M15" s="2945"/>
      <c r="N15" s="2945"/>
      <c r="O15" s="3003"/>
      <c r="P15" s="3285" t="s">
        <v>2381</v>
      </c>
      <c r="Q15" s="1536" t="str">
        <f t="shared" si="6"/>
        <v>居住社区成熟度</v>
      </c>
      <c r="R15" s="714" t="s">
        <v>17</v>
      </c>
      <c r="S15" s="715">
        <f t="shared" si="0"/>
        <v>100</v>
      </c>
      <c r="T15" s="714" t="s">
        <v>17</v>
      </c>
      <c r="U15" s="715">
        <f t="shared" si="1"/>
        <v>100</v>
      </c>
      <c r="V15" s="714" t="s">
        <v>17</v>
      </c>
      <c r="W15" s="715">
        <f t="shared" si="2"/>
        <v>100</v>
      </c>
      <c r="X15" s="1539"/>
      <c r="Y15" s="3285"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1"/>
      <c r="M16" s="2945"/>
      <c r="N16" s="2945"/>
      <c r="O16" s="3003"/>
      <c r="P16" s="3286"/>
      <c r="Q16" s="1536"/>
      <c r="R16" s="714"/>
      <c r="S16" s="715"/>
      <c r="T16" s="714"/>
      <c r="U16" s="715"/>
      <c r="V16" s="714"/>
      <c r="W16" s="715"/>
      <c r="X16" s="1539"/>
      <c r="Y16" s="3286"/>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1"/>
      <c r="M17" s="2945"/>
      <c r="N17" s="2945"/>
      <c r="O17" s="3003"/>
      <c r="P17" s="3286"/>
      <c r="Q17" s="1536" t="str">
        <f>B17</f>
        <v>商业繁华度</v>
      </c>
      <c r="R17" s="714" t="s">
        <v>17</v>
      </c>
      <c r="S17" s="715">
        <f>F17</f>
        <v>100</v>
      </c>
      <c r="T17" s="714" t="s">
        <v>17</v>
      </c>
      <c r="U17" s="715">
        <f>H17</f>
        <v>100</v>
      </c>
      <c r="V17" s="714" t="s">
        <v>17</v>
      </c>
      <c r="W17" s="715">
        <f>J17</f>
        <v>100</v>
      </c>
      <c r="X17" s="1539"/>
      <c r="Y17" s="3286"/>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51"/>
      <c r="M18" s="2945"/>
      <c r="N18" s="2945"/>
      <c r="O18" s="3003"/>
      <c r="P18" s="3286"/>
      <c r="Q18" s="1536"/>
      <c r="R18" s="714"/>
      <c r="S18" s="715"/>
      <c r="T18" s="714"/>
      <c r="U18" s="715"/>
      <c r="V18" s="714"/>
      <c r="W18" s="715"/>
      <c r="X18" s="1539"/>
      <c r="Y18" s="3286"/>
      <c r="Z18" s="1540"/>
      <c r="AA18" s="1537">
        <v>1</v>
      </c>
      <c r="AB18" s="1537">
        <v>1</v>
      </c>
      <c r="AC18" s="1537">
        <v>1</v>
      </c>
    </row>
    <row r="19" spans="1:29" ht="71.25">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1"/>
      <c r="M19" s="2945"/>
      <c r="N19" s="2945"/>
      <c r="O19" s="3003"/>
      <c r="P19" s="3286"/>
      <c r="Q19" s="1536" t="str">
        <f>B19</f>
        <v>办公集聚程度</v>
      </c>
      <c r="R19" s="714" t="s">
        <v>17</v>
      </c>
      <c r="S19" s="715">
        <f>F19</f>
        <v>100</v>
      </c>
      <c r="T19" s="714" t="s">
        <v>17</v>
      </c>
      <c r="U19" s="715">
        <f>H19</f>
        <v>100</v>
      </c>
      <c r="V19" s="714" t="s">
        <v>17</v>
      </c>
      <c r="W19" s="715">
        <f>J19</f>
        <v>100</v>
      </c>
      <c r="X19" s="1539"/>
      <c r="Y19" s="3286"/>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51"/>
      <c r="M20" s="2945"/>
      <c r="N20" s="2945"/>
      <c r="O20" s="3003"/>
      <c r="P20" s="3286"/>
      <c r="Q20" s="1536"/>
      <c r="R20" s="714"/>
      <c r="S20" s="715"/>
      <c r="T20" s="714"/>
      <c r="U20" s="715"/>
      <c r="V20" s="714"/>
      <c r="W20" s="715"/>
      <c r="X20" s="1539"/>
      <c r="Y20" s="3286"/>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1"/>
      <c r="M21" s="2945"/>
      <c r="N21" s="2945"/>
      <c r="O21" s="3003"/>
      <c r="P21" s="3286"/>
      <c r="Q21" s="1536" t="str">
        <f>B21</f>
        <v>交通便捷度</v>
      </c>
      <c r="R21" s="714" t="s">
        <v>17</v>
      </c>
      <c r="S21" s="715">
        <f>F21</f>
        <v>100</v>
      </c>
      <c r="T21" s="714" t="s">
        <v>17</v>
      </c>
      <c r="U21" s="715">
        <f>H21</f>
        <v>100</v>
      </c>
      <c r="V21" s="714" t="s">
        <v>17</v>
      </c>
      <c r="W21" s="715">
        <f>J21</f>
        <v>100</v>
      </c>
      <c r="X21" s="1539"/>
      <c r="Y21" s="3286"/>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51"/>
      <c r="M22" s="2945"/>
      <c r="N22" s="2945"/>
      <c r="O22" s="3003"/>
      <c r="P22" s="3286"/>
      <c r="Q22" s="1536"/>
      <c r="R22" s="714"/>
      <c r="S22" s="715"/>
      <c r="T22" s="714"/>
      <c r="U22" s="715"/>
      <c r="V22" s="714"/>
      <c r="W22" s="715"/>
      <c r="X22" s="1539"/>
      <c r="Y22" s="3286"/>
      <c r="Z22" s="1540"/>
      <c r="AA22" s="1537">
        <v>1</v>
      </c>
      <c r="AB22" s="1537">
        <v>1</v>
      </c>
      <c r="AC22" s="1537">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1"/>
      <c r="M23" s="2945"/>
      <c r="N23" s="2945"/>
      <c r="O23" s="3003"/>
      <c r="P23" s="3286"/>
      <c r="Q23" s="1536" t="str">
        <f t="shared" ref="Q23:Q37" si="8">B23</f>
        <v>区域土地利用方向</v>
      </c>
      <c r="R23" s="714" t="s">
        <v>17</v>
      </c>
      <c r="S23" s="715">
        <f>F23</f>
        <v>100</v>
      </c>
      <c r="T23" s="714" t="s">
        <v>17</v>
      </c>
      <c r="U23" s="715">
        <f>H23</f>
        <v>100</v>
      </c>
      <c r="V23" s="714" t="s">
        <v>17</v>
      </c>
      <c r="W23" s="715">
        <f>J23</f>
        <v>100</v>
      </c>
      <c r="X23" s="1539"/>
      <c r="Y23" s="3286"/>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1"/>
      <c r="M24" s="2945"/>
      <c r="N24" s="2945"/>
      <c r="O24" s="3003"/>
      <c r="P24" s="3286"/>
      <c r="Q24" s="1536"/>
      <c r="R24" s="714"/>
      <c r="S24" s="715"/>
      <c r="T24" s="714"/>
      <c r="U24" s="715"/>
      <c r="V24" s="714"/>
      <c r="W24" s="715"/>
      <c r="X24" s="1539"/>
      <c r="Y24" s="3286"/>
      <c r="Z24" s="1540"/>
      <c r="AA24" s="1537"/>
      <c r="AB24" s="1537"/>
      <c r="AC24" s="1537"/>
    </row>
    <row r="25" spans="1:29" ht="57">
      <c r="A25" s="364"/>
      <c r="B25" s="1293"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1"/>
      <c r="M25" s="2945"/>
      <c r="N25" s="2945"/>
      <c r="O25" s="3003"/>
      <c r="P25" s="3286"/>
      <c r="Q25" s="1536" t="str">
        <f t="shared" si="8"/>
        <v>自然及人文环境状况</v>
      </c>
      <c r="R25" s="714" t="s">
        <v>17</v>
      </c>
      <c r="S25" s="715">
        <f>F25</f>
        <v>100</v>
      </c>
      <c r="T25" s="714" t="s">
        <v>17</v>
      </c>
      <c r="U25" s="715">
        <f>H25</f>
        <v>100</v>
      </c>
      <c r="V25" s="714" t="s">
        <v>17</v>
      </c>
      <c r="W25" s="715">
        <f>J25</f>
        <v>100</v>
      </c>
      <c r="X25" s="1539"/>
      <c r="Y25" s="3286"/>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51"/>
      <c r="M26" s="2945"/>
      <c r="N26" s="2945"/>
      <c r="O26" s="3003"/>
      <c r="P26" s="3286"/>
      <c r="Q26" s="1536"/>
      <c r="R26" s="714"/>
      <c r="S26" s="715"/>
      <c r="T26" s="714"/>
      <c r="U26" s="715"/>
      <c r="V26" s="714"/>
      <c r="W26" s="715"/>
      <c r="X26" s="1539"/>
      <c r="Y26" s="3286"/>
      <c r="Z26" s="1540"/>
      <c r="AA26" s="1537">
        <v>1</v>
      </c>
      <c r="AB26" s="1537">
        <v>1</v>
      </c>
      <c r="AC26" s="1537">
        <v>1</v>
      </c>
    </row>
    <row r="27" spans="1:29" s="113" customFormat="1" ht="42.75">
      <c r="A27" s="605"/>
      <c r="B27" s="1293"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6"/>
      <c r="M27" s="2947"/>
      <c r="N27" s="2947"/>
      <c r="O27" s="3001"/>
      <c r="P27" s="3286"/>
      <c r="Q27" s="1527" t="str">
        <f t="shared" si="8"/>
        <v>公共配套设施</v>
      </c>
      <c r="R27" s="710" t="s">
        <v>17</v>
      </c>
      <c r="S27" s="711">
        <f>F27</f>
        <v>100</v>
      </c>
      <c r="T27" s="710" t="s">
        <v>17</v>
      </c>
      <c r="U27" s="711">
        <f>H27</f>
        <v>100</v>
      </c>
      <c r="V27" s="710" t="s">
        <v>17</v>
      </c>
      <c r="W27" s="711">
        <f>J27</f>
        <v>100</v>
      </c>
      <c r="X27" s="712"/>
      <c r="Y27" s="3286"/>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6"/>
      <c r="M28" s="2947"/>
      <c r="N28" s="2947"/>
      <c r="O28" s="3001"/>
      <c r="P28" s="3286"/>
      <c r="Q28" s="1527"/>
      <c r="R28" s="710"/>
      <c r="S28" s="711"/>
      <c r="T28" s="710"/>
      <c r="U28" s="711"/>
      <c r="V28" s="710"/>
      <c r="W28" s="711"/>
      <c r="X28" s="712"/>
      <c r="Y28" s="3286"/>
      <c r="Z28" s="55"/>
      <c r="AA28" s="1537">
        <v>1</v>
      </c>
      <c r="AB28" s="1537">
        <v>1</v>
      </c>
      <c r="AC28" s="1537">
        <v>1</v>
      </c>
    </row>
    <row r="29" spans="1:29" s="113" customFormat="1" ht="28.5">
      <c r="A29" s="605"/>
      <c r="B29" s="1293"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6"/>
      <c r="M29" s="2947"/>
      <c r="N29" s="2947"/>
      <c r="O29" s="3001"/>
      <c r="P29" s="3286"/>
      <c r="Q29" s="1527" t="str">
        <f t="shared" ref="Q29" si="9">B29</f>
        <v>基础设施水平</v>
      </c>
      <c r="R29" s="710" t="s">
        <v>17</v>
      </c>
      <c r="S29" s="711">
        <f>F29</f>
        <v>100</v>
      </c>
      <c r="T29" s="710" t="s">
        <v>17</v>
      </c>
      <c r="U29" s="711">
        <f>H29</f>
        <v>100</v>
      </c>
      <c r="V29" s="710" t="s">
        <v>17</v>
      </c>
      <c r="W29" s="711">
        <f>J29</f>
        <v>100</v>
      </c>
      <c r="X29" s="712"/>
      <c r="Y29" s="3286"/>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6"/>
      <c r="M30" s="2947"/>
      <c r="N30" s="2947"/>
      <c r="O30" s="3001"/>
      <c r="P30" s="3286"/>
      <c r="Q30" s="1527"/>
      <c r="R30" s="710"/>
      <c r="S30" s="711"/>
      <c r="T30" s="710"/>
      <c r="U30" s="711"/>
      <c r="V30" s="710"/>
      <c r="W30" s="711"/>
      <c r="X30" s="712"/>
      <c r="Y30" s="3286"/>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1"/>
      <c r="M31" s="2945"/>
      <c r="N31" s="2945"/>
      <c r="O31" s="3003"/>
      <c r="P31" s="3286"/>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286"/>
      <c r="Z31" s="1540" t="str">
        <f t="shared" ref="Z31:Z45" si="13">Q31</f>
        <v>临街状况</v>
      </c>
      <c r="AA31" s="1537">
        <f t="shared" si="3"/>
        <v>1</v>
      </c>
      <c r="AB31" s="1537">
        <f t="shared" si="4"/>
        <v>1</v>
      </c>
      <c r="AC31" s="1537">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1"/>
      <c r="M32" s="2945"/>
      <c r="N32" s="2945"/>
      <c r="O32" s="3003"/>
      <c r="P32" s="3286"/>
      <c r="Q32" s="1536" t="str">
        <f t="shared" si="8"/>
        <v>毗邻道路的类型与等级</v>
      </c>
      <c r="R32" s="714" t="s">
        <v>17</v>
      </c>
      <c r="S32" s="715">
        <f t="shared" si="10"/>
        <v>100</v>
      </c>
      <c r="T32" s="714" t="s">
        <v>17</v>
      </c>
      <c r="U32" s="715">
        <f t="shared" si="11"/>
        <v>100</v>
      </c>
      <c r="V32" s="714" t="s">
        <v>17</v>
      </c>
      <c r="W32" s="715">
        <f t="shared" si="12"/>
        <v>100</v>
      </c>
      <c r="X32" s="1539"/>
      <c r="Y32" s="3286"/>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51"/>
      <c r="M33" s="2945"/>
      <c r="N33" s="2945"/>
      <c r="O33" s="3003"/>
      <c r="P33" s="3286"/>
      <c r="Q33" s="1536"/>
      <c r="R33" s="714"/>
      <c r="S33" s="715"/>
      <c r="T33" s="714"/>
      <c r="U33" s="715"/>
      <c r="V33" s="714"/>
      <c r="W33" s="715"/>
      <c r="X33" s="1539"/>
      <c r="Y33" s="3286"/>
      <c r="Z33" s="1540"/>
      <c r="AA33" s="1537">
        <v>1</v>
      </c>
      <c r="AB33" s="1537">
        <v>1</v>
      </c>
      <c r="AC33" s="1537">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1"/>
      <c r="M34" s="2945"/>
      <c r="N34" s="2945"/>
      <c r="O34" s="3003"/>
      <c r="P34" s="3286"/>
      <c r="Q34" s="1536" t="str">
        <f t="shared" si="8"/>
        <v>土地级别</v>
      </c>
      <c r="R34" s="714" t="s">
        <v>17</v>
      </c>
      <c r="S34" s="715">
        <f t="shared" si="10"/>
        <v>100</v>
      </c>
      <c r="T34" s="714" t="s">
        <v>17</v>
      </c>
      <c r="U34" s="715">
        <f t="shared" si="11"/>
        <v>100</v>
      </c>
      <c r="V34" s="714" t="s">
        <v>17</v>
      </c>
      <c r="W34" s="715">
        <f t="shared" si="12"/>
        <v>100</v>
      </c>
      <c r="X34" s="1539"/>
      <c r="Y34" s="3286"/>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1"/>
      <c r="M35" s="2945"/>
      <c r="N35" s="2945"/>
      <c r="O35" s="3003"/>
      <c r="P35" s="3286"/>
      <c r="Q35" s="1536">
        <f t="shared" si="8"/>
        <v>111</v>
      </c>
      <c r="R35" s="714" t="s">
        <v>17</v>
      </c>
      <c r="S35" s="715">
        <f t="shared" si="10"/>
        <v>100</v>
      </c>
      <c r="T35" s="714" t="s">
        <v>17</v>
      </c>
      <c r="U35" s="715">
        <f t="shared" si="11"/>
        <v>100</v>
      </c>
      <c r="V35" s="714" t="s">
        <v>17</v>
      </c>
      <c r="W35" s="715">
        <f t="shared" si="12"/>
        <v>100</v>
      </c>
      <c r="X35" s="1539"/>
      <c r="Y35" s="3286"/>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1"/>
      <c r="M36" s="2945"/>
      <c r="N36" s="2945"/>
      <c r="O36" s="3003"/>
      <c r="P36" s="3341" t="s">
        <v>2386</v>
      </c>
      <c r="Q36" s="1536">
        <f t="shared" si="8"/>
        <v>111</v>
      </c>
      <c r="R36" s="714" t="s">
        <v>17</v>
      </c>
      <c r="S36" s="715">
        <f t="shared" si="10"/>
        <v>100</v>
      </c>
      <c r="T36" s="714" t="s">
        <v>17</v>
      </c>
      <c r="U36" s="715">
        <f t="shared" si="11"/>
        <v>100</v>
      </c>
      <c r="V36" s="714" t="s">
        <v>17</v>
      </c>
      <c r="W36" s="715">
        <f t="shared" si="12"/>
        <v>100</v>
      </c>
      <c r="X36" s="1539"/>
      <c r="Y36" s="3290" t="s">
        <v>2386</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0"/>
      <c r="M37" s="2952"/>
      <c r="N37" s="2952"/>
      <c r="O37" s="3004"/>
      <c r="P37" s="3290"/>
      <c r="Q37" s="1536">
        <f t="shared" si="8"/>
        <v>111</v>
      </c>
      <c r="R37" s="717" t="s">
        <v>17</v>
      </c>
      <c r="S37" s="718">
        <f t="shared" si="10"/>
        <v>100</v>
      </c>
      <c r="T37" s="717" t="s">
        <v>17</v>
      </c>
      <c r="U37" s="718">
        <f t="shared" si="11"/>
        <v>100</v>
      </c>
      <c r="V37" s="717" t="s">
        <v>17</v>
      </c>
      <c r="W37" s="718">
        <f t="shared" si="12"/>
        <v>100</v>
      </c>
      <c r="X37" s="719"/>
      <c r="Y37" s="3290"/>
      <c r="Z37" s="720">
        <f t="shared" si="13"/>
        <v>111</v>
      </c>
      <c r="AA37" s="1537">
        <f t="shared" si="3"/>
        <v>1</v>
      </c>
      <c r="AB37" s="1537">
        <f t="shared" si="4"/>
        <v>1</v>
      </c>
      <c r="AC37" s="1537">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1"/>
      <c r="M38" s="2945"/>
      <c r="N38" s="2945"/>
      <c r="O38" s="3003"/>
      <c r="P38" s="3290"/>
      <c r="Q38" s="1536" t="str">
        <f>B38</f>
        <v>宗地面积</v>
      </c>
      <c r="R38" s="714" t="s">
        <v>17</v>
      </c>
      <c r="S38" s="715" t="e">
        <f t="shared" si="10"/>
        <v>#N/A</v>
      </c>
      <c r="T38" s="714" t="s">
        <v>17</v>
      </c>
      <c r="U38" s="715" t="e">
        <f t="shared" si="11"/>
        <v>#N/A</v>
      </c>
      <c r="V38" s="714" t="s">
        <v>17</v>
      </c>
      <c r="W38" s="715" t="e">
        <f t="shared" si="12"/>
        <v>#N/A</v>
      </c>
      <c r="X38" s="1539"/>
      <c r="Y38" s="3290"/>
      <c r="Z38" s="1540" t="str">
        <f t="shared" si="13"/>
        <v>宗地面积</v>
      </c>
      <c r="AA38" s="1537" t="e">
        <f t="shared" si="3"/>
        <v>#N/A</v>
      </c>
      <c r="AB38" s="1537" t="e">
        <f t="shared" si="4"/>
        <v>#N/A</v>
      </c>
      <c r="AC38" s="1537" t="e">
        <f t="shared" si="5"/>
        <v>#N/A</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1"/>
      <c r="M39" s="2945"/>
      <c r="N39" s="2945"/>
      <c r="O39" s="3003"/>
      <c r="P39" s="3290"/>
      <c r="Q39" s="1536" t="str">
        <f t="shared" ref="Q39:Q45" si="14">B39</f>
        <v>宗地形状</v>
      </c>
      <c r="R39" s="714" t="s">
        <v>17</v>
      </c>
      <c r="S39" s="715">
        <f t="shared" si="10"/>
        <v>100</v>
      </c>
      <c r="T39" s="714" t="s">
        <v>17</v>
      </c>
      <c r="U39" s="715">
        <f t="shared" si="11"/>
        <v>100</v>
      </c>
      <c r="V39" s="714" t="s">
        <v>17</v>
      </c>
      <c r="W39" s="715">
        <f t="shared" si="12"/>
        <v>100</v>
      </c>
      <c r="X39" s="1539"/>
      <c r="Y39" s="3290"/>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1"/>
      <c r="M40" s="2945"/>
      <c r="N40" s="2945"/>
      <c r="O40" s="3003"/>
      <c r="P40" s="3290"/>
      <c r="Q40" s="1536" t="str">
        <f t="shared" si="14"/>
        <v>临街宽度及深度</v>
      </c>
      <c r="R40" s="714" t="s">
        <v>17</v>
      </c>
      <c r="S40" s="715">
        <f t="shared" si="10"/>
        <v>100</v>
      </c>
      <c r="T40" s="714" t="s">
        <v>17</v>
      </c>
      <c r="U40" s="715">
        <f t="shared" si="11"/>
        <v>100</v>
      </c>
      <c r="V40" s="714" t="s">
        <v>17</v>
      </c>
      <c r="W40" s="715">
        <f t="shared" si="12"/>
        <v>100</v>
      </c>
      <c r="X40" s="1539"/>
      <c r="Y40" s="3290"/>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6"/>
      <c r="M41" s="2947"/>
      <c r="N41" s="2947"/>
      <c r="O41" s="3001"/>
      <c r="P41" s="3290"/>
      <c r="Q41" s="1536" t="str">
        <f t="shared" si="14"/>
        <v>宗地开发程度</v>
      </c>
      <c r="R41" s="710" t="s">
        <v>17</v>
      </c>
      <c r="S41" s="711">
        <f t="shared" si="10"/>
        <v>100</v>
      </c>
      <c r="T41" s="710" t="s">
        <v>17</v>
      </c>
      <c r="U41" s="711">
        <f t="shared" si="11"/>
        <v>100</v>
      </c>
      <c r="V41" s="710" t="s">
        <v>17</v>
      </c>
      <c r="W41" s="711">
        <f t="shared" si="12"/>
        <v>100</v>
      </c>
      <c r="X41" s="712"/>
      <c r="Y41" s="3290"/>
      <c r="Z41" s="55" t="str">
        <f t="shared" si="13"/>
        <v>宗地开发程度</v>
      </c>
      <c r="AA41" s="713">
        <f t="shared" si="3"/>
        <v>1</v>
      </c>
      <c r="AB41" s="713">
        <f t="shared" si="4"/>
        <v>1</v>
      </c>
      <c r="AC41" s="713">
        <f t="shared" si="5"/>
        <v>1</v>
      </c>
    </row>
    <row r="42" spans="1:29" ht="15">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1"/>
      <c r="M42" s="2945"/>
      <c r="N42" s="2945"/>
      <c r="O42" s="3003"/>
      <c r="P42" s="3290" t="s">
        <v>2386</v>
      </c>
      <c r="Q42" s="1536" t="str">
        <f t="shared" si="14"/>
        <v>工程地质条件</v>
      </c>
      <c r="R42" s="714" t="s">
        <v>17</v>
      </c>
      <c r="S42" s="715">
        <f t="shared" si="10"/>
        <v>100</v>
      </c>
      <c r="T42" s="714" t="s">
        <v>17</v>
      </c>
      <c r="U42" s="715">
        <f t="shared" si="11"/>
        <v>100</v>
      </c>
      <c r="V42" s="714" t="s">
        <v>17</v>
      </c>
      <c r="W42" s="715">
        <f t="shared" si="12"/>
        <v>100</v>
      </c>
      <c r="X42" s="1539"/>
      <c r="Y42" s="3290" t="s">
        <v>2386</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1"/>
      <c r="M43" s="2945"/>
      <c r="N43" s="2945"/>
      <c r="O43" s="3003"/>
      <c r="P43" s="3290"/>
      <c r="Q43" s="1536">
        <f t="shared" si="14"/>
        <v>111</v>
      </c>
      <c r="R43" s="714" t="s">
        <v>17</v>
      </c>
      <c r="S43" s="715">
        <f t="shared" si="10"/>
        <v>100</v>
      </c>
      <c r="T43" s="714" t="s">
        <v>17</v>
      </c>
      <c r="U43" s="715">
        <f t="shared" si="11"/>
        <v>100</v>
      </c>
      <c r="V43" s="714" t="s">
        <v>17</v>
      </c>
      <c r="W43" s="715">
        <f t="shared" si="12"/>
        <v>100</v>
      </c>
      <c r="X43" s="1539"/>
      <c r="Y43" s="3290"/>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1"/>
      <c r="M44" s="2945"/>
      <c r="N44" s="2945"/>
      <c r="O44" s="3003"/>
      <c r="P44" s="3290"/>
      <c r="Q44" s="1536">
        <f t="shared" si="14"/>
        <v>111</v>
      </c>
      <c r="R44" s="714" t="s">
        <v>17</v>
      </c>
      <c r="S44" s="715">
        <f t="shared" si="10"/>
        <v>100</v>
      </c>
      <c r="T44" s="714" t="s">
        <v>17</v>
      </c>
      <c r="U44" s="715">
        <f t="shared" si="11"/>
        <v>100</v>
      </c>
      <c r="V44" s="714" t="s">
        <v>17</v>
      </c>
      <c r="W44" s="715">
        <f t="shared" si="12"/>
        <v>100</v>
      </c>
      <c r="X44" s="1539"/>
      <c r="Y44" s="3290"/>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50"/>
      <c r="M45" s="2952"/>
      <c r="N45" s="2952"/>
      <c r="O45" s="3004"/>
      <c r="P45" s="3290"/>
      <c r="Q45" s="1536">
        <f t="shared" si="14"/>
        <v>111</v>
      </c>
      <c r="R45" s="717" t="s">
        <v>17</v>
      </c>
      <c r="S45" s="718">
        <f t="shared" si="10"/>
        <v>100</v>
      </c>
      <c r="T45" s="717" t="s">
        <v>17</v>
      </c>
      <c r="U45" s="718">
        <f t="shared" si="11"/>
        <v>100</v>
      </c>
      <c r="V45" s="717" t="s">
        <v>17</v>
      </c>
      <c r="W45" s="718">
        <f t="shared" si="12"/>
        <v>100</v>
      </c>
      <c r="X45" s="719"/>
      <c r="Y45" s="3290"/>
      <c r="Z45" s="720">
        <f t="shared" si="13"/>
        <v>111</v>
      </c>
      <c r="AA45" s="1537">
        <f t="shared" si="3"/>
        <v>1</v>
      </c>
      <c r="AB45" s="1537">
        <f t="shared" si="4"/>
        <v>1</v>
      </c>
      <c r="AC45" s="1537">
        <f t="shared" si="5"/>
        <v>1</v>
      </c>
    </row>
    <row r="46" spans="1:29" ht="15">
      <c r="A46" s="438" t="s">
        <v>2541</v>
      </c>
      <c r="B46" s="2168" t="s">
        <v>2577</v>
      </c>
      <c r="C46" s="638" t="s">
        <v>1</v>
      </c>
      <c r="D46" s="440"/>
      <c r="E46" s="441"/>
      <c r="F46" s="442"/>
      <c r="G46" s="443"/>
      <c r="H46" s="444"/>
      <c r="I46" s="441"/>
      <c r="J46" s="444"/>
      <c r="K46" s="723"/>
      <c r="L46" s="2953"/>
      <c r="M46" s="2954"/>
      <c r="N46" s="2945"/>
      <c r="O46" s="2954"/>
      <c r="P46" s="3283" t="str">
        <f>A46</f>
        <v>成交单价</v>
      </c>
      <c r="Q46" s="3283"/>
      <c r="R46" s="3314">
        <f>E46</f>
        <v>0</v>
      </c>
      <c r="S46" s="3314"/>
      <c r="T46" s="3314">
        <f>G46</f>
        <v>0</v>
      </c>
      <c r="U46" s="3314"/>
      <c r="V46" s="3314">
        <f>I46</f>
        <v>0</v>
      </c>
      <c r="W46" s="3314"/>
      <c r="X46" s="699"/>
      <c r="Y46" s="721"/>
      <c r="Z46" s="699"/>
      <c r="AA46" s="699"/>
      <c r="AB46" s="699"/>
      <c r="AC46" s="699"/>
    </row>
    <row r="47" spans="1:29" ht="15.75" thickBot="1">
      <c r="A47" s="445" t="s">
        <v>2490</v>
      </c>
      <c r="B47" s="639"/>
      <c r="C47" s="448" t="e">
        <f>R48</f>
        <v>#DIV/0!</v>
      </c>
      <c r="D47" s="2538" t="s">
        <v>2880</v>
      </c>
      <c r="E47" s="448" t="e">
        <f>R47</f>
        <v>#DIV/0!</v>
      </c>
      <c r="F47" s="2539"/>
      <c r="G47" s="447" t="e">
        <f>T47</f>
        <v>#DIV/0!</v>
      </c>
      <c r="H47" s="2539"/>
      <c r="I47" s="448" t="e">
        <f>V47</f>
        <v>#DIV/0!</v>
      </c>
      <c r="J47" s="2539"/>
      <c r="K47" s="2541">
        <f>F47+H47+J47</f>
        <v>0</v>
      </c>
      <c r="L47" s="2953"/>
      <c r="M47" s="2954"/>
      <c r="N47" s="2954"/>
      <c r="O47" s="2954"/>
      <c r="P47" s="3283" t="str">
        <f>A47</f>
        <v>比较价值（元/平方米）</v>
      </c>
      <c r="Q47" s="3283"/>
      <c r="R47" s="3343" t="e">
        <f>ROUND(PRODUCT(R46,AA7:AA45),0)</f>
        <v>#DIV/0!</v>
      </c>
      <c r="S47" s="3343"/>
      <c r="T47" s="3343" t="e">
        <f>ROUND(PRODUCT(T46,AB7:AB45),0)</f>
        <v>#DIV/0!</v>
      </c>
      <c r="U47" s="3343"/>
      <c r="V47" s="3343" t="e">
        <f>ROUND(PRODUCT(V46,AC7:AC45),0)</f>
        <v>#DIV/0!</v>
      </c>
      <c r="W47" s="3343"/>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3"/>
      <c r="M48" s="2954"/>
      <c r="N48" s="2954"/>
      <c r="O48" s="2954"/>
      <c r="P48" s="3280" t="str">
        <f>A48</f>
        <v>估价对象XX用房的比较价值（楼面单价，元/平方米）</v>
      </c>
      <c r="Q48" s="3281"/>
      <c r="R48" s="3344" t="e">
        <f>ROUND(IF(D47="简单平均",AVERAGE(R47:W47),R47*F47+T47*H47+V47*J47),0)</f>
        <v>#DIV/0!</v>
      </c>
      <c r="S48" s="3344"/>
      <c r="T48" s="3344"/>
      <c r="U48" s="3344"/>
      <c r="V48" s="3344"/>
      <c r="W48" s="3344"/>
      <c r="X48" s="699"/>
      <c r="Y48" s="699"/>
      <c r="Z48" s="699"/>
      <c r="AA48" s="699"/>
      <c r="AB48" s="699"/>
      <c r="AC48" s="699"/>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9"/>
      <c r="L52" s="2955"/>
      <c r="M52" s="2954"/>
      <c r="N52" s="2954"/>
      <c r="O52" s="2954"/>
      <c r="P52" s="2954"/>
      <c r="Q52" s="2954"/>
      <c r="R52" s="2954"/>
      <c r="S52" s="2954"/>
      <c r="T52" s="2954"/>
      <c r="U52" s="2954"/>
      <c r="V52" s="2954"/>
      <c r="W52" s="2954"/>
      <c r="X52" s="2954"/>
      <c r="Y52" s="2954"/>
      <c r="Z52" s="2954"/>
      <c r="AA52" s="2954"/>
      <c r="AB52" s="2954"/>
      <c r="AC52" s="2954"/>
    </row>
    <row r="53" spans="1:29" s="459" customFormat="1" ht="13.5" customHeight="1">
      <c r="A53" s="2957"/>
      <c r="B53" s="2957"/>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2"/>
      <c r="L53" s="2956"/>
      <c r="M53" s="2957"/>
      <c r="N53" s="2957"/>
      <c r="O53" s="2957"/>
      <c r="P53" s="2957"/>
      <c r="Q53" s="2957"/>
      <c r="R53" s="2957"/>
      <c r="S53" s="2957"/>
      <c r="T53" s="2957"/>
      <c r="U53" s="2957"/>
      <c r="V53" s="2957"/>
      <c r="W53" s="2957"/>
      <c r="X53" s="2957"/>
      <c r="Y53" s="2957"/>
      <c r="Z53" s="2957"/>
      <c r="AA53" s="2957"/>
      <c r="AB53" s="2957"/>
      <c r="AC53" s="2957"/>
    </row>
    <row r="54" spans="1:29" s="459" customFormat="1" ht="15" thickBot="1">
      <c r="A54" s="2957"/>
      <c r="B54" s="2960"/>
      <c r="C54" s="702"/>
      <c r="D54" s="700"/>
      <c r="E54" s="700"/>
      <c r="F54" s="700"/>
      <c r="G54" s="700"/>
      <c r="H54" s="700"/>
      <c r="I54" s="700"/>
      <c r="J54" s="700"/>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40" t="s">
        <v>2579</v>
      </c>
      <c r="B55" s="641" t="s">
        <v>2580</v>
      </c>
      <c r="C55" s="2169" t="s">
        <v>2581</v>
      </c>
      <c r="D55" s="2170" t="s">
        <v>2582</v>
      </c>
      <c r="E55" s="642" t="s">
        <v>2583</v>
      </c>
      <c r="F55" s="1021" t="s">
        <v>2584</v>
      </c>
      <c r="G55" s="3298" t="s">
        <v>2585</v>
      </c>
      <c r="H55" s="3345"/>
      <c r="I55" s="140" t="s">
        <v>2586</v>
      </c>
      <c r="J55" s="2171">
        <f>项目基本情况!F35</f>
        <v>0</v>
      </c>
      <c r="K55" s="2172" t="s">
        <v>2587</v>
      </c>
      <c r="L55" s="2955"/>
      <c r="M55" s="2954"/>
      <c r="N55" s="2954"/>
      <c r="O55" s="2954"/>
      <c r="P55" s="2954"/>
      <c r="Q55" s="2954"/>
      <c r="R55" s="2954"/>
      <c r="S55" s="2954"/>
      <c r="T55" s="2954"/>
      <c r="U55" s="2954"/>
      <c r="V55" s="2954"/>
      <c r="W55" s="2954"/>
      <c r="X55" s="2954"/>
      <c r="Y55" s="2954"/>
      <c r="Z55" s="2954"/>
      <c r="AA55" s="2954"/>
      <c r="AB55" s="2954"/>
      <c r="AC55" s="2954"/>
    </row>
    <row r="56" spans="1:29" s="648" customFormat="1">
      <c r="A56" s="644" t="s">
        <v>2588</v>
      </c>
      <c r="B56" s="645" t="e">
        <f>C48</f>
        <v>#DIV/0!</v>
      </c>
      <c r="C56" s="646">
        <v>1</v>
      </c>
      <c r="D56" s="1075">
        <v>1</v>
      </c>
      <c r="E56" s="646">
        <f>'数据-汇总表'!E8+'数据-汇总表'!E9</f>
        <v>32069.72</v>
      </c>
      <c r="F56" s="1017" t="e">
        <f t="shared" ref="F56:F65" si="15">ROUND(B56*E56/10000,0)</f>
        <v>#DIV/0!</v>
      </c>
      <c r="G56" s="3294"/>
      <c r="H56" s="3283"/>
      <c r="I56" s="1022">
        <v>1</v>
      </c>
      <c r="J56" s="1025">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8" customFormat="1">
      <c r="A57" s="649" t="s">
        <v>2589</v>
      </c>
      <c r="B57" s="224" t="e">
        <f>ROUND($C$48*C57*D57,0)</f>
        <v>#DIV/0!</v>
      </c>
      <c r="C57" s="176">
        <f t="shared" ref="C57:C65" si="16">IF($C$55="北京市系数",I57,J57)</f>
        <v>0</v>
      </c>
      <c r="D57" s="1076">
        <v>0.25</v>
      </c>
      <c r="E57" s="650"/>
      <c r="F57" s="1017" t="e">
        <f t="shared" si="15"/>
        <v>#DIV/0!</v>
      </c>
      <c r="G57" s="3346" t="s">
        <v>2590</v>
      </c>
      <c r="H57" s="1018">
        <f>项目基本情况!B37</f>
        <v>0</v>
      </c>
      <c r="I57" s="1022">
        <f>SUMIF(修正!A45:A56,H57,修正!B45:B56)</f>
        <v>0</v>
      </c>
      <c r="J57" s="1026"/>
      <c r="K57" s="2954"/>
      <c r="L57" s="3011"/>
      <c r="M57" s="3011"/>
      <c r="N57" s="3011"/>
      <c r="O57" s="3011"/>
      <c r="P57" s="3011"/>
      <c r="Q57" s="3011"/>
      <c r="R57" s="3011"/>
      <c r="S57" s="3011"/>
      <c r="T57" s="3011"/>
      <c r="U57" s="3011"/>
      <c r="V57" s="3011"/>
      <c r="W57" s="3011"/>
      <c r="X57" s="3011"/>
      <c r="Y57" s="3011"/>
      <c r="Z57" s="3011"/>
      <c r="AA57" s="3011"/>
      <c r="AB57" s="3011"/>
      <c r="AC57" s="3011"/>
    </row>
    <row r="58" spans="1:29" s="648" customFormat="1">
      <c r="A58" s="649" t="s">
        <v>2591</v>
      </c>
      <c r="B58" s="224" t="e">
        <f t="shared" ref="B58:B65" si="17">ROUND($C$48*C58*D58,0)</f>
        <v>#DIV/0!</v>
      </c>
      <c r="C58" s="176">
        <f t="shared" si="16"/>
        <v>0</v>
      </c>
      <c r="D58" s="1076">
        <v>0.25</v>
      </c>
      <c r="E58" s="650"/>
      <c r="F58" s="1017" t="e">
        <f t="shared" si="15"/>
        <v>#DIV/0!</v>
      </c>
      <c r="G58" s="3346"/>
      <c r="H58" s="1018">
        <f>项目基本情况!B37</f>
        <v>0</v>
      </c>
      <c r="I58" s="1022">
        <f>SUMIF(修正!A45:A56,H58,修正!C45:C56)</f>
        <v>0</v>
      </c>
      <c r="J58" s="1026"/>
      <c r="K58" s="2957"/>
      <c r="L58" s="3011"/>
      <c r="M58" s="3011"/>
      <c r="N58" s="3011"/>
      <c r="O58" s="3011"/>
      <c r="P58" s="3011"/>
      <c r="Q58" s="3011"/>
      <c r="R58" s="3011"/>
      <c r="S58" s="3011"/>
      <c r="T58" s="3011"/>
      <c r="U58" s="3011"/>
      <c r="V58" s="3011"/>
      <c r="W58" s="3011"/>
      <c r="X58" s="3011"/>
      <c r="Y58" s="3011"/>
      <c r="Z58" s="3011"/>
      <c r="AA58" s="3011"/>
      <c r="AB58" s="3011"/>
      <c r="AC58" s="3011"/>
    </row>
    <row r="59" spans="1:29" s="648" customFormat="1">
      <c r="A59" s="649" t="s">
        <v>2592</v>
      </c>
      <c r="B59" s="224" t="e">
        <f t="shared" si="17"/>
        <v>#DIV/0!</v>
      </c>
      <c r="C59" s="176">
        <f t="shared" si="16"/>
        <v>0</v>
      </c>
      <c r="D59" s="1076">
        <v>0.25</v>
      </c>
      <c r="E59" s="650"/>
      <c r="F59" s="1017" t="e">
        <f t="shared" si="15"/>
        <v>#DIV/0!</v>
      </c>
      <c r="G59" s="3346"/>
      <c r="H59" s="1018">
        <f>项目基本情况!B37</f>
        <v>0</v>
      </c>
      <c r="I59" s="1022">
        <f>SUMIF(修正!A45:A56,H59,修正!D45:D56)</f>
        <v>0</v>
      </c>
      <c r="J59" s="1026"/>
      <c r="K59" s="2954"/>
      <c r="L59" s="3011"/>
      <c r="M59" s="3011"/>
      <c r="N59" s="3011"/>
      <c r="O59" s="3011"/>
      <c r="P59" s="3011"/>
      <c r="Q59" s="3011"/>
      <c r="R59" s="3011"/>
      <c r="S59" s="3011"/>
      <c r="T59" s="3011"/>
      <c r="U59" s="3011"/>
      <c r="V59" s="3011"/>
      <c r="W59" s="3011"/>
      <c r="X59" s="3011"/>
      <c r="Y59" s="3011"/>
      <c r="Z59" s="3011"/>
      <c r="AA59" s="3011"/>
      <c r="AB59" s="3011"/>
      <c r="AC59" s="3011"/>
    </row>
    <row r="60" spans="1:29" s="648" customFormat="1">
      <c r="A60" s="649" t="s">
        <v>2593</v>
      </c>
      <c r="B60" s="224" t="e">
        <f t="shared" si="17"/>
        <v>#DIV/0!</v>
      </c>
      <c r="C60" s="176">
        <f t="shared" si="16"/>
        <v>0</v>
      </c>
      <c r="D60" s="1076">
        <v>0.25</v>
      </c>
      <c r="E60" s="650"/>
      <c r="F60" s="1017" t="e">
        <f t="shared" si="15"/>
        <v>#DIV/0!</v>
      </c>
      <c r="G60" s="3346"/>
      <c r="H60" s="1018">
        <f>项目基本情况!B37</f>
        <v>0</v>
      </c>
      <c r="I60" s="1022">
        <f>SUMIF(修正!A45:A56,H60,修正!E45:E56)</f>
        <v>0</v>
      </c>
      <c r="J60" s="1026"/>
      <c r="K60" s="2957"/>
      <c r="L60" s="3011"/>
      <c r="M60" s="3011"/>
      <c r="N60" s="3011"/>
      <c r="O60" s="3011"/>
      <c r="P60" s="3011"/>
      <c r="Q60" s="3011"/>
      <c r="R60" s="3011"/>
      <c r="S60" s="3011"/>
      <c r="T60" s="3011"/>
      <c r="U60" s="3011"/>
      <c r="V60" s="3011"/>
      <c r="W60" s="3011"/>
      <c r="X60" s="3011"/>
      <c r="Y60" s="3011"/>
      <c r="Z60" s="3011"/>
      <c r="AA60" s="3011"/>
      <c r="AB60" s="3011"/>
      <c r="AC60" s="3011"/>
    </row>
    <row r="61" spans="1:29" s="648" customFormat="1">
      <c r="A61" s="649" t="s">
        <v>2594</v>
      </c>
      <c r="B61" s="224" t="e">
        <f t="shared" si="17"/>
        <v>#DIV/0!</v>
      </c>
      <c r="C61" s="176">
        <f t="shared" si="16"/>
        <v>0</v>
      </c>
      <c r="D61" s="1076">
        <v>0.25</v>
      </c>
      <c r="E61" s="223">
        <f>'数据-汇总表'!E11</f>
        <v>0</v>
      </c>
      <c r="F61" s="1017" t="e">
        <f t="shared" si="15"/>
        <v>#DIV/0!</v>
      </c>
      <c r="G61" s="2173" t="s">
        <v>2595</v>
      </c>
      <c r="H61" s="1018">
        <f>项目基本情况!C37</f>
        <v>0</v>
      </c>
      <c r="I61" s="1022">
        <f>SUMIF(修正!A45:A56,H61,修正!F45:F56)</f>
        <v>0</v>
      </c>
      <c r="J61" s="1026"/>
      <c r="K61" s="2954"/>
      <c r="L61" s="3011"/>
      <c r="M61" s="3011"/>
      <c r="N61" s="3011"/>
      <c r="O61" s="3011"/>
      <c r="P61" s="3011"/>
      <c r="Q61" s="3011"/>
      <c r="R61" s="3011"/>
      <c r="S61" s="3011"/>
      <c r="T61" s="3011"/>
      <c r="U61" s="3011"/>
      <c r="V61" s="3011"/>
      <c r="W61" s="3011"/>
      <c r="X61" s="3011"/>
      <c r="Y61" s="3011"/>
      <c r="Z61" s="3011"/>
      <c r="AA61" s="3011"/>
      <c r="AB61" s="3011"/>
      <c r="AC61" s="3011"/>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7"/>
      <c r="L62" s="3011"/>
      <c r="M62" s="3011"/>
      <c r="N62" s="3011"/>
      <c r="O62" s="3011"/>
      <c r="P62" s="3011"/>
      <c r="Q62" s="3011"/>
      <c r="R62" s="3011"/>
      <c r="S62" s="3011"/>
      <c r="T62" s="3011"/>
      <c r="U62" s="3011"/>
      <c r="V62" s="3011"/>
      <c r="W62" s="3011"/>
      <c r="X62" s="3011"/>
      <c r="Y62" s="3011"/>
      <c r="Z62" s="3011"/>
      <c r="AA62" s="3011"/>
      <c r="AB62" s="3011"/>
      <c r="AC62" s="3011"/>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4"/>
      <c r="L63" s="3011"/>
      <c r="M63" s="3011"/>
      <c r="N63" s="3011"/>
      <c r="O63" s="3011"/>
      <c r="P63" s="3011"/>
      <c r="Q63" s="3011"/>
      <c r="R63" s="3011"/>
      <c r="S63" s="3011"/>
      <c r="T63" s="3011"/>
      <c r="U63" s="3011"/>
      <c r="V63" s="3011"/>
      <c r="W63" s="3011"/>
      <c r="X63" s="3011"/>
      <c r="Y63" s="3011"/>
      <c r="Z63" s="3011"/>
      <c r="AA63" s="3011"/>
      <c r="AB63" s="3011"/>
      <c r="AC63" s="3011"/>
    </row>
    <row r="64" spans="1:29" s="648" customFormat="1">
      <c r="A64" s="649" t="s">
        <v>2600</v>
      </c>
      <c r="B64" s="224" t="e">
        <f t="shared" si="17"/>
        <v>#DIV/0!</v>
      </c>
      <c r="C64" s="176">
        <f t="shared" si="16"/>
        <v>0</v>
      </c>
      <c r="D64" s="1076">
        <v>0.25</v>
      </c>
      <c r="E64" s="223">
        <f>'数据-汇总表'!E14</f>
        <v>0</v>
      </c>
      <c r="F64" s="1017" t="e">
        <f t="shared" si="15"/>
        <v>#DIV/0!</v>
      </c>
      <c r="G64" s="2173" t="s">
        <v>2590</v>
      </c>
      <c r="H64" s="1018">
        <f>项目基本情况!B37</f>
        <v>0</v>
      </c>
      <c r="I64" s="1022">
        <f>SUMIF(修正!A45:A56,H64,修正!H45:H56)</f>
        <v>0</v>
      </c>
      <c r="J64" s="1026"/>
      <c r="K64" s="2957"/>
      <c r="L64" s="3011"/>
      <c r="M64" s="3011"/>
      <c r="N64" s="3011"/>
      <c r="O64" s="3011"/>
      <c r="P64" s="3011"/>
      <c r="Q64" s="3011"/>
      <c r="R64" s="3011"/>
      <c r="S64" s="3011"/>
      <c r="T64" s="3011"/>
      <c r="U64" s="3011"/>
      <c r="V64" s="3011"/>
      <c r="W64" s="3011"/>
      <c r="X64" s="3011"/>
      <c r="Y64" s="3011"/>
      <c r="Z64" s="3011"/>
      <c r="AA64" s="3011"/>
      <c r="AB64" s="3011"/>
      <c r="AC64" s="3011"/>
    </row>
    <row r="65" spans="1:29" s="648" customFormat="1" ht="15" thickBot="1">
      <c r="A65" s="649" t="s">
        <v>2601</v>
      </c>
      <c r="B65" s="224" t="e">
        <f t="shared" si="17"/>
        <v>#DIV/0!</v>
      </c>
      <c r="C65" s="176">
        <f t="shared" si="16"/>
        <v>0</v>
      </c>
      <c r="D65" s="1076">
        <v>0.25</v>
      </c>
      <c r="E65" s="223">
        <f>'数据-汇总表'!E15</f>
        <v>0</v>
      </c>
      <c r="F65" s="1017" t="e">
        <f t="shared" si="15"/>
        <v>#DIV/0!</v>
      </c>
      <c r="G65" s="2174" t="s">
        <v>2595</v>
      </c>
      <c r="H65" s="1028">
        <f>项目基本情况!C37</f>
        <v>0</v>
      </c>
      <c r="I65" s="1024">
        <f>SUMIF(修正!A45:A56,H65,修正!H45:H56)</f>
        <v>0</v>
      </c>
      <c r="J65" s="1027"/>
      <c r="K65" s="2954"/>
      <c r="L65" s="3011"/>
      <c r="M65" s="3011"/>
      <c r="N65" s="3011"/>
      <c r="O65" s="3011"/>
      <c r="P65" s="3011"/>
      <c r="Q65" s="3011"/>
      <c r="R65" s="3011"/>
      <c r="S65" s="3011"/>
      <c r="T65" s="3011"/>
      <c r="U65" s="3011"/>
      <c r="V65" s="3011"/>
      <c r="W65" s="3011"/>
      <c r="X65" s="3011"/>
      <c r="Y65" s="3011"/>
      <c r="Z65" s="3011"/>
      <c r="AA65" s="3011"/>
      <c r="AB65" s="3011"/>
      <c r="AC65" s="3011"/>
    </row>
    <row r="66" spans="1:29" s="648" customFormat="1" ht="13.5" thickBot="1">
      <c r="A66" s="651" t="s">
        <v>2602</v>
      </c>
      <c r="B66" s="652" t="s">
        <v>28</v>
      </c>
      <c r="C66" s="652" t="s">
        <v>29</v>
      </c>
      <c r="D66" s="652" t="s">
        <v>997</v>
      </c>
      <c r="E66" s="652">
        <f>IF(B46="楼面地价",SUM(E56:E65),'数据-汇总表'!D3)</f>
        <v>32069.72</v>
      </c>
      <c r="F66" s="653" t="e">
        <f>IF(B46="楼面地价",SUM(F56:F65),ROUND(C48*E66/10000,0))</f>
        <v>#DIV/0!</v>
      </c>
      <c r="G66" s="726"/>
      <c r="H66" s="726"/>
      <c r="I66" s="726"/>
      <c r="J66" s="726"/>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9"/>
      <c r="B67" s="701"/>
      <c r="C67" s="702"/>
      <c r="D67" s="699"/>
      <c r="E67" s="699"/>
      <c r="F67" s="699"/>
      <c r="G67" s="699"/>
      <c r="H67" s="699"/>
      <c r="I67" s="699"/>
      <c r="J67" s="1058"/>
      <c r="K67" s="1019"/>
      <c r="L67" s="1020"/>
      <c r="M67" s="1058"/>
      <c r="N67" s="1058"/>
      <c r="O67" s="1058"/>
      <c r="P67" s="2954"/>
      <c r="Q67" s="2954"/>
      <c r="R67" s="2954"/>
      <c r="S67" s="2954"/>
      <c r="T67" s="2954"/>
      <c r="U67" s="2954"/>
      <c r="V67" s="2954"/>
      <c r="W67" s="2954"/>
      <c r="X67" s="2954"/>
      <c r="Y67" s="2954"/>
      <c r="Z67" s="2954"/>
      <c r="AA67" s="2954"/>
      <c r="AB67" s="2954"/>
      <c r="AC67" s="2954"/>
    </row>
    <row r="68" spans="1:29">
      <c r="A68" s="699"/>
      <c r="B68" s="701"/>
      <c r="C68" s="701" t="str">
        <f>YEAR(C7)&amp;"-"&amp;MONTH(C7)&amp;"-1"</f>
        <v>2021-6-1</v>
      </c>
      <c r="D68" s="701">
        <f>EDATE(C68,-3)</f>
        <v>44256</v>
      </c>
      <c r="E68" s="701">
        <f>EDATE(D68,-3)</f>
        <v>44166</v>
      </c>
      <c r="F68" s="701">
        <f t="shared" ref="F68:O68" si="18">EDATE(E68,-3)</f>
        <v>44075</v>
      </c>
      <c r="G68" s="701">
        <f t="shared" si="18"/>
        <v>43983</v>
      </c>
      <c r="H68" s="701">
        <f t="shared" si="18"/>
        <v>43891</v>
      </c>
      <c r="I68" s="701">
        <f t="shared" si="18"/>
        <v>43800</v>
      </c>
      <c r="J68" s="701">
        <f t="shared" si="18"/>
        <v>43709</v>
      </c>
      <c r="K68" s="701">
        <f t="shared" si="18"/>
        <v>43617</v>
      </c>
      <c r="L68" s="701">
        <f t="shared" si="18"/>
        <v>43525</v>
      </c>
      <c r="M68" s="701">
        <f t="shared" si="18"/>
        <v>43435</v>
      </c>
      <c r="N68" s="701">
        <f t="shared" si="18"/>
        <v>43344</v>
      </c>
      <c r="O68" s="701">
        <f t="shared" si="18"/>
        <v>43252</v>
      </c>
      <c r="P68" s="2954"/>
      <c r="Q68" s="2954"/>
      <c r="R68" s="2954"/>
      <c r="S68" s="2954"/>
      <c r="T68" s="2954"/>
      <c r="U68" s="2954"/>
      <c r="V68" s="2954"/>
      <c r="W68" s="2954"/>
      <c r="X68" s="2954"/>
      <c r="Y68" s="2954"/>
      <c r="Z68" s="2954"/>
      <c r="AA68" s="2954"/>
      <c r="AB68" s="2954"/>
      <c r="AC68" s="2954"/>
    </row>
    <row r="69" spans="1:29" ht="21.75" thickBot="1">
      <c r="A69" s="703" t="s">
        <v>2495</v>
      </c>
      <c r="B69" s="699"/>
      <c r="C69" s="704"/>
      <c r="D69" s="704"/>
      <c r="E69" s="704"/>
      <c r="F69" s="705"/>
      <c r="G69" s="705"/>
      <c r="H69" s="704"/>
      <c r="I69" s="704"/>
      <c r="J69" s="1071"/>
      <c r="K69" s="1072"/>
      <c r="L69" s="1073"/>
      <c r="M69" s="1071"/>
      <c r="N69" s="2998"/>
      <c r="O69" s="2998"/>
      <c r="P69" s="2998"/>
      <c r="Q69" s="2968"/>
      <c r="R69" s="2954"/>
      <c r="S69" s="2954"/>
      <c r="T69" s="2954"/>
      <c r="U69" s="2954"/>
      <c r="V69" s="2954"/>
      <c r="W69" s="2954"/>
      <c r="X69" s="2954"/>
      <c r="Y69" s="2954"/>
      <c r="Z69" s="2954"/>
      <c r="AA69" s="2954"/>
      <c r="AB69" s="2954"/>
      <c r="AC69" s="2954"/>
    </row>
    <row r="70" spans="1:29" s="465" customFormat="1" ht="15">
      <c r="A70" s="2175" t="s">
        <v>2603</v>
      </c>
      <c r="B70" s="1269"/>
      <c r="C70" s="1344" t="str">
        <f>YEAR(C68)&amp;"-"&amp;ROUNDUP(MONTH(C68)/3,0)</f>
        <v>2021-2</v>
      </c>
      <c r="D70" s="1344" t="str">
        <f>YEAR(D68)&amp;"-"&amp;ROUNDUP(MONTH(D68)/3,0)</f>
        <v>2021-1</v>
      </c>
      <c r="E70" s="1344" t="str">
        <f t="shared" ref="E70:O70" si="19">YEAR(E68)&amp;"-"&amp;ROUNDUP(MONTH(E68)/3,0)</f>
        <v>2020-4</v>
      </c>
      <c r="F70" s="1344" t="str">
        <f t="shared" si="19"/>
        <v>2020-3</v>
      </c>
      <c r="G70" s="1344" t="str">
        <f t="shared" si="19"/>
        <v>2020-2</v>
      </c>
      <c r="H70" s="1344" t="str">
        <f t="shared" si="19"/>
        <v>2020-1</v>
      </c>
      <c r="I70" s="1344" t="str">
        <f t="shared" si="19"/>
        <v>2019-4</v>
      </c>
      <c r="J70" s="1344" t="str">
        <f t="shared" si="19"/>
        <v>2019-3</v>
      </c>
      <c r="K70" s="1344" t="str">
        <f t="shared" si="19"/>
        <v>2019-2</v>
      </c>
      <c r="L70" s="1344" t="str">
        <f t="shared" si="19"/>
        <v>2019-1</v>
      </c>
      <c r="M70" s="1344" t="str">
        <f t="shared" si="19"/>
        <v>2018-4</v>
      </c>
      <c r="N70" s="1344" t="str">
        <f t="shared" si="19"/>
        <v>2018-3</v>
      </c>
      <c r="O70" s="1344" t="str">
        <f t="shared" si="19"/>
        <v>2018-2</v>
      </c>
      <c r="P70" s="3005"/>
      <c r="Q70" s="2970"/>
      <c r="R70" s="2970"/>
      <c r="S70" s="2970"/>
      <c r="T70" s="2970"/>
      <c r="U70" s="2970"/>
      <c r="V70" s="2970"/>
      <c r="W70" s="2970"/>
      <c r="X70" s="2970"/>
      <c r="Y70" s="2970"/>
      <c r="Z70" s="2970"/>
      <c r="AA70" s="2970"/>
      <c r="AB70" s="2970"/>
      <c r="AC70" s="2970"/>
    </row>
    <row r="71" spans="1:29" s="113" customFormat="1" ht="30" customHeight="1">
      <c r="A71" s="2176" t="s">
        <v>2604</v>
      </c>
      <c r="B71" s="294" t="str">
        <f>"北京市平均增长率"&amp;TEXT(SUMIF(基准地价修正!N21:N25,A71,基准地价修正!P21:P25),"0.00%")</f>
        <v>北京市平均增长率1.90%</v>
      </c>
      <c r="C71" s="560">
        <v>100</v>
      </c>
      <c r="D71" s="552"/>
      <c r="E71" s="552"/>
      <c r="F71" s="552"/>
      <c r="G71" s="552"/>
      <c r="H71" s="552"/>
      <c r="I71" s="552"/>
      <c r="J71" s="552"/>
      <c r="K71" s="552"/>
      <c r="L71" s="552"/>
      <c r="M71" s="1340"/>
      <c r="N71" s="552"/>
      <c r="O71" s="1341"/>
      <c r="P71" s="2968"/>
      <c r="Q71" s="2888"/>
      <c r="R71" s="2888"/>
      <c r="S71" s="2888"/>
      <c r="T71" s="2888"/>
      <c r="U71" s="2888"/>
      <c r="V71" s="2888"/>
      <c r="W71" s="2888"/>
      <c r="X71" s="2888"/>
      <c r="Y71" s="2888"/>
      <c r="Z71" s="2888"/>
      <c r="AA71" s="2888"/>
      <c r="AB71" s="2888"/>
      <c r="AC71" s="2888"/>
    </row>
    <row r="72" spans="1:29" s="113" customFormat="1" ht="15.75" thickBot="1">
      <c r="A72" s="472" t="s">
        <v>2406</v>
      </c>
      <c r="B72" s="473"/>
      <c r="C72" s="474"/>
      <c r="D72" s="475"/>
      <c r="E72" s="475"/>
      <c r="F72" s="475"/>
      <c r="G72" s="475"/>
      <c r="H72" s="475"/>
      <c r="I72" s="475"/>
      <c r="J72" s="475"/>
      <c r="K72" s="475"/>
      <c r="L72" s="475"/>
      <c r="M72" s="476"/>
      <c r="N72" s="475"/>
      <c r="O72" s="1074"/>
      <c r="P72" s="2968"/>
      <c r="Q72" s="2968"/>
      <c r="R72" s="2888"/>
      <c r="S72" s="2888"/>
      <c r="T72" s="2888"/>
      <c r="U72" s="2888"/>
      <c r="V72" s="2888"/>
      <c r="W72" s="2888"/>
      <c r="X72" s="2888"/>
      <c r="Y72" s="2888"/>
      <c r="Z72" s="2888"/>
      <c r="AA72" s="2888"/>
      <c r="AB72" s="2888"/>
      <c r="AC72" s="2888"/>
    </row>
    <row r="73" spans="1:29" s="113" customFormat="1" ht="15">
      <c r="A73" s="478" t="s">
        <v>2371</v>
      </c>
      <c r="B73" s="467"/>
      <c r="C73" s="479" t="s">
        <v>2473</v>
      </c>
      <c r="D73" s="480"/>
      <c r="E73" s="480"/>
      <c r="F73" s="480"/>
      <c r="G73" s="480"/>
      <c r="H73" s="480"/>
      <c r="I73" s="480"/>
      <c r="J73" s="480"/>
      <c r="K73" s="480"/>
      <c r="L73" s="481"/>
      <c r="M73" s="482"/>
      <c r="N73" s="2981"/>
      <c r="O73" s="2981"/>
      <c r="P73" s="3006"/>
      <c r="Q73" s="2968"/>
      <c r="R73" s="2888"/>
      <c r="S73" s="2888"/>
      <c r="T73" s="2888"/>
      <c r="U73" s="2888"/>
      <c r="V73" s="2888"/>
      <c r="W73" s="2888"/>
      <c r="X73" s="2888"/>
      <c r="Y73" s="2888"/>
      <c r="Z73" s="2888"/>
      <c r="AA73" s="2888"/>
      <c r="AB73" s="2888"/>
      <c r="AC73" s="2888"/>
    </row>
    <row r="74" spans="1:29" s="113" customFormat="1" ht="15.75" thickBot="1">
      <c r="A74" s="478"/>
      <c r="B74" s="467"/>
      <c r="C74" s="595">
        <v>100</v>
      </c>
      <c r="D74" s="469"/>
      <c r="E74" s="469"/>
      <c r="F74" s="469"/>
      <c r="G74" s="469"/>
      <c r="H74" s="469"/>
      <c r="I74" s="469"/>
      <c r="J74" s="469"/>
      <c r="K74" s="469"/>
      <c r="L74" s="469"/>
      <c r="M74" s="471"/>
      <c r="N74" s="2981"/>
      <c r="O74" s="2981"/>
      <c r="P74" s="2968"/>
      <c r="Q74" s="2968"/>
      <c r="R74" s="2888"/>
      <c r="S74" s="2888"/>
      <c r="T74" s="2888"/>
      <c r="U74" s="2888"/>
      <c r="V74" s="2888"/>
      <c r="W74" s="2888"/>
      <c r="X74" s="2888"/>
      <c r="Y74" s="2888"/>
      <c r="Z74" s="2888"/>
      <c r="AA74" s="2888"/>
      <c r="AB74" s="2888"/>
      <c r="AC74" s="2888"/>
    </row>
    <row r="75" spans="1:29">
      <c r="A75" s="484" t="s">
        <v>2409</v>
      </c>
      <c r="B75" s="485" t="s">
        <v>2375</v>
      </c>
      <c r="C75" s="487"/>
      <c r="D75" s="487"/>
      <c r="E75" s="487"/>
      <c r="F75" s="487"/>
      <c r="G75" s="487"/>
      <c r="H75" s="487"/>
      <c r="I75" s="487"/>
      <c r="J75" s="487"/>
      <c r="K75" s="488"/>
      <c r="L75" s="489"/>
      <c r="M75" s="490"/>
      <c r="N75" s="2982"/>
      <c r="O75" s="2982"/>
      <c r="P75" s="3007"/>
      <c r="Q75" s="2968"/>
      <c r="R75" s="2954"/>
      <c r="S75" s="2954"/>
      <c r="T75" s="2954"/>
      <c r="U75" s="2954"/>
      <c r="V75" s="2954"/>
      <c r="W75" s="2954"/>
      <c r="X75" s="2954"/>
      <c r="Y75" s="2954"/>
      <c r="Z75" s="2954"/>
      <c r="AA75" s="2954"/>
      <c r="AB75" s="2954"/>
      <c r="AC75" s="2954"/>
    </row>
    <row r="76" spans="1:29" ht="15.75" thickBot="1">
      <c r="A76" s="491"/>
      <c r="B76" s="492"/>
      <c r="C76" s="493"/>
      <c r="D76" s="493"/>
      <c r="E76" s="493"/>
      <c r="F76" s="493"/>
      <c r="G76" s="493"/>
      <c r="H76" s="493"/>
      <c r="I76" s="493"/>
      <c r="J76" s="493"/>
      <c r="K76" s="493"/>
      <c r="L76" s="493"/>
      <c r="M76" s="494"/>
      <c r="N76" s="2983"/>
      <c r="O76" s="2983"/>
      <c r="P76" s="3007"/>
      <c r="Q76" s="2968"/>
      <c r="R76" s="2954"/>
      <c r="S76" s="2954"/>
      <c r="T76" s="2954"/>
      <c r="U76" s="2954"/>
      <c r="V76" s="2954"/>
      <c r="W76" s="2954"/>
      <c r="X76" s="2954"/>
      <c r="Y76" s="2954"/>
      <c r="Z76" s="2954"/>
      <c r="AA76" s="2954"/>
      <c r="AB76" s="2954"/>
      <c r="AC76" s="2954"/>
    </row>
    <row r="77" spans="1:29" ht="27.75" thickTop="1">
      <c r="A77" s="491"/>
      <c r="B77" s="495" t="s">
        <v>2378</v>
      </c>
      <c r="C77" s="496"/>
      <c r="D77" s="496"/>
      <c r="E77" s="496"/>
      <c r="F77" s="496"/>
      <c r="G77" s="496"/>
      <c r="H77" s="496"/>
      <c r="I77" s="496"/>
      <c r="J77" s="496"/>
      <c r="K77" s="497"/>
      <c r="L77" s="498"/>
      <c r="M77" s="499"/>
      <c r="N77" s="2982"/>
      <c r="O77" s="2982"/>
      <c r="P77" s="3007"/>
      <c r="Q77" s="2968"/>
      <c r="R77" s="2954"/>
      <c r="S77" s="2954"/>
      <c r="T77" s="2954"/>
      <c r="U77" s="2954"/>
      <c r="V77" s="2954"/>
      <c r="W77" s="2954"/>
      <c r="X77" s="2954"/>
      <c r="Y77" s="2954"/>
      <c r="Z77" s="2954"/>
      <c r="AA77" s="2954"/>
      <c r="AB77" s="2954"/>
      <c r="AC77" s="2954"/>
    </row>
    <row r="78" spans="1:29" ht="15.75" thickBot="1">
      <c r="A78" s="491"/>
      <c r="B78" s="500"/>
      <c r="C78" s="501"/>
      <c r="D78" s="501"/>
      <c r="E78" s="501"/>
      <c r="F78" s="501"/>
      <c r="G78" s="501"/>
      <c r="H78" s="501"/>
      <c r="I78" s="501"/>
      <c r="J78" s="501"/>
      <c r="K78" s="501"/>
      <c r="L78" s="501"/>
      <c r="M78" s="502"/>
      <c r="N78" s="2983"/>
      <c r="O78" s="2983"/>
      <c r="P78" s="3007"/>
      <c r="Q78" s="2968"/>
      <c r="R78" s="2954"/>
      <c r="S78" s="2954"/>
      <c r="T78" s="2954"/>
      <c r="U78" s="2954"/>
      <c r="V78" s="2954"/>
      <c r="W78" s="2954"/>
      <c r="X78" s="2954"/>
      <c r="Y78" s="2954"/>
      <c r="Z78" s="2954"/>
      <c r="AA78" s="2954"/>
      <c r="AB78" s="2954"/>
      <c r="AC78" s="2954"/>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1"/>
      <c r="B80" s="505"/>
      <c r="C80" s="506"/>
      <c r="D80" s="506"/>
      <c r="E80" s="506"/>
      <c r="F80" s="506"/>
      <c r="G80" s="506"/>
      <c r="H80" s="506"/>
      <c r="I80" s="506"/>
      <c r="J80" s="506"/>
      <c r="K80" s="507"/>
      <c r="L80" s="508"/>
      <c r="M80" s="509"/>
      <c r="N80" s="2982"/>
      <c r="O80" s="2982"/>
      <c r="P80" s="3007"/>
      <c r="Q80" s="2968"/>
      <c r="R80" s="2954"/>
      <c r="S80" s="2954"/>
      <c r="T80" s="2954"/>
      <c r="U80" s="2954"/>
      <c r="V80" s="2954"/>
      <c r="W80" s="2954"/>
      <c r="X80" s="2954"/>
      <c r="Y80" s="2954"/>
      <c r="Z80" s="2954"/>
      <c r="AA80" s="2954"/>
      <c r="AB80" s="2954"/>
      <c r="AC80" s="295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3"/>
      <c r="O81" s="2983"/>
      <c r="P81" s="3007"/>
      <c r="Q81" s="2968"/>
      <c r="R81" s="2954"/>
      <c r="S81" s="2954"/>
      <c r="T81" s="2954"/>
      <c r="U81" s="2954"/>
      <c r="V81" s="2954"/>
      <c r="W81" s="2954"/>
      <c r="X81" s="2954"/>
      <c r="Y81" s="2954"/>
      <c r="Z81" s="2954"/>
      <c r="AA81" s="2954"/>
      <c r="AB81" s="2954"/>
      <c r="AC81" s="2954"/>
    </row>
    <row r="82" spans="1:29" s="430" customFormat="1" ht="15.75" thickTop="1">
      <c r="A82" s="510"/>
      <c r="B82" s="495" t="str">
        <f>B12</f>
        <v>配建</v>
      </c>
      <c r="C82" s="511"/>
      <c r="D82" s="511"/>
      <c r="E82" s="511"/>
      <c r="F82" s="511"/>
      <c r="G82" s="511"/>
      <c r="H82" s="512"/>
      <c r="I82" s="512"/>
      <c r="J82" s="512"/>
      <c r="K82" s="512"/>
      <c r="L82" s="513"/>
      <c r="M82" s="514"/>
      <c r="N82" s="2984"/>
      <c r="O82" s="2984"/>
      <c r="P82" s="3008"/>
      <c r="Q82" s="2975"/>
      <c r="R82" s="2976"/>
      <c r="S82" s="2976"/>
      <c r="T82" s="2976"/>
      <c r="U82" s="2976"/>
      <c r="V82" s="2976"/>
      <c r="W82" s="2976"/>
      <c r="X82" s="2976"/>
      <c r="Y82" s="2976"/>
      <c r="Z82" s="2976"/>
      <c r="AA82" s="2976"/>
      <c r="AB82" s="2976"/>
      <c r="AC82" s="2976"/>
    </row>
    <row r="83" spans="1:29" s="430" customFormat="1" ht="15.75" thickBot="1">
      <c r="A83" s="510"/>
      <c r="B83" s="500"/>
      <c r="C83" s="517"/>
      <c r="D83" s="493"/>
      <c r="E83" s="493"/>
      <c r="F83" s="493"/>
      <c r="G83" s="493"/>
      <c r="H83" s="493"/>
      <c r="I83" s="493"/>
      <c r="J83" s="493"/>
      <c r="K83" s="493"/>
      <c r="L83" s="493"/>
      <c r="M83" s="494"/>
      <c r="N83" s="2983"/>
      <c r="O83" s="2983"/>
      <c r="P83" s="3008"/>
      <c r="Q83" s="2975"/>
      <c r="R83" s="2976"/>
      <c r="S83" s="2976"/>
      <c r="T83" s="2976"/>
      <c r="U83" s="2976"/>
      <c r="V83" s="2976"/>
      <c r="W83" s="2976"/>
      <c r="X83" s="2976"/>
      <c r="Y83" s="2976"/>
      <c r="Z83" s="2976"/>
      <c r="AA83" s="2976"/>
      <c r="AB83" s="2976"/>
      <c r="AC83" s="2976"/>
    </row>
    <row r="84" spans="1:29" s="430" customFormat="1" ht="15.75" thickTop="1">
      <c r="A84" s="510"/>
      <c r="B84" s="495">
        <f>B13</f>
        <v>111</v>
      </c>
      <c r="C84" s="511"/>
      <c r="D84" s="511"/>
      <c r="E84" s="511"/>
      <c r="F84" s="511"/>
      <c r="G84" s="511"/>
      <c r="H84" s="512"/>
      <c r="I84" s="512"/>
      <c r="J84" s="512"/>
      <c r="K84" s="512"/>
      <c r="L84" s="513"/>
      <c r="M84" s="514"/>
      <c r="N84" s="2984"/>
      <c r="O84" s="2984"/>
      <c r="P84" s="2952"/>
      <c r="Q84" s="2978"/>
      <c r="R84" s="2976"/>
      <c r="S84" s="2976"/>
      <c r="T84" s="2976"/>
      <c r="U84" s="2976"/>
      <c r="V84" s="2976"/>
      <c r="W84" s="2976"/>
      <c r="X84" s="2976"/>
      <c r="Y84" s="2976"/>
      <c r="Z84" s="2976"/>
      <c r="AA84" s="2976"/>
      <c r="AB84" s="2976"/>
      <c r="AC84" s="2976"/>
    </row>
    <row r="85" spans="1:29" s="430" customFormat="1" ht="15.75" thickBot="1">
      <c r="A85" s="510"/>
      <c r="B85" s="500"/>
      <c r="C85" s="517"/>
      <c r="D85" s="517"/>
      <c r="E85" s="517"/>
      <c r="F85" s="517"/>
      <c r="G85" s="517"/>
      <c r="H85" s="519"/>
      <c r="I85" s="519"/>
      <c r="J85" s="519"/>
      <c r="K85" s="519"/>
      <c r="L85" s="519"/>
      <c r="M85" s="520"/>
      <c r="N85" s="2984"/>
      <c r="O85" s="2984"/>
      <c r="P85" s="3008"/>
      <c r="Q85" s="2975"/>
      <c r="R85" s="2976"/>
      <c r="S85" s="2976"/>
      <c r="T85" s="2976"/>
      <c r="U85" s="2976"/>
      <c r="V85" s="2976"/>
      <c r="W85" s="2976"/>
      <c r="X85" s="2976"/>
      <c r="Y85" s="2976"/>
      <c r="Z85" s="2976"/>
      <c r="AA85" s="2976"/>
      <c r="AB85" s="2976"/>
      <c r="AC85" s="2976"/>
    </row>
    <row r="86" spans="1:29" s="430" customFormat="1" ht="15.75" thickTop="1">
      <c r="A86" s="510"/>
      <c r="B86" s="503">
        <f>B14</f>
        <v>111</v>
      </c>
      <c r="C86" s="480"/>
      <c r="D86" s="480"/>
      <c r="E86" s="480"/>
      <c r="F86" s="480"/>
      <c r="G86" s="480"/>
      <c r="H86" s="521"/>
      <c r="I86" s="521"/>
      <c r="J86" s="521"/>
      <c r="K86" s="521"/>
      <c r="L86" s="522"/>
      <c r="M86" s="523"/>
      <c r="N86" s="2984"/>
      <c r="O86" s="2984"/>
      <c r="P86" s="3013"/>
      <c r="Q86" s="2975"/>
      <c r="R86" s="2976"/>
      <c r="S86" s="2976"/>
      <c r="T86" s="2976"/>
      <c r="U86" s="2976"/>
      <c r="V86" s="2976"/>
      <c r="W86" s="2976"/>
      <c r="X86" s="2976"/>
      <c r="Y86" s="2976"/>
      <c r="Z86" s="2976"/>
      <c r="AA86" s="2976"/>
      <c r="AB86" s="2976"/>
      <c r="AC86" s="2976"/>
    </row>
    <row r="87" spans="1:29" s="430" customFormat="1" ht="15.75" thickBot="1">
      <c r="A87" s="525"/>
      <c r="B87" s="526"/>
      <c r="C87" s="527"/>
      <c r="D87" s="527"/>
      <c r="E87" s="527"/>
      <c r="F87" s="527"/>
      <c r="G87" s="527"/>
      <c r="H87" s="528"/>
      <c r="I87" s="528"/>
      <c r="J87" s="528"/>
      <c r="K87" s="528"/>
      <c r="L87" s="528"/>
      <c r="M87" s="529"/>
      <c r="N87" s="2984"/>
      <c r="O87" s="2984"/>
      <c r="P87" s="3008"/>
      <c r="Q87" s="2975"/>
      <c r="R87" s="2976"/>
      <c r="S87" s="2976"/>
      <c r="T87" s="2976"/>
      <c r="U87" s="2976"/>
      <c r="V87" s="2976"/>
      <c r="W87" s="2976"/>
      <c r="X87" s="2976"/>
      <c r="Y87" s="2976"/>
      <c r="Z87" s="2976"/>
      <c r="AA87" s="2976"/>
      <c r="AB87" s="2976"/>
      <c r="AC87" s="2976"/>
    </row>
    <row r="88" spans="1:29">
      <c r="A88" s="484" t="s">
        <v>2380</v>
      </c>
      <c r="B88" s="485" t="s">
        <v>2417</v>
      </c>
      <c r="C88" s="530" t="s">
        <v>2418</v>
      </c>
      <c r="D88" s="530" t="s">
        <v>2419</v>
      </c>
      <c r="E88" s="530" t="s">
        <v>2420</v>
      </c>
      <c r="F88" s="530" t="s">
        <v>2421</v>
      </c>
      <c r="G88" s="530" t="s">
        <v>2422</v>
      </c>
      <c r="H88" s="486"/>
      <c r="I88" s="486"/>
      <c r="J88" s="486"/>
      <c r="K88" s="531"/>
      <c r="L88" s="532"/>
      <c r="M88" s="533"/>
      <c r="N88" s="2982"/>
      <c r="O88" s="2982"/>
      <c r="P88" s="3009"/>
      <c r="Q88" s="2968"/>
      <c r="R88" s="2954"/>
      <c r="S88" s="2954"/>
      <c r="T88" s="2954"/>
      <c r="U88" s="2954"/>
      <c r="V88" s="2954"/>
      <c r="W88" s="2954"/>
      <c r="X88" s="2954"/>
      <c r="Y88" s="2954"/>
      <c r="Z88" s="2954"/>
      <c r="AA88" s="2954"/>
      <c r="AB88" s="2954"/>
      <c r="AC88" s="295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3"/>
      <c r="O89" s="2983"/>
      <c r="P89" s="3007"/>
      <c r="Q89" s="2968"/>
      <c r="R89" s="2954"/>
      <c r="S89" s="2954"/>
      <c r="T89" s="2954"/>
      <c r="U89" s="2954"/>
      <c r="V89" s="2954"/>
      <c r="W89" s="2954"/>
      <c r="X89" s="2954"/>
      <c r="Y89" s="2954"/>
      <c r="Z89" s="2954"/>
      <c r="AA89" s="2954"/>
      <c r="AB89" s="2954"/>
      <c r="AC89" s="2954"/>
    </row>
    <row r="90" spans="1:29" ht="15.75" thickTop="1">
      <c r="A90" s="491"/>
      <c r="B90" s="495" t="s">
        <v>2605</v>
      </c>
      <c r="C90" s="535" t="s">
        <v>2418</v>
      </c>
      <c r="D90" s="535" t="s">
        <v>2419</v>
      </c>
      <c r="E90" s="535" t="s">
        <v>2420</v>
      </c>
      <c r="F90" s="535" t="s">
        <v>2421</v>
      </c>
      <c r="G90" s="535" t="s">
        <v>2422</v>
      </c>
      <c r="H90" s="496"/>
      <c r="I90" s="496"/>
      <c r="J90" s="496"/>
      <c r="K90" s="497"/>
      <c r="L90" s="498"/>
      <c r="M90" s="499"/>
      <c r="N90" s="2982"/>
      <c r="O90" s="2982"/>
      <c r="P90" s="3007"/>
      <c r="Q90" s="2968"/>
      <c r="R90" s="2954"/>
      <c r="S90" s="2954"/>
      <c r="T90" s="2954"/>
      <c r="U90" s="2954"/>
      <c r="V90" s="2954"/>
      <c r="W90" s="2954"/>
      <c r="X90" s="2954"/>
      <c r="Y90" s="2954"/>
      <c r="Z90" s="2954"/>
      <c r="AA90" s="2954"/>
      <c r="AB90" s="2954"/>
      <c r="AC90" s="295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3"/>
      <c r="O91" s="2983"/>
      <c r="P91" s="3007"/>
      <c r="Q91" s="2968"/>
      <c r="R91" s="2954"/>
      <c r="S91" s="2954"/>
      <c r="T91" s="2954"/>
      <c r="U91" s="2954"/>
      <c r="V91" s="2954"/>
      <c r="W91" s="2954"/>
      <c r="X91" s="2954"/>
      <c r="Y91" s="2954"/>
      <c r="Z91" s="2954"/>
      <c r="AA91" s="2954"/>
      <c r="AB91" s="2954"/>
      <c r="AC91" s="2954"/>
    </row>
    <row r="92" spans="1:29" ht="15.75" thickTop="1">
      <c r="A92" s="491"/>
      <c r="B92" s="495" t="s">
        <v>2518</v>
      </c>
      <c r="C92" s="535" t="s">
        <v>2418</v>
      </c>
      <c r="D92" s="535" t="s">
        <v>2419</v>
      </c>
      <c r="E92" s="535" t="s">
        <v>2420</v>
      </c>
      <c r="F92" s="535" t="s">
        <v>2421</v>
      </c>
      <c r="G92" s="535" t="s">
        <v>2422</v>
      </c>
      <c r="H92" s="496"/>
      <c r="I92" s="496"/>
      <c r="J92" s="496"/>
      <c r="K92" s="497"/>
      <c r="L92" s="498"/>
      <c r="M92" s="499"/>
      <c r="N92" s="2982"/>
      <c r="O92" s="2982"/>
      <c r="P92" s="3007"/>
      <c r="Q92" s="2968"/>
      <c r="R92" s="2954"/>
      <c r="S92" s="2954"/>
      <c r="T92" s="2954"/>
      <c r="U92" s="2954"/>
      <c r="V92" s="2954"/>
      <c r="W92" s="2954"/>
      <c r="X92" s="2954"/>
      <c r="Y92" s="2954"/>
      <c r="Z92" s="2954"/>
      <c r="AA92" s="2954"/>
      <c r="AB92" s="2954"/>
      <c r="AC92" s="295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3"/>
      <c r="O93" s="2983"/>
      <c r="P93" s="3007"/>
      <c r="Q93" s="2968"/>
      <c r="R93" s="2954"/>
      <c r="S93" s="2954"/>
      <c r="T93" s="2954"/>
      <c r="U93" s="2954"/>
      <c r="V93" s="2954"/>
      <c r="W93" s="2954"/>
      <c r="X93" s="2954"/>
      <c r="Y93" s="2954"/>
      <c r="Z93" s="2954"/>
      <c r="AA93" s="2954"/>
      <c r="AB93" s="2954"/>
      <c r="AC93" s="2954"/>
    </row>
    <row r="94" spans="1:29" ht="15.75" thickTop="1">
      <c r="A94" s="491"/>
      <c r="B94" s="495" t="s">
        <v>2423</v>
      </c>
      <c r="C94" s="535" t="s">
        <v>2418</v>
      </c>
      <c r="D94" s="535" t="s">
        <v>2419</v>
      </c>
      <c r="E94" s="535" t="s">
        <v>2420</v>
      </c>
      <c r="F94" s="535" t="s">
        <v>2421</v>
      </c>
      <c r="G94" s="535" t="s">
        <v>2422</v>
      </c>
      <c r="H94" s="496"/>
      <c r="I94" s="496"/>
      <c r="J94" s="496"/>
      <c r="K94" s="497"/>
      <c r="L94" s="498"/>
      <c r="M94" s="499"/>
      <c r="N94" s="2982"/>
      <c r="O94" s="2982"/>
      <c r="P94" s="3007"/>
      <c r="Q94" s="2968"/>
      <c r="R94" s="2954"/>
      <c r="S94" s="2954"/>
      <c r="T94" s="2954"/>
      <c r="U94" s="2954"/>
      <c r="V94" s="2954"/>
      <c r="W94" s="2954"/>
      <c r="X94" s="2954"/>
      <c r="Y94" s="2954"/>
      <c r="Z94" s="2954"/>
      <c r="AA94" s="2954"/>
      <c r="AB94" s="2954"/>
      <c r="AC94" s="295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3"/>
      <c r="O95" s="2983"/>
      <c r="P95" s="3007"/>
      <c r="Q95" s="2968"/>
      <c r="R95" s="2954"/>
      <c r="S95" s="2954"/>
      <c r="T95" s="2954"/>
      <c r="U95" s="2954"/>
      <c r="V95" s="2954"/>
      <c r="W95" s="2954"/>
      <c r="X95" s="2954"/>
      <c r="Y95" s="2954"/>
      <c r="Z95" s="2954"/>
      <c r="AA95" s="2954"/>
      <c r="AB95" s="2954"/>
      <c r="AC95" s="2954"/>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1"/>
      <c r="O96" s="2981"/>
      <c r="P96" s="3007"/>
      <c r="Q96" s="2968"/>
      <c r="R96" s="2888"/>
      <c r="S96" s="2888"/>
      <c r="T96" s="2888"/>
      <c r="U96" s="2888"/>
      <c r="V96" s="2888"/>
      <c r="W96" s="2888"/>
      <c r="X96" s="2888"/>
      <c r="Y96" s="2888"/>
      <c r="Z96" s="2888"/>
      <c r="AA96" s="2888"/>
      <c r="AB96" s="2888"/>
      <c r="AC96" s="288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3"/>
      <c r="O97" s="2983"/>
      <c r="P97" s="3007"/>
      <c r="Q97" s="2968"/>
      <c r="R97" s="2888"/>
      <c r="S97" s="2888"/>
      <c r="T97" s="2888"/>
      <c r="U97" s="2888"/>
      <c r="V97" s="2888"/>
      <c r="W97" s="2888"/>
      <c r="X97" s="2888"/>
      <c r="Y97" s="2888"/>
      <c r="Z97" s="2888"/>
      <c r="AA97" s="2888"/>
      <c r="AB97" s="2888"/>
      <c r="AC97" s="2888"/>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1"/>
      <c r="O98" s="2981"/>
      <c r="P98" s="3007"/>
      <c r="Q98" s="2968"/>
      <c r="R98" s="2888"/>
      <c r="S98" s="2888"/>
      <c r="T98" s="2888"/>
      <c r="U98" s="2888"/>
      <c r="V98" s="2888"/>
      <c r="W98" s="2888"/>
      <c r="X98" s="2888"/>
      <c r="Y98" s="2888"/>
      <c r="Z98" s="2888"/>
      <c r="AA98" s="2888"/>
      <c r="AB98" s="2888"/>
      <c r="AC98" s="288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3"/>
      <c r="O99" s="2983"/>
      <c r="P99" s="3007"/>
      <c r="Q99" s="2968"/>
      <c r="R99" s="2888"/>
      <c r="S99" s="2888"/>
      <c r="T99" s="2888"/>
      <c r="U99" s="2888"/>
      <c r="V99" s="2888"/>
      <c r="W99" s="2888"/>
      <c r="X99" s="2888"/>
      <c r="Y99" s="2888"/>
      <c r="Z99" s="2888"/>
      <c r="AA99" s="2888"/>
      <c r="AB99" s="2888"/>
      <c r="AC99" s="2888"/>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4"/>
      <c r="O100" s="2984"/>
      <c r="P100" s="3008"/>
      <c r="Q100" s="2975"/>
      <c r="R100" s="2976"/>
      <c r="S100" s="2976"/>
      <c r="T100" s="2976"/>
      <c r="U100" s="2976"/>
      <c r="V100" s="2976"/>
      <c r="W100" s="2976"/>
      <c r="X100" s="2976"/>
      <c r="Y100" s="2976"/>
      <c r="Z100" s="2976"/>
      <c r="AA100" s="2976"/>
      <c r="AB100" s="2976"/>
      <c r="AC100" s="297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4"/>
      <c r="O101" s="2984"/>
      <c r="P101" s="3008"/>
      <c r="Q101" s="2975"/>
      <c r="R101" s="2976"/>
      <c r="S101" s="2976"/>
      <c r="T101" s="2976"/>
      <c r="U101" s="2976"/>
      <c r="V101" s="2976"/>
      <c r="W101" s="2976"/>
      <c r="X101" s="2976"/>
      <c r="Y101" s="2976"/>
      <c r="Z101" s="2976"/>
      <c r="AA101" s="2976"/>
      <c r="AB101" s="2976"/>
      <c r="AC101" s="2976"/>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4"/>
      <c r="O102" s="2984"/>
      <c r="P102" s="3008"/>
      <c r="Q102" s="2975"/>
      <c r="R102" s="2976"/>
      <c r="S102" s="2976"/>
      <c r="T102" s="2976"/>
      <c r="U102" s="2976"/>
      <c r="V102" s="2976"/>
      <c r="W102" s="2976"/>
      <c r="X102" s="2976"/>
      <c r="Y102" s="2976"/>
      <c r="Z102" s="2976"/>
      <c r="AA102" s="2976"/>
      <c r="AB102" s="2976"/>
      <c r="AC102" s="297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4"/>
      <c r="O103" s="2984"/>
      <c r="P103" s="3008"/>
      <c r="Q103" s="2975"/>
      <c r="R103" s="2976"/>
      <c r="S103" s="2976"/>
      <c r="T103" s="2976"/>
      <c r="U103" s="2976"/>
      <c r="V103" s="2976"/>
      <c r="W103" s="2976"/>
      <c r="X103" s="2976"/>
      <c r="Y103" s="2976"/>
      <c r="Z103" s="2976"/>
      <c r="AA103" s="2976"/>
      <c r="AB103" s="2976"/>
      <c r="AC103" s="2976"/>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2"/>
      <c r="O104" s="2982"/>
      <c r="P104" s="3007"/>
      <c r="Q104" s="2968"/>
      <c r="R104" s="2954"/>
      <c r="S104" s="2954"/>
      <c r="T104" s="2954"/>
      <c r="U104" s="2954"/>
      <c r="V104" s="2954"/>
      <c r="W104" s="2954"/>
      <c r="X104" s="2954"/>
      <c r="Y104" s="2954"/>
      <c r="Z104" s="2954"/>
      <c r="AA104" s="2954"/>
      <c r="AB104" s="2954"/>
      <c r="AC104" s="295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1"/>
      <c r="B106" s="495" t="s">
        <v>2512</v>
      </c>
      <c r="C106" s="511"/>
      <c r="D106" s="511"/>
      <c r="E106" s="511"/>
      <c r="F106" s="511"/>
      <c r="G106" s="511"/>
      <c r="H106" s="540"/>
      <c r="I106" s="540"/>
      <c r="J106" s="540"/>
      <c r="K106" s="541"/>
      <c r="L106" s="542"/>
      <c r="M106" s="543"/>
      <c r="N106" s="2982"/>
      <c r="O106" s="2982"/>
      <c r="P106" s="3007"/>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1"/>
      <c r="B108" s="495" t="s">
        <v>2571</v>
      </c>
      <c r="C108" s="540"/>
      <c r="D108" s="540"/>
      <c r="E108" s="540"/>
      <c r="F108" s="540"/>
      <c r="G108" s="540"/>
      <c r="H108" s="540"/>
      <c r="I108" s="540"/>
      <c r="J108" s="540"/>
      <c r="K108" s="541"/>
      <c r="L108" s="542"/>
      <c r="M108" s="543"/>
      <c r="N108" s="2982"/>
      <c r="O108" s="2982"/>
      <c r="P108" s="3007"/>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1"/>
      <c r="B110" s="503">
        <f>B35</f>
        <v>111</v>
      </c>
      <c r="C110" s="511"/>
      <c r="D110" s="511"/>
      <c r="E110" s="511"/>
      <c r="F110" s="511"/>
      <c r="G110" s="544"/>
      <c r="H110" s="544"/>
      <c r="I110" s="544"/>
      <c r="J110" s="544"/>
      <c r="K110" s="545"/>
      <c r="L110" s="546"/>
      <c r="M110" s="547"/>
      <c r="N110" s="2982"/>
      <c r="O110" s="2982"/>
      <c r="P110" s="3007"/>
      <c r="Q110" s="2968"/>
      <c r="R110" s="2954"/>
      <c r="S110" s="2954"/>
      <c r="T110" s="2954"/>
      <c r="U110" s="2954"/>
      <c r="V110" s="2954"/>
      <c r="W110" s="2954"/>
      <c r="X110" s="2954"/>
      <c r="Y110" s="2954"/>
      <c r="Z110" s="2954"/>
      <c r="AA110" s="2954"/>
      <c r="AB110" s="2954"/>
      <c r="AC110" s="2954"/>
    </row>
    <row r="111" spans="1:29" ht="15.75" thickBot="1">
      <c r="A111" s="491"/>
      <c r="B111" s="526"/>
      <c r="C111" s="517"/>
      <c r="D111" s="517"/>
      <c r="E111" s="517"/>
      <c r="F111" s="517"/>
      <c r="G111" s="548"/>
      <c r="H111" s="548"/>
      <c r="I111" s="548"/>
      <c r="J111" s="548"/>
      <c r="K111" s="548"/>
      <c r="L111" s="548"/>
      <c r="M111" s="549"/>
      <c r="N111" s="2983"/>
      <c r="O111" s="2983"/>
      <c r="P111" s="3007"/>
      <c r="Q111" s="2968"/>
      <c r="R111" s="2954"/>
      <c r="S111" s="2954"/>
      <c r="T111" s="2954"/>
      <c r="U111" s="2954"/>
      <c r="V111" s="2954"/>
      <c r="W111" s="2954"/>
      <c r="X111" s="2954"/>
      <c r="Y111" s="2954"/>
      <c r="Z111" s="2954"/>
      <c r="AA111" s="2954"/>
      <c r="AB111" s="2954"/>
      <c r="AC111" s="2954"/>
    </row>
    <row r="112" spans="1:29" ht="15" thickTop="1">
      <c r="A112" s="631"/>
      <c r="B112" s="495">
        <f>B36</f>
        <v>111</v>
      </c>
      <c r="C112" s="480"/>
      <c r="D112" s="480"/>
      <c r="E112" s="480"/>
      <c r="F112" s="480"/>
      <c r="G112" s="540"/>
      <c r="H112" s="540"/>
      <c r="I112" s="540"/>
      <c r="J112" s="540"/>
      <c r="K112" s="541"/>
      <c r="L112" s="542"/>
      <c r="M112" s="543"/>
      <c r="N112" s="2982"/>
      <c r="O112" s="2982"/>
      <c r="P112" s="3007"/>
      <c r="Q112" s="2968"/>
      <c r="R112" s="2954"/>
      <c r="S112" s="2954"/>
      <c r="T112" s="2954"/>
      <c r="U112" s="2954"/>
      <c r="V112" s="2954"/>
      <c r="W112" s="2954"/>
      <c r="X112" s="2954"/>
      <c r="Y112" s="2954"/>
      <c r="Z112" s="2954"/>
      <c r="AA112" s="2954"/>
      <c r="AB112" s="2954"/>
      <c r="AC112" s="2954"/>
    </row>
    <row r="113" spans="1:29" ht="15.75" thickBot="1">
      <c r="A113" s="491"/>
      <c r="B113" s="500"/>
      <c r="C113" s="527"/>
      <c r="D113" s="527"/>
      <c r="E113" s="527"/>
      <c r="F113" s="527"/>
      <c r="G113" s="493"/>
      <c r="H113" s="493"/>
      <c r="I113" s="493"/>
      <c r="J113" s="493"/>
      <c r="K113" s="493"/>
      <c r="L113" s="493"/>
      <c r="M113" s="494"/>
      <c r="N113" s="2983"/>
      <c r="O113" s="2983"/>
      <c r="P113" s="3007"/>
      <c r="Q113" s="2968"/>
      <c r="R113" s="2954"/>
      <c r="S113" s="2954"/>
      <c r="T113" s="2954"/>
      <c r="U113" s="2954"/>
      <c r="V113" s="2954"/>
      <c r="W113" s="2954"/>
      <c r="X113" s="2954"/>
      <c r="Y113" s="2954"/>
      <c r="Z113" s="2954"/>
      <c r="AA113" s="2954"/>
      <c r="AB113" s="2954"/>
      <c r="AC113" s="2954"/>
    </row>
    <row r="114" spans="1:29" s="430" customFormat="1" ht="15" thickTop="1">
      <c r="A114" s="550"/>
      <c r="B114" s="551">
        <f>B37</f>
        <v>111</v>
      </c>
      <c r="C114" s="552"/>
      <c r="D114" s="552"/>
      <c r="E114" s="552"/>
      <c r="F114" s="552"/>
      <c r="G114" s="552"/>
      <c r="H114" s="552"/>
      <c r="I114" s="552"/>
      <c r="J114" s="553"/>
      <c r="K114" s="553"/>
      <c r="L114" s="554"/>
      <c r="M114" s="555"/>
      <c r="N114" s="2984"/>
      <c r="O114" s="2984"/>
      <c r="P114" s="3008"/>
      <c r="Q114" s="2975"/>
      <c r="R114" s="2976"/>
      <c r="S114" s="2976"/>
      <c r="T114" s="2976"/>
      <c r="U114" s="2976"/>
      <c r="V114" s="2976"/>
      <c r="W114" s="2976"/>
      <c r="X114" s="2976"/>
      <c r="Y114" s="2976"/>
      <c r="Z114" s="2976"/>
      <c r="AA114" s="2976"/>
      <c r="AB114" s="2976"/>
      <c r="AC114" s="2976"/>
    </row>
    <row r="115" spans="1:29" s="430" customFormat="1" ht="15.75" thickBot="1">
      <c r="A115" s="510"/>
      <c r="B115" s="503"/>
      <c r="C115" s="469"/>
      <c r="D115" s="633"/>
      <c r="E115" s="633"/>
      <c r="F115" s="633"/>
      <c r="G115" s="633"/>
      <c r="H115" s="633"/>
      <c r="I115" s="633"/>
      <c r="J115" s="633"/>
      <c r="K115" s="633"/>
      <c r="L115" s="633"/>
      <c r="M115" s="655"/>
      <c r="N115" s="2983"/>
      <c r="O115" s="2983"/>
      <c r="P115" s="3008"/>
      <c r="Q115" s="2975"/>
      <c r="R115" s="2976"/>
      <c r="S115" s="2976"/>
      <c r="T115" s="2976"/>
      <c r="U115" s="2976"/>
      <c r="V115" s="2976"/>
      <c r="W115" s="2976"/>
      <c r="X115" s="2976"/>
      <c r="Y115" s="2976"/>
      <c r="Z115" s="2976"/>
      <c r="AA115" s="2976"/>
      <c r="AB115" s="2976"/>
      <c r="AC115" s="2976"/>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2"/>
      <c r="O116" s="2982"/>
      <c r="P116" s="3007"/>
      <c r="Q116" s="2968"/>
      <c r="R116" s="2954"/>
      <c r="S116" s="2954"/>
      <c r="T116" s="2954"/>
      <c r="U116" s="2954"/>
      <c r="V116" s="2954"/>
      <c r="W116" s="2954"/>
      <c r="X116" s="2954"/>
      <c r="Y116" s="2954"/>
      <c r="Z116" s="2954"/>
      <c r="AA116" s="2954"/>
      <c r="AB116" s="2954"/>
      <c r="AC116" s="2954"/>
    </row>
    <row r="117" spans="1:29" ht="15">
      <c r="A117" s="491"/>
      <c r="B117" s="503"/>
      <c r="C117" s="552"/>
      <c r="D117" s="552"/>
      <c r="E117" s="552"/>
      <c r="F117" s="552"/>
      <c r="G117" s="552"/>
      <c r="H117" s="552"/>
      <c r="I117" s="552"/>
      <c r="J117" s="553"/>
      <c r="K117" s="553"/>
      <c r="L117" s="554"/>
      <c r="M117" s="555"/>
      <c r="N117" s="2982"/>
      <c r="O117" s="2982"/>
      <c r="P117" s="3007"/>
      <c r="Q117" s="2968"/>
      <c r="R117" s="2954"/>
      <c r="S117" s="2954"/>
      <c r="T117" s="2954"/>
      <c r="U117" s="2954"/>
      <c r="V117" s="2954"/>
      <c r="W117" s="2954"/>
      <c r="X117" s="2954"/>
      <c r="Y117" s="2954"/>
      <c r="Z117" s="2954"/>
      <c r="AA117" s="2954"/>
      <c r="AB117" s="2954"/>
      <c r="AC117" s="2954"/>
    </row>
    <row r="118" spans="1:29" ht="15.75" thickBot="1">
      <c r="A118" s="491"/>
      <c r="B118" s="500"/>
      <c r="C118" s="527"/>
      <c r="D118" s="548"/>
      <c r="E118" s="548"/>
      <c r="F118" s="548"/>
      <c r="G118" s="548"/>
      <c r="H118" s="548"/>
      <c r="I118" s="548"/>
      <c r="J118" s="548"/>
      <c r="K118" s="548"/>
      <c r="L118" s="548"/>
      <c r="M118" s="549"/>
      <c r="N118" s="2983"/>
      <c r="O118" s="2983"/>
      <c r="P118" s="3007"/>
      <c r="Q118" s="2968"/>
      <c r="R118" s="2954"/>
      <c r="S118" s="2954"/>
      <c r="T118" s="2954"/>
      <c r="U118" s="2954"/>
      <c r="V118" s="2954"/>
      <c r="W118" s="2954"/>
      <c r="X118" s="2954"/>
      <c r="Y118" s="2954"/>
      <c r="Z118" s="2954"/>
      <c r="AA118" s="2954"/>
      <c r="AB118" s="2954"/>
      <c r="AC118" s="2954"/>
    </row>
    <row r="119" spans="1:29" ht="15" thickTop="1">
      <c r="A119" s="556"/>
      <c r="B119" s="495" t="s">
        <v>2613</v>
      </c>
      <c r="C119" s="540"/>
      <c r="D119" s="540"/>
      <c r="E119" s="540"/>
      <c r="F119" s="540"/>
      <c r="G119" s="540"/>
      <c r="H119" s="540"/>
      <c r="I119" s="540"/>
      <c r="J119" s="540"/>
      <c r="K119" s="541"/>
      <c r="L119" s="542"/>
      <c r="M119" s="543"/>
      <c r="N119" s="2982"/>
      <c r="O119" s="2982"/>
      <c r="P119" s="3007"/>
      <c r="Q119" s="2968"/>
      <c r="R119" s="2954"/>
      <c r="S119" s="2954"/>
      <c r="T119" s="2954"/>
      <c r="U119" s="2954"/>
      <c r="V119" s="2954"/>
      <c r="W119" s="2954"/>
      <c r="X119" s="2954"/>
      <c r="Y119" s="2954"/>
      <c r="Z119" s="2954"/>
      <c r="AA119" s="2954"/>
      <c r="AB119" s="2954"/>
      <c r="AC119" s="295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6"/>
      <c r="B121" s="495" t="s">
        <v>2614</v>
      </c>
      <c r="C121" s="511"/>
      <c r="D121" s="511"/>
      <c r="E121" s="511"/>
      <c r="F121" s="540"/>
      <c r="G121" s="540"/>
      <c r="H121" s="540"/>
      <c r="I121" s="540"/>
      <c r="J121" s="540"/>
      <c r="K121" s="541"/>
      <c r="L121" s="542"/>
      <c r="M121" s="543"/>
      <c r="N121" s="2982"/>
      <c r="O121" s="2982"/>
      <c r="P121" s="3007"/>
      <c r="Q121" s="2968"/>
      <c r="R121" s="2954"/>
      <c r="S121" s="2954"/>
      <c r="T121" s="2954"/>
      <c r="U121" s="2954"/>
      <c r="V121" s="2954"/>
      <c r="W121" s="2954"/>
      <c r="X121" s="2954"/>
      <c r="Y121" s="2954"/>
      <c r="Z121" s="2954"/>
      <c r="AA121" s="2954"/>
      <c r="AB121" s="2954"/>
      <c r="AC121" s="295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3"/>
      <c r="O122" s="2983"/>
      <c r="P122" s="3007"/>
      <c r="Q122" s="2968"/>
      <c r="R122" s="2954"/>
      <c r="S122" s="2954"/>
      <c r="T122" s="2954"/>
      <c r="U122" s="2954"/>
      <c r="V122" s="2954"/>
      <c r="W122" s="2954"/>
      <c r="X122" s="2954"/>
      <c r="Y122" s="2954"/>
      <c r="Z122" s="2954"/>
      <c r="AA122" s="2954"/>
      <c r="AB122" s="2954"/>
      <c r="AC122" s="2954"/>
    </row>
    <row r="123" spans="1:29" s="430" customFormat="1" ht="15" thickTop="1">
      <c r="A123" s="550"/>
      <c r="B123" s="495" t="s">
        <v>2615</v>
      </c>
      <c r="C123" s="511"/>
      <c r="D123" s="511"/>
      <c r="E123" s="511"/>
      <c r="F123" s="511"/>
      <c r="G123" s="511"/>
      <c r="H123" s="540"/>
      <c r="I123" s="540"/>
      <c r="J123" s="540"/>
      <c r="K123" s="541"/>
      <c r="L123" s="542"/>
      <c r="M123" s="543"/>
      <c r="N123" s="2984"/>
      <c r="O123" s="2984"/>
      <c r="P123" s="3008"/>
      <c r="Q123" s="2975"/>
      <c r="R123" s="2976"/>
      <c r="S123" s="2976"/>
      <c r="T123" s="2976"/>
      <c r="U123" s="2976"/>
      <c r="V123" s="2976"/>
      <c r="W123" s="2976"/>
      <c r="X123" s="2976"/>
      <c r="Y123" s="2976"/>
      <c r="Z123" s="2976"/>
      <c r="AA123" s="2976"/>
      <c r="AB123" s="2976"/>
      <c r="AC123" s="297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6"/>
      <c r="B125" s="495" t="s">
        <v>2616</v>
      </c>
      <c r="C125" s="511"/>
      <c r="D125" s="511"/>
      <c r="E125" s="540"/>
      <c r="F125" s="540"/>
      <c r="G125" s="540"/>
      <c r="H125" s="540"/>
      <c r="I125" s="540"/>
      <c r="J125" s="540"/>
      <c r="K125" s="541"/>
      <c r="L125" s="542"/>
      <c r="M125" s="543"/>
      <c r="N125" s="2982"/>
      <c r="O125" s="2982"/>
      <c r="P125" s="3007"/>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6"/>
      <c r="B127" s="495">
        <f>B43</f>
        <v>111</v>
      </c>
      <c r="C127" s="511"/>
      <c r="D127" s="511"/>
      <c r="E127" s="511"/>
      <c r="F127" s="511"/>
      <c r="G127" s="511"/>
      <c r="H127" s="540"/>
      <c r="I127" s="540"/>
      <c r="J127" s="540"/>
      <c r="K127" s="541"/>
      <c r="L127" s="542"/>
      <c r="M127" s="543"/>
      <c r="N127" s="2982"/>
      <c r="O127" s="2982"/>
      <c r="P127" s="3007"/>
      <c r="Q127" s="2968"/>
      <c r="R127" s="2954"/>
      <c r="S127" s="2954"/>
      <c r="T127" s="2954"/>
      <c r="U127" s="2954"/>
      <c r="V127" s="2954"/>
      <c r="W127" s="2954"/>
      <c r="X127" s="2954"/>
      <c r="Y127" s="2954"/>
      <c r="Z127" s="2954"/>
      <c r="AA127" s="2954"/>
      <c r="AB127" s="2954"/>
      <c r="AC127" s="2954"/>
    </row>
    <row r="128" spans="1:29" ht="15.75" thickBot="1">
      <c r="A128" s="491"/>
      <c r="B128" s="500"/>
      <c r="C128" s="517"/>
      <c r="D128" s="517"/>
      <c r="E128" s="517"/>
      <c r="F128" s="517"/>
      <c r="G128" s="493"/>
      <c r="H128" s="493"/>
      <c r="I128" s="493"/>
      <c r="J128" s="493"/>
      <c r="K128" s="493"/>
      <c r="L128" s="493"/>
      <c r="M128" s="494"/>
      <c r="N128" s="2983"/>
      <c r="O128" s="2983"/>
      <c r="P128" s="3007"/>
      <c r="Q128" s="2968"/>
      <c r="R128" s="2954"/>
      <c r="S128" s="2954"/>
      <c r="T128" s="2954"/>
      <c r="U128" s="2954"/>
      <c r="V128" s="2954"/>
      <c r="W128" s="2954"/>
      <c r="X128" s="2954"/>
      <c r="Y128" s="2954"/>
      <c r="Z128" s="2954"/>
      <c r="AA128" s="2954"/>
      <c r="AB128" s="2954"/>
      <c r="AC128" s="2954"/>
    </row>
    <row r="129" spans="1:29" ht="15" thickTop="1">
      <c r="A129" s="556"/>
      <c r="B129" s="495">
        <f>B44</f>
        <v>111</v>
      </c>
      <c r="C129" s="480"/>
      <c r="D129" s="480"/>
      <c r="E129" s="480"/>
      <c r="F129" s="480"/>
      <c r="G129" s="540"/>
      <c r="H129" s="540"/>
      <c r="I129" s="540"/>
      <c r="J129" s="540"/>
      <c r="K129" s="541"/>
      <c r="L129" s="542"/>
      <c r="M129" s="543"/>
      <c r="N129" s="2982"/>
      <c r="O129" s="2982"/>
      <c r="P129" s="3007"/>
      <c r="Q129" s="2968"/>
      <c r="R129" s="2954"/>
      <c r="S129" s="2954"/>
      <c r="T129" s="2954"/>
      <c r="U129" s="2954"/>
      <c r="V129" s="2954"/>
      <c r="W129" s="2954"/>
      <c r="X129" s="2954"/>
      <c r="Y129" s="2954"/>
      <c r="Z129" s="2954"/>
      <c r="AA129" s="2954"/>
      <c r="AB129" s="2954"/>
      <c r="AC129" s="2954"/>
    </row>
    <row r="130" spans="1:29" ht="15.75" thickBot="1">
      <c r="A130" s="491"/>
      <c r="B130" s="500"/>
      <c r="C130" s="527"/>
      <c r="D130" s="527"/>
      <c r="E130" s="527"/>
      <c r="F130" s="527"/>
      <c r="G130" s="493"/>
      <c r="H130" s="493"/>
      <c r="I130" s="493"/>
      <c r="J130" s="493"/>
      <c r="K130" s="493"/>
      <c r="L130" s="493"/>
      <c r="M130" s="494"/>
      <c r="N130" s="2983"/>
      <c r="O130" s="2983"/>
      <c r="P130" s="3007"/>
      <c r="Q130" s="2968"/>
      <c r="R130" s="2954"/>
      <c r="S130" s="2954"/>
      <c r="T130" s="2954"/>
      <c r="U130" s="2954"/>
      <c r="V130" s="2954"/>
      <c r="W130" s="2954"/>
      <c r="X130" s="2954"/>
      <c r="Y130" s="2954"/>
      <c r="Z130" s="2954"/>
      <c r="AA130" s="2954"/>
      <c r="AB130" s="2954"/>
      <c r="AC130" s="2954"/>
    </row>
    <row r="131" spans="1:29" s="430" customFormat="1" ht="15" thickTop="1">
      <c r="A131" s="550"/>
      <c r="B131" s="495">
        <f>B45</f>
        <v>111</v>
      </c>
      <c r="C131" s="480"/>
      <c r="D131" s="480"/>
      <c r="E131" s="480"/>
      <c r="F131" s="480"/>
      <c r="G131" s="512"/>
      <c r="H131" s="512"/>
      <c r="I131" s="512"/>
      <c r="J131" s="512"/>
      <c r="K131" s="512"/>
      <c r="L131" s="513"/>
      <c r="M131" s="514"/>
      <c r="N131" s="2984"/>
      <c r="O131" s="2984"/>
      <c r="P131" s="3008"/>
      <c r="Q131" s="2975"/>
      <c r="R131" s="2976"/>
      <c r="S131" s="2976"/>
      <c r="T131" s="2976"/>
      <c r="U131" s="2976"/>
      <c r="V131" s="2976"/>
      <c r="W131" s="2976"/>
      <c r="X131" s="2976"/>
      <c r="Y131" s="2976"/>
      <c r="Z131" s="2976"/>
      <c r="AA131" s="2976"/>
      <c r="AB131" s="2976"/>
      <c r="AC131" s="2976"/>
    </row>
    <row r="132" spans="1:29" s="430" customFormat="1" ht="15.75" thickBot="1">
      <c r="A132" s="525"/>
      <c r="B132" s="656"/>
      <c r="C132" s="527"/>
      <c r="D132" s="527"/>
      <c r="E132" s="527"/>
      <c r="F132" s="527"/>
      <c r="G132" s="548"/>
      <c r="H132" s="548"/>
      <c r="I132" s="548"/>
      <c r="J132" s="548"/>
      <c r="K132" s="548"/>
      <c r="L132" s="548"/>
      <c r="M132" s="549"/>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2624</v>
      </c>
      <c r="B1" s="203"/>
      <c r="C1" s="207" t="s">
        <v>2625</v>
      </c>
      <c r="D1" s="348">
        <f>SUM(D29:D30,D33:D39)</f>
        <v>0</v>
      </c>
      <c r="E1" s="2181"/>
      <c r="F1" s="2181"/>
      <c r="G1" s="2181"/>
      <c r="H1" s="2181"/>
      <c r="I1" s="2181"/>
      <c r="J1" s="2181"/>
      <c r="K1" s="1280"/>
      <c r="L1" s="2182" t="s">
        <v>2626</v>
      </c>
      <c r="M1" s="994">
        <f>SUMPRODUCT((区片价!B5:B9=I2)*(区片价!C3:F3=E2)*(区片价!C5:F9))</f>
        <v>0</v>
      </c>
      <c r="N1" s="997">
        <f>SUMPRODUCT((因素修正幅度!B5:B9=I2)*(因素修正幅度!C3:F3=E2)*(因素修正幅度!C5:F9))</f>
        <v>0</v>
      </c>
      <c r="O1" s="2183"/>
      <c r="P1" s="2183"/>
      <c r="Q1" s="1280"/>
      <c r="R1" s="1374" t="s">
        <v>2627</v>
      </c>
      <c r="S1" s="1374" t="s">
        <v>2628</v>
      </c>
      <c r="T1" s="1374" t="s">
        <v>2629</v>
      </c>
      <c r="U1" s="1374" t="s">
        <v>2630</v>
      </c>
      <c r="V1" s="1374" t="s">
        <v>2631</v>
      </c>
      <c r="W1" s="1378"/>
      <c r="X1" s="1378"/>
      <c r="Y1" s="1378"/>
      <c r="Z1" s="1378"/>
      <c r="AA1" s="1378"/>
      <c r="AB1" s="1378"/>
      <c r="AC1" s="1379"/>
      <c r="AD1" s="1380"/>
      <c r="AE1" s="1380"/>
      <c r="AF1" s="1380"/>
      <c r="AG1" s="1380"/>
      <c r="AH1" s="1380"/>
      <c r="AI1" s="1380"/>
      <c r="AJ1" s="1381"/>
    </row>
    <row r="2" spans="1:36" ht="15.75">
      <c r="A2" s="207" t="s">
        <v>2632</v>
      </c>
      <c r="B2" s="210" t="e">
        <f>C26</f>
        <v>#DIV/0!</v>
      </c>
      <c r="C2" s="2185" t="s">
        <v>2633</v>
      </c>
      <c r="D2" s="2186" t="s">
        <v>2634</v>
      </c>
      <c r="E2" s="2187"/>
      <c r="F2" s="2186" t="s">
        <v>2635</v>
      </c>
      <c r="G2" s="2188">
        <f>IF(E2="商业",项目基本情况!B37,IF(E2="办公",项目基本情况!C37,IF(E2="住宅",项目基本情况!D37,项目基本情况!E37)))</f>
        <v>0</v>
      </c>
      <c r="H2" s="2186" t="s">
        <v>2636</v>
      </c>
      <c r="I2" s="2188">
        <f>IF(E2="商业",项目基本情况!B38,IF(E2="办公",项目基本情况!C38,IF(E2="住宅",项目基本情况!D38,项目基本情况!E38)))</f>
        <v>0</v>
      </c>
      <c r="J2" s="2189"/>
      <c r="K2" s="1280"/>
      <c r="L2" s="2190" t="s">
        <v>2637</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2638</v>
      </c>
      <c r="B3" s="210" t="e">
        <f>ROUND(B2*10000/D1,0)</f>
        <v>#DIV/0!</v>
      </c>
      <c r="C3" s="2185" t="s">
        <v>2639</v>
      </c>
      <c r="D3" s="2186" t="s">
        <v>2640</v>
      </c>
      <c r="E3" s="2191"/>
      <c r="F3" s="2192" t="s">
        <v>2641</v>
      </c>
      <c r="G3" s="855">
        <f>IF(F3="宗地容积率",'数据-汇总表'!I4,IF(F3="估价对象容积率",'数据-汇总表'!I6,'数据-汇总表'!I7))</f>
        <v>0.53</v>
      </c>
      <c r="H3" s="175" t="s">
        <v>2642</v>
      </c>
      <c r="I3" s="881"/>
      <c r="J3" s="2189" t="s">
        <v>2643</v>
      </c>
      <c r="K3" s="1280"/>
      <c r="L3" s="2190"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354"/>
      <c r="B4" s="3355"/>
      <c r="C4" s="3355"/>
      <c r="D4" s="3356"/>
      <c r="E4" s="3356"/>
      <c r="F4" s="3356"/>
      <c r="G4" s="3356"/>
      <c r="H4" s="3356"/>
      <c r="I4" s="3356"/>
      <c r="J4" s="3357"/>
      <c r="K4" s="1280"/>
      <c r="L4" s="2190"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2646</v>
      </c>
      <c r="C5" s="856" t="e">
        <f>ROUND(IF(E2="商业",C6*C7+C16,(IF(E2="住宅",C6*C12+C16,C6+C16))),0)</f>
        <v>#DIV/0!</v>
      </c>
      <c r="D5" s="1523" t="e">
        <f>ROUND(C6+C16,0)</f>
        <v>#DIV/0!</v>
      </c>
      <c r="E5" s="1523"/>
      <c r="F5" s="2195"/>
      <c r="G5" s="2196"/>
      <c r="H5" s="2196"/>
      <c r="I5" s="2196"/>
      <c r="J5" s="2197"/>
      <c r="K5" s="2198"/>
      <c r="L5" s="2190"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si="0"/>
        <v>#DIV/0!</v>
      </c>
      <c r="U5" s="1375"/>
      <c r="V5" s="1374" t="e">
        <f t="shared" si="1"/>
        <v>#DIV/0!</v>
      </c>
      <c r="W5" s="1378"/>
      <c r="X5" s="1378"/>
      <c r="Y5" s="1378"/>
      <c r="Z5" s="1378"/>
      <c r="AA5" s="1378"/>
      <c r="AB5" s="1378"/>
      <c r="AC5" s="2199"/>
      <c r="AD5" s="2200"/>
      <c r="AE5" s="2200"/>
      <c r="AF5" s="2200"/>
      <c r="AG5" s="2200"/>
      <c r="AH5" s="2200"/>
      <c r="AI5" s="2200"/>
      <c r="AJ5" s="2201"/>
    </row>
    <row r="6" spans="1:36" ht="15.75" thickBot="1">
      <c r="A6" s="2203" t="s">
        <v>2648</v>
      </c>
      <c r="B6" s="2204" t="s">
        <v>2649</v>
      </c>
      <c r="C6" s="857">
        <f>SUMIF(L1:L12,G2,M1:M12)</f>
        <v>0</v>
      </c>
      <c r="D6" s="2205" t="s">
        <v>2650</v>
      </c>
      <c r="E6" s="2206"/>
      <c r="F6" s="2206"/>
      <c r="G6" s="2207"/>
      <c r="H6" s="2207"/>
      <c r="I6" s="2207"/>
      <c r="J6" s="2208"/>
      <c r="K6" s="1568"/>
      <c r="L6" s="2190"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si="0"/>
        <v>#DIV/0!</v>
      </c>
      <c r="U6" s="1375"/>
      <c r="V6" s="1374" t="e">
        <f t="shared" si="1"/>
        <v>#DIV/0!</v>
      </c>
      <c r="W6" s="1378"/>
      <c r="X6" s="1378"/>
      <c r="Y6" s="1378"/>
      <c r="Z6" s="1378"/>
      <c r="AA6" s="1378"/>
      <c r="AB6" s="1378"/>
      <c r="AC6" s="2199"/>
      <c r="AD6" s="2200"/>
      <c r="AE6" s="2200"/>
      <c r="AF6" s="2200"/>
      <c r="AG6" s="2200"/>
      <c r="AH6" s="2200"/>
      <c r="AI6" s="2200"/>
      <c r="AJ6" s="2201"/>
    </row>
    <row r="7" spans="1:36" ht="24">
      <c r="A7" s="3358" t="str">
        <f>IF(E2="商业",IF(C8="不临58条商业街","",2),"")</f>
        <v/>
      </c>
      <c r="B7" s="2209" t="s">
        <v>2652</v>
      </c>
      <c r="C7" s="858" t="e">
        <f>IF(C8="不临58条商业街",1,ROUND(1+(1.6*E8+1.2*E9+0.8*E10+0.4*E11)*C9,4))</f>
        <v>#DIV/0!</v>
      </c>
      <c r="D7" s="2210" t="s">
        <v>2653</v>
      </c>
      <c r="E7" s="882"/>
      <c r="F7" s="2211"/>
      <c r="G7" s="2212"/>
      <c r="H7" s="2212"/>
      <c r="I7" s="2212"/>
      <c r="J7" s="2213"/>
      <c r="K7" s="1568"/>
      <c r="L7" s="2190"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si="0"/>
        <v>#DIV/0!</v>
      </c>
      <c r="U7" s="1375"/>
      <c r="V7" s="1374" t="e">
        <f t="shared" si="1"/>
        <v>#DIV/0!</v>
      </c>
      <c r="W7" s="1542" t="s">
        <v>2655</v>
      </c>
      <c r="X7" s="1376">
        <f>G2</f>
        <v>0</v>
      </c>
      <c r="Y7" s="1376" t="s">
        <v>2656</v>
      </c>
      <c r="Z7" s="1377">
        <f>G3</f>
        <v>0.53</v>
      </c>
      <c r="AA7" s="1378"/>
      <c r="AB7" s="1378"/>
      <c r="AC7" s="1379"/>
      <c r="AD7" s="1380"/>
      <c r="AE7" s="1380"/>
      <c r="AF7" s="1380"/>
      <c r="AG7" s="1380"/>
      <c r="AH7" s="1380"/>
      <c r="AI7" s="1380"/>
      <c r="AJ7" s="1381"/>
    </row>
    <row r="8" spans="1:36" ht="15">
      <c r="A8" s="3359"/>
      <c r="B8" s="175" t="s">
        <v>2657</v>
      </c>
      <c r="C8" s="2214"/>
      <c r="D8" s="859" t="s">
        <v>139</v>
      </c>
      <c r="E8" s="860" t="e">
        <f>ROUND(C11/E7,4)</f>
        <v>#DIV/0!</v>
      </c>
      <c r="F8" s="2215" t="s">
        <v>2658</v>
      </c>
      <c r="G8" s="2216"/>
      <c r="H8" s="2216"/>
      <c r="I8" s="2216"/>
      <c r="J8" s="2217"/>
      <c r="K8" s="1280"/>
      <c r="L8" s="2190"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351" t="s">
        <v>2660</v>
      </c>
      <c r="X8" s="3352"/>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59"/>
      <c r="B9" s="175" t="s">
        <v>2673</v>
      </c>
      <c r="C9" s="861">
        <f>SUMIF(修正!C59:C119,C8,修正!E59:E119)</f>
        <v>0</v>
      </c>
      <c r="D9" s="176" t="s">
        <v>140</v>
      </c>
      <c r="E9" s="176" t="e">
        <f>ROUND(C11/E7,4)</f>
        <v>#DIV/0!</v>
      </c>
      <c r="F9" s="2215" t="s">
        <v>2674</v>
      </c>
      <c r="G9" s="2216"/>
      <c r="H9" s="2216"/>
      <c r="I9" s="2216"/>
      <c r="J9" s="2217"/>
      <c r="K9" s="1280"/>
      <c r="L9" s="2190"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353" t="s">
        <v>2676</v>
      </c>
      <c r="X9" s="1383" t="s">
        <v>2677</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59"/>
      <c r="B10" s="175" t="s">
        <v>2678</v>
      </c>
      <c r="C10" s="176">
        <f>SUMIF(修正!C59:C119,C8,修正!F59:F119)</f>
        <v>0</v>
      </c>
      <c r="D10" s="176" t="s">
        <v>141</v>
      </c>
      <c r="E10" s="176" t="e">
        <f>ROUND(C11/E7,4)</f>
        <v>#DIV/0!</v>
      </c>
      <c r="F10" s="2215" t="s">
        <v>2679</v>
      </c>
      <c r="G10" s="2216"/>
      <c r="H10" s="2216"/>
      <c r="I10" s="2216"/>
      <c r="J10" s="2217"/>
      <c r="K10" s="1280"/>
      <c r="L10" s="2190"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353"/>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59"/>
      <c r="B11" s="2218" t="s">
        <v>2681</v>
      </c>
      <c r="C11" s="862">
        <f>C10/4</f>
        <v>0</v>
      </c>
      <c r="D11" s="862" t="s">
        <v>142</v>
      </c>
      <c r="E11" s="862" t="e">
        <f>ROUND(C11/E7,4)</f>
        <v>#DIV/0!</v>
      </c>
      <c r="F11" s="2219" t="s">
        <v>2682</v>
      </c>
      <c r="G11" s="2220"/>
      <c r="H11" s="2220"/>
      <c r="I11" s="2220"/>
      <c r="J11" s="2221"/>
      <c r="K11" s="1280"/>
      <c r="L11" s="2190"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353" t="s">
        <v>2684</v>
      </c>
      <c r="X11" s="1386" t="s">
        <v>2685</v>
      </c>
      <c r="Y11" s="1387">
        <f>$G$3</f>
        <v>0.53</v>
      </c>
      <c r="Z11" s="1387">
        <f t="shared" ref="Z11:AJ11" si="3">$G$3</f>
        <v>0.53</v>
      </c>
      <c r="AA11" s="1387">
        <f t="shared" si="3"/>
        <v>0.53</v>
      </c>
      <c r="AB11" s="1387">
        <f t="shared" si="3"/>
        <v>0.53</v>
      </c>
      <c r="AC11" s="1387">
        <f t="shared" si="3"/>
        <v>0.53</v>
      </c>
      <c r="AD11" s="1387">
        <f t="shared" si="3"/>
        <v>0.53</v>
      </c>
      <c r="AE11" s="1387">
        <f t="shared" si="3"/>
        <v>0.53</v>
      </c>
      <c r="AF11" s="1387">
        <f t="shared" si="3"/>
        <v>0.53</v>
      </c>
      <c r="AG11" s="1387">
        <f t="shared" si="3"/>
        <v>0.53</v>
      </c>
      <c r="AH11" s="1387">
        <f t="shared" si="3"/>
        <v>0.53</v>
      </c>
      <c r="AI11" s="1387">
        <f t="shared" si="3"/>
        <v>0.53</v>
      </c>
      <c r="AJ11" s="1387">
        <f t="shared" si="3"/>
        <v>0.53</v>
      </c>
    </row>
    <row r="12" spans="1:36" ht="25.5" thickBot="1">
      <c r="A12" s="3358" t="s">
        <v>2686</v>
      </c>
      <c r="B12" s="2222" t="s">
        <v>2687</v>
      </c>
      <c r="C12" s="858">
        <f>ROUND(C15*D15*E15*F15*G15*H15*I15*J15,4)</f>
        <v>1</v>
      </c>
      <c r="D12" s="2223" t="s">
        <v>2688</v>
      </c>
      <c r="E12" s="2224"/>
      <c r="F12" s="2224"/>
      <c r="G12" s="2225"/>
      <c r="H12" s="2225"/>
      <c r="I12" s="2225"/>
      <c r="J12" s="2226"/>
      <c r="K12" s="1280"/>
      <c r="L12" s="2227"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353"/>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60"/>
      <c r="B13" s="2228" t="s">
        <v>2691</v>
      </c>
      <c r="C13" s="2229" t="s">
        <v>2692</v>
      </c>
      <c r="D13" s="1534" t="s">
        <v>2693</v>
      </c>
      <c r="E13" s="1534" t="s">
        <v>2694</v>
      </c>
      <c r="F13" s="30" t="s">
        <v>2695</v>
      </c>
      <c r="G13" s="2230" t="s">
        <v>2696</v>
      </c>
      <c r="H13" s="2230" t="s">
        <v>2696</v>
      </c>
      <c r="I13" s="2230" t="s">
        <v>2696</v>
      </c>
      <c r="J13" s="2231" t="s">
        <v>2696</v>
      </c>
      <c r="K13" s="1280"/>
      <c r="L13" s="1280"/>
      <c r="M13" s="1280"/>
      <c r="N13" s="1280"/>
      <c r="O13" s="1280"/>
      <c r="P13" s="1280"/>
      <c r="Q13" s="1280"/>
      <c r="R13" s="1374">
        <v>12</v>
      </c>
      <c r="S13" s="1375"/>
      <c r="T13" s="1374" t="e">
        <f t="shared" si="0"/>
        <v>#DIV/0!</v>
      </c>
      <c r="U13" s="1375"/>
      <c r="V13" s="1374" t="e">
        <f t="shared" si="1"/>
        <v>#DIV/0!</v>
      </c>
      <c r="W13" s="3353"/>
      <c r="X13" s="1388"/>
      <c r="Y13" s="1385">
        <f>(-0.163*(Y12^2)-0.59*Y12+7617)*(10^(-4))/Y11</f>
        <v>1.4371698113207547</v>
      </c>
      <c r="Z13" s="1385">
        <f t="shared" ref="Z13:AJ13" si="5">(-0.163*(Z12^2)-0.59*Z12+7617)*(10^(-4))/Z11</f>
        <v>1.4371698113207547</v>
      </c>
      <c r="AA13" s="1385">
        <f t="shared" si="5"/>
        <v>1.4371698113207547</v>
      </c>
      <c r="AB13" s="1385">
        <f t="shared" si="5"/>
        <v>1.4371698113207547</v>
      </c>
      <c r="AC13" s="1385">
        <f t="shared" si="5"/>
        <v>1.4371698113207547</v>
      </c>
      <c r="AD13" s="1385">
        <f t="shared" si="5"/>
        <v>1.4371698113207547</v>
      </c>
      <c r="AE13" s="1385">
        <f t="shared" si="5"/>
        <v>1.4371698113207547</v>
      </c>
      <c r="AF13" s="1385">
        <f t="shared" si="5"/>
        <v>1.4371698113207547</v>
      </c>
      <c r="AG13" s="1385">
        <f t="shared" si="5"/>
        <v>1.4371698113207547</v>
      </c>
      <c r="AH13" s="1385">
        <f t="shared" si="5"/>
        <v>1.4371698113207547</v>
      </c>
      <c r="AI13" s="1385">
        <f t="shared" si="5"/>
        <v>1.4371698113207547</v>
      </c>
      <c r="AJ13" s="1385">
        <f t="shared" si="5"/>
        <v>1.4371698113207547</v>
      </c>
    </row>
    <row r="14" spans="1:36" ht="15">
      <c r="A14" s="3360"/>
      <c r="B14" s="2232"/>
      <c r="C14" s="2233"/>
      <c r="D14" s="2234"/>
      <c r="E14" s="2234"/>
      <c r="F14" s="2235"/>
      <c r="G14" s="2236" t="s">
        <v>2697</v>
      </c>
      <c r="H14" s="2237"/>
      <c r="I14" s="2238"/>
      <c r="J14" s="2239"/>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20"/>
      <c r="AE14" s="3020"/>
      <c r="AF14" s="3020"/>
      <c r="AG14" s="3020"/>
      <c r="AH14" s="3020"/>
      <c r="AI14" s="3020"/>
      <c r="AJ14" s="3021"/>
    </row>
    <row r="15" spans="1:36" ht="15.75" thickBot="1">
      <c r="A15" s="3361"/>
      <c r="B15" s="2240" t="s">
        <v>2698</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t="e">
        <f t="shared" si="0"/>
        <v>#DIV/0!</v>
      </c>
      <c r="U15" s="1375"/>
      <c r="V15" s="1374" t="e">
        <f t="shared" si="1"/>
        <v>#DIV/0!</v>
      </c>
      <c r="W15" s="1378"/>
      <c r="X15" s="1378"/>
      <c r="Y15" s="1378"/>
      <c r="Z15" s="1378"/>
      <c r="AA15" s="1378"/>
      <c r="AB15" s="1378"/>
      <c r="AC15" s="1379"/>
      <c r="AD15" s="3020"/>
      <c r="AE15" s="3020"/>
      <c r="AF15" s="3020"/>
      <c r="AG15" s="3020"/>
      <c r="AH15" s="3020"/>
      <c r="AI15" s="3020"/>
      <c r="AJ15" s="3021"/>
    </row>
    <row r="16" spans="1:36" ht="24.6" customHeight="1">
      <c r="A16" s="3358" t="s">
        <v>2703</v>
      </c>
      <c r="B16" s="2209" t="s">
        <v>2704</v>
      </c>
      <c r="C16" s="2371" t="e">
        <f>ROUND(IF(F17="与级别开发程度一致",0,(G17-E17)/C17),0)</f>
        <v>#DIV/0!</v>
      </c>
      <c r="D16" s="3374" t="s">
        <v>2708</v>
      </c>
      <c r="E16" s="3375"/>
      <c r="F16" s="3374" t="s">
        <v>2705</v>
      </c>
      <c r="G16" s="3375"/>
      <c r="H16" s="2241"/>
      <c r="I16" s="2241"/>
      <c r="J16" s="2375"/>
      <c r="K16" s="2241"/>
      <c r="L16" s="2241"/>
      <c r="M16" s="2241"/>
      <c r="N16" s="2241"/>
      <c r="O16" s="2242"/>
      <c r="P16" s="2183"/>
      <c r="Q16" s="1280"/>
      <c r="R16" s="1374">
        <v>15</v>
      </c>
      <c r="S16" s="1375"/>
      <c r="T16" s="1374" t="e">
        <f t="shared" si="0"/>
        <v>#DIV/0!</v>
      </c>
      <c r="U16" s="1375"/>
      <c r="V16" s="1374" t="e">
        <f t="shared" si="1"/>
        <v>#DIV/0!</v>
      </c>
      <c r="W16" s="1378"/>
      <c r="X16" s="1378"/>
      <c r="Y16" s="1378"/>
      <c r="Z16" s="1378"/>
      <c r="AA16" s="1378"/>
      <c r="AB16" s="1378"/>
      <c r="AC16" s="1379"/>
      <c r="AD16" s="3020"/>
      <c r="AE16" s="3020"/>
      <c r="AF16" s="3020"/>
      <c r="AG16" s="3020"/>
      <c r="AH16" s="3020"/>
      <c r="AI16" s="3020"/>
      <c r="AJ16" s="3021"/>
    </row>
    <row r="17" spans="1:37" ht="13.5" thickBot="1">
      <c r="A17" s="3362"/>
      <c r="B17" s="2382" t="s">
        <v>2707</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2710</v>
      </c>
      <c r="C18" s="2378">
        <f>SUMIF(修正!C18:C39,E3,修正!E18:E39)</f>
        <v>0</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7.75" thickBot="1">
      <c r="A19" s="2246" t="s">
        <v>809</v>
      </c>
      <c r="B19" s="2247" t="s">
        <v>2711</v>
      </c>
      <c r="C19" s="863" t="e">
        <f>ROUND(IF(H19="按公示增长率计算",SUMPRODUCT((地价!A3:A34=YEAR(G19)&amp;"-"&amp;ROUNDUP(MONTH(G19)/3,0))*(地价!X2:AB2=E2)*(地价!X3:AB34)),IF(H19="地价指数",M20/M19,(1+I19)^O19)),4)</f>
        <v>#VALUE!</v>
      </c>
      <c r="D19" s="2251" t="s">
        <v>2712</v>
      </c>
      <c r="E19" s="864">
        <v>41640</v>
      </c>
      <c r="F19" s="2251" t="s">
        <v>2713</v>
      </c>
      <c r="G19" s="865">
        <f>'数据-取费表'!B2</f>
        <v>44371</v>
      </c>
      <c r="H19" s="2252"/>
      <c r="I19" s="866" t="str">
        <f>IF(H19="季度增幅（自定义）",SUMIF(N21:N24,E2,O21:O24),"")</f>
        <v/>
      </c>
      <c r="J19" s="2249"/>
      <c r="K19" s="1287"/>
      <c r="L19" s="2253" t="s">
        <v>2714</v>
      </c>
      <c r="M19" s="1496">
        <f>ROUND(SUMIF(地价!B2:F2,E2,地价!B34:F34),0)</f>
        <v>0</v>
      </c>
      <c r="N19" s="2254" t="s">
        <v>2715</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2716</v>
      </c>
      <c r="C20" s="868" t="e">
        <f>ROUND(POWER(1+G20,J20-I20)*(POWER(1+G20,I20)-1)/(POWER(1+G20,J20)-1),4)</f>
        <v>#DIV/0!</v>
      </c>
      <c r="D20" s="2258" t="s">
        <v>2717</v>
      </c>
      <c r="E20" s="1505">
        <f>存贷款利率!E18/100</f>
        <v>4.3499999999999997E-2</v>
      </c>
      <c r="F20" s="2258" t="s">
        <v>2709</v>
      </c>
      <c r="G20" s="873">
        <f>SUMIF(M26:P26,E2,M28:P28)</f>
        <v>0</v>
      </c>
      <c r="H20" s="2258" t="s">
        <v>2718</v>
      </c>
      <c r="I20" s="874" t="e">
        <f>SUMIF('数据-取费表'!C6:C15,E2,'数据-取费表'!F6:F15)/COUNTIF('数据-取费表'!C6:C15,E2)</f>
        <v>#DIV/0!</v>
      </c>
      <c r="J20" s="875">
        <f>IF(E2="住宅",70,IF(E2="商业",40,50))</f>
        <v>50</v>
      </c>
      <c r="K20" s="1287"/>
      <c r="L20" s="2259" t="s">
        <v>2719</v>
      </c>
      <c r="M20" s="1497">
        <f>ROUND(SUMPRODUCT((地价!A4:A34=YEAR(G19)&amp;"-"&amp;ROUNDUP(MONTH(G19)/3,0))*(地价!B2:F2=E2)*(地价!B4:F34)),0)</f>
        <v>0</v>
      </c>
      <c r="N20" s="2260" t="s">
        <v>2720</v>
      </c>
      <c r="O20" s="2261" t="s">
        <v>2721</v>
      </c>
      <c r="P20" s="2262" t="s">
        <v>2722</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2723</v>
      </c>
      <c r="C21" s="876">
        <f>IF(B21="容积率修正",IF(G3&lt;=10,D22,J22),C23)</f>
        <v>0</v>
      </c>
      <c r="D21" s="2265"/>
      <c r="E21" s="2265"/>
      <c r="F21" s="2265"/>
      <c r="G21" s="2265"/>
      <c r="H21" s="2265"/>
      <c r="I21" s="2265"/>
      <c r="J21" s="2266"/>
      <c r="K21" s="1287"/>
      <c r="L21" s="3019"/>
      <c r="M21" s="3019"/>
      <c r="N21" s="2267" t="s">
        <v>2724</v>
      </c>
      <c r="O21" s="1335"/>
      <c r="P21" s="1336">
        <f>SUMPRODUCT((地价!A3:A34=YEAR(G19)&amp;"-"&amp;ROUNDUP(MONTH(G19)/3,0))*(地价!AD2:AH2=N21)*(地价!AD3:AH34))</f>
        <v>1.09E-2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2725</v>
      </c>
      <c r="B22" s="2268" t="s">
        <v>2726</v>
      </c>
      <c r="C22" s="1536" t="s">
        <v>2727</v>
      </c>
      <c r="D22" s="1536">
        <f>IF(E22=G22,F22,IF(G3&lt;=10,ROUND(F22+(H22-F22)*(G3-E22)/(G22-E22),4),"——"))</f>
        <v>0</v>
      </c>
      <c r="E22" s="855">
        <f>ROUNDDOWN(G3,1)</f>
        <v>0.5</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0.6</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6" t="s">
        <v>155</v>
      </c>
      <c r="J22" s="877" t="str">
        <f>IF(G3&gt;10,D113,"——")</f>
        <v>——</v>
      </c>
      <c r="K22" s="1287"/>
      <c r="L22" s="3019"/>
      <c r="M22" s="3019"/>
      <c r="N22" s="2267" t="s">
        <v>2728</v>
      </c>
      <c r="O22" s="1335"/>
      <c r="P22" s="1336">
        <f>SUMPRODUCT((地价!A3:A34=YEAR(G19)&amp;"-"&amp;ROUNDUP(MONTH(G19)/3,0))*(地价!AD2:AH2=N22)*(地价!AD3:AH34))</f>
        <v>1.09E-2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SUMPRODUCT((地价!A3:A34=YEAR(G19)&amp;"-"&amp;ROUNDUP(MONTH(G19)/3,0))*(地价!AD2:AH2=N23)*(地价!AD3:AH34))</f>
        <v>1.9E-2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0</v>
      </c>
      <c r="D24" s="2248"/>
      <c r="E24" s="2275"/>
      <c r="F24" s="2275"/>
      <c r="G24" s="2275"/>
      <c r="H24" s="2275"/>
      <c r="I24" s="2275"/>
      <c r="J24" s="2276"/>
      <c r="K24" s="1287"/>
      <c r="L24" s="3019"/>
      <c r="M24" s="3019"/>
      <c r="N24" s="2277" t="s">
        <v>2733</v>
      </c>
      <c r="O24" s="1337"/>
      <c r="P24" s="1338">
        <f>SUMPRODUCT((地价!A3:A34=YEAR(G19)&amp;"-"&amp;ROUNDUP(MONTH(G19)/3,0))*(地价!AD2:AH2=N24)*(地价!AD3:AH34))</f>
        <v>1.2500000000000001E-2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2734</v>
      </c>
      <c r="C25" s="869"/>
      <c r="D25" s="2212"/>
      <c r="E25" s="2212"/>
      <c r="F25" s="2279"/>
      <c r="G25" s="2212"/>
      <c r="H25" s="2212"/>
      <c r="I25" s="2212"/>
      <c r="J25" s="2213"/>
      <c r="K25" s="1280"/>
      <c r="L25" s="2183"/>
      <c r="M25" s="2183"/>
      <c r="N25" s="3014" t="s">
        <v>2735</v>
      </c>
      <c r="O25" s="3015"/>
      <c r="P25" s="3016">
        <f>SUMPRODUCT((地价!A3:A34=YEAR(G19)&amp;"-"&amp;ROUNDUP(MONTH(G19)/3,0))*(地价!AD2:AH2=N25)*(地价!AD3:AH34))</f>
        <v>1.7299999999999999E-2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t="e">
        <f>IF(B21="容积率修正",E29+SUM(E33:E39),SUM(V2:V16)+SUM(E33:E39))</f>
        <v>#DIV/0!</v>
      </c>
      <c r="D26" s="2281"/>
      <c r="E26" s="2237"/>
      <c r="F26" s="2282"/>
      <c r="G26" s="2237"/>
      <c r="H26" s="2237"/>
      <c r="I26" s="2237"/>
      <c r="J26" s="2283"/>
      <c r="K26" s="1280"/>
      <c r="L26" s="3017" t="s">
        <v>2634</v>
      </c>
      <c r="M26" s="2210" t="s">
        <v>2699</v>
      </c>
      <c r="N26" s="2210" t="s">
        <v>2700</v>
      </c>
      <c r="O26" s="2210" t="s">
        <v>2701</v>
      </c>
      <c r="P26" s="3018" t="s">
        <v>2702</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t="e">
        <f>E30+SUM(I33:I39)</f>
        <v>#DIV/0!</v>
      </c>
      <c r="D27" s="2285"/>
      <c r="E27" s="2286"/>
      <c r="F27" s="2287"/>
      <c r="G27" s="2286"/>
      <c r="H27" s="2286"/>
      <c r="I27" s="2286"/>
      <c r="J27" s="2288"/>
      <c r="K27" s="1280"/>
      <c r="L27" s="2243"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2709</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t="e">
        <f>ROUND(C5*C18*C19*C20*C21*C24,0)</f>
        <v>#DIV/0!</v>
      </c>
      <c r="D29" s="2296"/>
      <c r="E29" s="879" t="e">
        <f>ROUND(C29*D29/10000,0)</f>
        <v>#DIV/0!</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t="e">
        <f>ROUND(IF(E2="工业",C29*M39,C29*M38),0)</f>
        <v>#DIV/0!</v>
      </c>
      <c r="D30" s="2302"/>
      <c r="E30" s="879" t="e">
        <f>ROUND(C30*D30/10000,0)</f>
        <v>#DIV/0!</v>
      </c>
      <c r="F30" s="2303" t="s">
        <v>2745</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71"/>
      <c r="B33" s="2312" t="s">
        <v>2750</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3376"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72"/>
      <c r="B34" s="2229" t="s">
        <v>2751</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72"/>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72"/>
      <c r="B35" s="2229" t="s">
        <v>2752</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372"/>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73"/>
      <c r="B36" s="2229" t="s">
        <v>2753</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3373"/>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2702</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t="e">
        <f>ROUND(POWER(1+E41,H41-G41)*(POWER(1+E41,G41)-1)/(POWER(1+E41,H41)-1),4)</f>
        <v>#DIV/0!</v>
      </c>
      <c r="D41" s="176" t="s">
        <v>2709</v>
      </c>
      <c r="E41" s="2369">
        <f>G20</f>
        <v>0</v>
      </c>
      <c r="F41" s="176" t="s">
        <v>2718</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2418</v>
      </c>
      <c r="K80" s="560" t="s">
        <v>2419</v>
      </c>
      <c r="L80" s="560" t="s">
        <v>2420</v>
      </c>
      <c r="M80" s="560" t="s">
        <v>2421</v>
      </c>
      <c r="N80" s="560" t="s">
        <v>2422</v>
      </c>
      <c r="Z80" s="2184"/>
      <c r="AA80" s="2250"/>
      <c r="AG80" s="1282"/>
      <c r="AK80" s="2250"/>
    </row>
    <row r="81" spans="1:37" ht="38.25">
      <c r="A81" s="2329" t="s">
        <v>2788</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2771</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2785</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2777</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2778</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2775</v>
      </c>
      <c r="B87" s="2335" t="s">
        <v>2789</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2790</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63" t="s">
        <v>2791</v>
      </c>
      <c r="B90" s="3363"/>
      <c r="C90" s="3363"/>
      <c r="D90" s="3363"/>
      <c r="E90" s="3363"/>
      <c r="F90" s="3363"/>
      <c r="G90" s="3363"/>
      <c r="H90" s="3363"/>
      <c r="I90" s="3363"/>
      <c r="J90" s="3363"/>
      <c r="K90" s="2343"/>
      <c r="L90" s="2343"/>
      <c r="M90" s="2343"/>
      <c r="N90" s="2343"/>
    </row>
    <row r="91" spans="1:37">
      <c r="A91" s="3365" t="s">
        <v>2792</v>
      </c>
      <c r="B91" s="3365" t="s">
        <v>2793</v>
      </c>
      <c r="C91" s="2297" t="s">
        <v>2794</v>
      </c>
      <c r="D91" s="2298"/>
      <c r="E91" s="2298"/>
      <c r="F91" s="2298"/>
      <c r="G91" s="2298"/>
      <c r="H91" s="2298"/>
      <c r="I91" s="2298"/>
      <c r="J91" s="2344"/>
      <c r="K91" s="2345"/>
      <c r="L91" s="2345"/>
      <c r="M91" s="2345"/>
      <c r="N91" s="2345"/>
    </row>
    <row r="92" spans="1:37">
      <c r="A92" s="3365"/>
      <c r="B92" s="3365"/>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66"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67"/>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67"/>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67"/>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67"/>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67"/>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67"/>
      <c r="B99" s="2346" t="s">
        <v>2677</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68"/>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66" t="s">
        <v>2796</v>
      </c>
      <c r="B101" s="2350" t="s">
        <v>2797</v>
      </c>
      <c r="C101" s="2351">
        <f>$G$3</f>
        <v>0.53</v>
      </c>
      <c r="D101" s="2351">
        <f t="shared" ref="D101:N101" si="31">$G$3</f>
        <v>0.53</v>
      </c>
      <c r="E101" s="2351">
        <f t="shared" si="31"/>
        <v>0.53</v>
      </c>
      <c r="F101" s="2351">
        <f t="shared" si="31"/>
        <v>0.53</v>
      </c>
      <c r="G101" s="2351">
        <f t="shared" si="31"/>
        <v>0.53</v>
      </c>
      <c r="H101" s="2351">
        <f t="shared" si="31"/>
        <v>0.53</v>
      </c>
      <c r="I101" s="2351">
        <f t="shared" si="31"/>
        <v>0.53</v>
      </c>
      <c r="J101" s="2351">
        <f t="shared" si="31"/>
        <v>0.53</v>
      </c>
      <c r="K101" s="2351">
        <f t="shared" si="31"/>
        <v>0.53</v>
      </c>
      <c r="L101" s="2351">
        <f t="shared" si="31"/>
        <v>0.53</v>
      </c>
      <c r="M101" s="2351">
        <f t="shared" si="31"/>
        <v>0.53</v>
      </c>
      <c r="N101" s="2351">
        <f t="shared" si="31"/>
        <v>0.53</v>
      </c>
    </row>
    <row r="102" spans="1:14">
      <c r="A102" s="3367"/>
      <c r="B102" s="2346">
        <v>1</v>
      </c>
      <c r="C102" s="2347">
        <f>1.9362/C101</f>
        <v>3.6532075471698109</v>
      </c>
      <c r="D102" s="2347">
        <f>1.9362/D101</f>
        <v>3.6532075471698109</v>
      </c>
      <c r="E102" s="2347">
        <f>1.8629/E101</f>
        <v>3.5149056603773583</v>
      </c>
      <c r="F102" s="2347">
        <f>1.8629/F101</f>
        <v>3.5149056603773583</v>
      </c>
      <c r="G102" s="2347">
        <f>1.8629/G101</f>
        <v>3.5149056603773583</v>
      </c>
      <c r="H102" s="2347">
        <f>1.8629/H101</f>
        <v>3.5149056603773583</v>
      </c>
      <c r="I102" s="2347">
        <f>1.8629/I101</f>
        <v>3.5149056603773583</v>
      </c>
      <c r="J102" s="2347">
        <f>1.942/J101</f>
        <v>3.6641509433962263</v>
      </c>
      <c r="K102" s="2347">
        <f>1.942/K101</f>
        <v>3.6641509433962263</v>
      </c>
      <c r="L102" s="2347">
        <f>1.942/L101</f>
        <v>3.6641509433962263</v>
      </c>
      <c r="M102" s="2347">
        <f>1.942/M101</f>
        <v>3.6641509433962263</v>
      </c>
      <c r="N102" s="2347">
        <f>1.942/N101</f>
        <v>3.6641509433962263</v>
      </c>
    </row>
    <row r="103" spans="1:14">
      <c r="A103" s="3367"/>
      <c r="B103" s="2346">
        <v>2</v>
      </c>
      <c r="C103" s="2347">
        <f>1.4198/C101</f>
        <v>2.6788679245283018</v>
      </c>
      <c r="D103" s="2347">
        <f>1.4198/D101</f>
        <v>2.6788679245283018</v>
      </c>
      <c r="E103" s="2347">
        <f>1.3372/E101</f>
        <v>2.5230188679245282</v>
      </c>
      <c r="F103" s="2347">
        <f>1.3372/F101</f>
        <v>2.5230188679245282</v>
      </c>
      <c r="G103" s="2347">
        <f>1.3372/G101</f>
        <v>2.5230188679245282</v>
      </c>
      <c r="H103" s="2347">
        <f>1.3372/H101</f>
        <v>2.5230188679245282</v>
      </c>
      <c r="I103" s="2347">
        <f>1.3372/I101</f>
        <v>2.5230188679245282</v>
      </c>
      <c r="J103" s="2347">
        <f>1.2799/J101</f>
        <v>2.4149056603773587</v>
      </c>
      <c r="K103" s="2347">
        <f>1.2799/K101</f>
        <v>2.4149056603773587</v>
      </c>
      <c r="L103" s="2347">
        <f>1.2799/L101</f>
        <v>2.4149056603773587</v>
      </c>
      <c r="M103" s="2347">
        <f>1.2799/M101</f>
        <v>2.4149056603773587</v>
      </c>
      <c r="N103" s="2347">
        <f>1.2799/N101</f>
        <v>2.4149056603773587</v>
      </c>
    </row>
    <row r="104" spans="1:14">
      <c r="A104" s="3367"/>
      <c r="B104" s="2346">
        <v>3</v>
      </c>
      <c r="C104" s="2347">
        <f>1.1594/C101</f>
        <v>2.1875471698113205</v>
      </c>
      <c r="D104" s="2347">
        <f>1.1594/D101</f>
        <v>2.1875471698113205</v>
      </c>
      <c r="E104" s="2347">
        <f>1.0788/E101</f>
        <v>2.0354716981132075</v>
      </c>
      <c r="F104" s="2347">
        <f>1.0788/F101</f>
        <v>2.0354716981132075</v>
      </c>
      <c r="G104" s="2347">
        <f>1.0788/G101</f>
        <v>2.0354716981132075</v>
      </c>
      <c r="H104" s="2347">
        <f>1.0788/H101</f>
        <v>2.0354716981132075</v>
      </c>
      <c r="I104" s="2347">
        <f>1.0788/I101</f>
        <v>2.0354716981132075</v>
      </c>
      <c r="J104" s="2347">
        <f>1.0072/J101</f>
        <v>1.9003773584905661</v>
      </c>
      <c r="K104" s="2347">
        <f>1.0072/K101</f>
        <v>1.9003773584905661</v>
      </c>
      <c r="L104" s="2347">
        <f>1.0072/L101</f>
        <v>1.9003773584905661</v>
      </c>
      <c r="M104" s="2347">
        <f>1.0072/M101</f>
        <v>1.9003773584905661</v>
      </c>
      <c r="N104" s="2347">
        <f>1.0072/N101</f>
        <v>1.9003773584905661</v>
      </c>
    </row>
    <row r="105" spans="1:14">
      <c r="A105" s="3367"/>
      <c r="B105" s="2346">
        <v>4</v>
      </c>
      <c r="C105" s="2347">
        <f>0.9622/C101</f>
        <v>1.8154716981132075</v>
      </c>
      <c r="D105" s="2347">
        <f>0.9622/D101</f>
        <v>1.8154716981132075</v>
      </c>
      <c r="E105" s="2347">
        <f>0.8656/E101</f>
        <v>1.6332075471698113</v>
      </c>
      <c r="F105" s="2347">
        <f>0.8656/F101</f>
        <v>1.6332075471698113</v>
      </c>
      <c r="G105" s="2347">
        <f>0.8656/G101</f>
        <v>1.6332075471698113</v>
      </c>
      <c r="H105" s="2347">
        <f>0.8656/H101</f>
        <v>1.6332075471698113</v>
      </c>
      <c r="I105" s="2347">
        <f>0.8656/I101</f>
        <v>1.6332075471698113</v>
      </c>
      <c r="J105" s="2347">
        <f>0.7525/J101</f>
        <v>1.4198113207547167</v>
      </c>
      <c r="K105" s="2347">
        <f>0.7525/K101</f>
        <v>1.4198113207547167</v>
      </c>
      <c r="L105" s="2347">
        <f>0.7525/L101</f>
        <v>1.4198113207547167</v>
      </c>
      <c r="M105" s="2347">
        <f>0.7525/M101</f>
        <v>1.4198113207547167</v>
      </c>
      <c r="N105" s="2347">
        <f>0.7525/N101</f>
        <v>1.4198113207547167</v>
      </c>
    </row>
    <row r="106" spans="1:14">
      <c r="A106" s="3367"/>
      <c r="B106" s="2346">
        <v>5</v>
      </c>
      <c r="C106" s="2347">
        <f>0.8417/C101</f>
        <v>1.5881132075471698</v>
      </c>
      <c r="D106" s="2347">
        <f>0.8417/D101</f>
        <v>1.5881132075471698</v>
      </c>
      <c r="E106" s="2347">
        <f>0.7371/E101</f>
        <v>1.3907547169811321</v>
      </c>
      <c r="F106" s="2347">
        <f>0.7371/F101</f>
        <v>1.3907547169811321</v>
      </c>
      <c r="G106" s="2347">
        <f>0.7371/G101</f>
        <v>1.3907547169811321</v>
      </c>
      <c r="H106" s="2347">
        <f>0.7371/H101</f>
        <v>1.3907547169811321</v>
      </c>
      <c r="I106" s="2347">
        <f>0.7371/I101</f>
        <v>1.3907547169811321</v>
      </c>
      <c r="J106" s="2347">
        <f>0.5659/J101</f>
        <v>1.0677358490566036</v>
      </c>
      <c r="K106" s="2347">
        <f>0.5659/K101</f>
        <v>1.0677358490566036</v>
      </c>
      <c r="L106" s="2347">
        <f>0.5659/L101</f>
        <v>1.0677358490566036</v>
      </c>
      <c r="M106" s="2347">
        <f>0.5659/M101</f>
        <v>1.0677358490566036</v>
      </c>
      <c r="N106" s="2347">
        <f>0.5659/N101</f>
        <v>1.0677358490566036</v>
      </c>
    </row>
    <row r="107" spans="1:14">
      <c r="A107" s="3367"/>
      <c r="B107" s="2346">
        <v>6</v>
      </c>
      <c r="C107" s="2347">
        <f>0.7608/C101</f>
        <v>1.4354716981132076</v>
      </c>
      <c r="D107" s="2347">
        <f>0.7608/D101</f>
        <v>1.4354716981132076</v>
      </c>
      <c r="E107" s="2347">
        <f>0.6482/E101</f>
        <v>1.2230188679245282</v>
      </c>
      <c r="F107" s="2347">
        <f>0.6482/F101</f>
        <v>1.2230188679245282</v>
      </c>
      <c r="G107" s="2347">
        <f>0.6482/G101</f>
        <v>1.2230188679245282</v>
      </c>
      <c r="H107" s="2347">
        <f>0.6482/H101</f>
        <v>1.2230188679245282</v>
      </c>
      <c r="I107" s="2347">
        <f>0.6482/I101</f>
        <v>1.2230188679245282</v>
      </c>
      <c r="J107" s="2347">
        <f>0.4525/J101</f>
        <v>0.85377358490566035</v>
      </c>
      <c r="K107" s="2347">
        <f>0.4525/K101</f>
        <v>0.85377358490566035</v>
      </c>
      <c r="L107" s="2347">
        <f>0.4525/L101</f>
        <v>0.85377358490566035</v>
      </c>
      <c r="M107" s="2347">
        <f>0.4525/M101</f>
        <v>0.85377358490566035</v>
      </c>
      <c r="N107" s="2347">
        <f>0.4525/N101</f>
        <v>0.85377358490566035</v>
      </c>
    </row>
    <row r="108" spans="1:14">
      <c r="A108" s="3367"/>
      <c r="B108" s="3369" t="s">
        <v>2798</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68"/>
      <c r="B109" s="3370"/>
      <c r="C109" s="2349">
        <f>(-0.163*(C108^2)-0.59*C108+7617)*(10^(-4))/C101</f>
        <v>1.4371698113207547</v>
      </c>
      <c r="D109" s="2349">
        <f>(-0.163*(D108^2)-0.59*D108+7617)*(10^(-4))/D101</f>
        <v>1.4371698113207547</v>
      </c>
      <c r="E109" s="2349">
        <f>(-0.161*(E108^2)-7.509*E108+6533)*(10^(-4))/E101</f>
        <v>1.2326415094339622</v>
      </c>
      <c r="F109" s="2349">
        <f>(-0.161*(F108^2)-7.509*F108+6533)*(10^(-4))/F101</f>
        <v>1.2326415094339622</v>
      </c>
      <c r="G109" s="2349">
        <f>(-0.161*(G108^2)-7.509*G108+6533)*(10^(-4))/G101</f>
        <v>1.2326415094339622</v>
      </c>
      <c r="H109" s="2349">
        <f>(-0.161*(H108^2)-7.509*H108+6533)*(10^(-4))/H101</f>
        <v>1.2326415094339622</v>
      </c>
      <c r="I109" s="2349">
        <f>(-0.161*(I108^2)-7.509*I108+6533)*(10^(-4))/I101</f>
        <v>1.2326415094339622</v>
      </c>
      <c r="J109" s="2349">
        <f>(-0.214*(J108^2)-21.991*J108+4665)*(10^(-4))/J101</f>
        <v>0.88018867924528299</v>
      </c>
      <c r="K109" s="2349">
        <f>(-0.214*(K108^2)-21.991*K108+4665)*(10^(-4))/K101</f>
        <v>0.88018867924528299</v>
      </c>
      <c r="L109" s="2349">
        <f>(-0.214*(L108^2)-21.991*L108+4665)*(10^(-4))/L101</f>
        <v>0.88018867924528299</v>
      </c>
      <c r="M109" s="2349">
        <f>(-0.214*(M108^2)-21.991*M108+4665)*(10^(-4))/M101</f>
        <v>0.88018867924528299</v>
      </c>
      <c r="N109" s="2349">
        <f>(-0.214*(N108^2)-21.991*N108+4665)*(10^(-4))/N101</f>
        <v>0.88018867924528299</v>
      </c>
    </row>
    <row r="110" spans="1:14">
      <c r="A110" s="3364" t="s">
        <v>2799</v>
      </c>
      <c r="B110" s="3364"/>
      <c r="C110" s="3364"/>
      <c r="D110" s="3364"/>
      <c r="E110" s="3364"/>
      <c r="F110" s="3364"/>
      <c r="G110" s="3364"/>
      <c r="H110" s="3364"/>
      <c r="I110" s="3364"/>
      <c r="J110" s="3364"/>
      <c r="K110" s="2352"/>
      <c r="L110" s="2352"/>
      <c r="M110" s="2352"/>
      <c r="N110" s="2352"/>
    </row>
    <row r="112" spans="1:14" ht="13.5" thickBot="1"/>
    <row r="113" spans="1:13" ht="25.5" thickBot="1">
      <c r="A113" s="842" t="s">
        <v>2800</v>
      </c>
      <c r="B113" s="1197">
        <f>G3</f>
        <v>0.53</v>
      </c>
      <c r="C113" s="843" t="s">
        <v>2801</v>
      </c>
      <c r="D113" s="844">
        <f>SUMPRODUCT((A115:A118=F113)*(B114:M114=H113)*B115:M118)</f>
        <v>0</v>
      </c>
      <c r="E113" s="2188" t="s">
        <v>2634</v>
      </c>
      <c r="F113" s="2354">
        <f>E2</f>
        <v>0</v>
      </c>
      <c r="G113" s="2188" t="s">
        <v>2635</v>
      </c>
      <c r="H113" s="2354">
        <f>G2</f>
        <v>0</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2699</v>
      </c>
      <c r="B115" s="849">
        <f>ROUND(0.9335-0.0094*B113,4)</f>
        <v>0.92849999999999999</v>
      </c>
      <c r="C115" s="849">
        <f>B115</f>
        <v>0.92849999999999999</v>
      </c>
      <c r="D115" s="849">
        <f>ROUND(0.8331-0.0109*B113,4)</f>
        <v>0.82730000000000004</v>
      </c>
      <c r="E115" s="849">
        <f>D115</f>
        <v>0.82730000000000004</v>
      </c>
      <c r="F115" s="849">
        <f>E115</f>
        <v>0.82730000000000004</v>
      </c>
      <c r="G115" s="849">
        <f>F115</f>
        <v>0.82730000000000004</v>
      </c>
      <c r="H115" s="849">
        <f>G115</f>
        <v>0.82730000000000004</v>
      </c>
      <c r="I115" s="849">
        <f>ROUND(0.689-0.0155*B113,4)</f>
        <v>0.68079999999999996</v>
      </c>
      <c r="J115" s="849">
        <f t="shared" ref="J115:M118" si="33">I115</f>
        <v>0.68079999999999996</v>
      </c>
      <c r="K115" s="849">
        <f t="shared" si="33"/>
        <v>0.68079999999999996</v>
      </c>
      <c r="L115" s="849">
        <f t="shared" si="33"/>
        <v>0.68079999999999996</v>
      </c>
      <c r="M115" s="850">
        <f t="shared" si="33"/>
        <v>0.68079999999999996</v>
      </c>
    </row>
    <row r="116" spans="1:13">
      <c r="A116" s="848" t="s">
        <v>2700</v>
      </c>
      <c r="B116" s="849">
        <f>ROUND(0.949-0.012*B113,4)</f>
        <v>0.94259999999999999</v>
      </c>
      <c r="C116" s="849">
        <f>B116</f>
        <v>0.94259999999999999</v>
      </c>
      <c r="D116" s="849">
        <f>ROUND(0.8567-0.013*B113,4)</f>
        <v>0.8498</v>
      </c>
      <c r="E116" s="849">
        <f t="shared" ref="E116:H117" si="34">D116</f>
        <v>0.8498</v>
      </c>
      <c r="F116" s="849">
        <f t="shared" si="34"/>
        <v>0.8498</v>
      </c>
      <c r="G116" s="849">
        <f t="shared" si="34"/>
        <v>0.8498</v>
      </c>
      <c r="H116" s="849">
        <f t="shared" si="34"/>
        <v>0.8498</v>
      </c>
      <c r="I116" s="849">
        <f>ROUND(0.7694-0.014*B113,4)</f>
        <v>0.76200000000000001</v>
      </c>
      <c r="J116" s="849">
        <f t="shared" si="33"/>
        <v>0.76200000000000001</v>
      </c>
      <c r="K116" s="849">
        <f t="shared" si="33"/>
        <v>0.76200000000000001</v>
      </c>
      <c r="L116" s="849">
        <f t="shared" si="33"/>
        <v>0.76200000000000001</v>
      </c>
      <c r="M116" s="850">
        <f t="shared" si="33"/>
        <v>0.76200000000000001</v>
      </c>
    </row>
    <row r="117" spans="1:13">
      <c r="A117" s="848" t="s">
        <v>2701</v>
      </c>
      <c r="B117" s="849">
        <f>ROUND(0.8808-0.006*B113,4)</f>
        <v>0.87760000000000005</v>
      </c>
      <c r="C117" s="849">
        <f>B117</f>
        <v>0.87760000000000005</v>
      </c>
      <c r="D117" s="849">
        <f>ROUND(0.8748-0.008*B113,4)</f>
        <v>0.87060000000000004</v>
      </c>
      <c r="E117" s="849">
        <f t="shared" si="34"/>
        <v>0.87060000000000004</v>
      </c>
      <c r="F117" s="849">
        <f t="shared" si="34"/>
        <v>0.87060000000000004</v>
      </c>
      <c r="G117" s="849">
        <f t="shared" si="34"/>
        <v>0.87060000000000004</v>
      </c>
      <c r="H117" s="849">
        <f t="shared" si="34"/>
        <v>0.87060000000000004</v>
      </c>
      <c r="I117" s="849">
        <f>ROUND(0.7412-0.0095*B113,4)</f>
        <v>0.73619999999999997</v>
      </c>
      <c r="J117" s="849">
        <f t="shared" si="33"/>
        <v>0.73619999999999997</v>
      </c>
      <c r="K117" s="849">
        <f t="shared" si="33"/>
        <v>0.73619999999999997</v>
      </c>
      <c r="L117" s="849">
        <f t="shared" si="33"/>
        <v>0.73619999999999997</v>
      </c>
      <c r="M117" s="850">
        <f t="shared" si="33"/>
        <v>0.73619999999999997</v>
      </c>
    </row>
    <row r="118" spans="1:13" ht="13.5" thickBot="1">
      <c r="A118" s="670" t="s">
        <v>2702</v>
      </c>
      <c r="B118" s="851">
        <f>ROUND(0.7275-0.01*B113,4)</f>
        <v>0.72219999999999995</v>
      </c>
      <c r="C118" s="851">
        <f>B118</f>
        <v>0.72219999999999995</v>
      </c>
      <c r="D118" s="851">
        <f>ROUND(0.7043-0.012*B113,4)</f>
        <v>0.69789999999999996</v>
      </c>
      <c r="E118" s="851">
        <f>D118</f>
        <v>0.69789999999999996</v>
      </c>
      <c r="F118" s="851">
        <f>E118</f>
        <v>0.69789999999999996</v>
      </c>
      <c r="G118" s="851">
        <f>ROUND(0.6299-0.0122*B113,4)</f>
        <v>0.62339999999999995</v>
      </c>
      <c r="H118" s="851">
        <f>G118</f>
        <v>0.62339999999999995</v>
      </c>
      <c r="I118" s="851">
        <f>ROUND(0.5667-0.0136*B113,4)</f>
        <v>0.5595</v>
      </c>
      <c r="J118" s="851">
        <f t="shared" si="33"/>
        <v>0.5595</v>
      </c>
      <c r="K118" s="851">
        <f t="shared" si="33"/>
        <v>0.5595</v>
      </c>
      <c r="L118" s="851">
        <f t="shared" si="33"/>
        <v>0.5595</v>
      </c>
      <c r="M118" s="852">
        <f t="shared" si="33"/>
        <v>0.5595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77" t="s">
        <v>183</v>
      </c>
      <c r="B18" s="821" t="s">
        <v>560</v>
      </c>
      <c r="C18" s="822" t="s">
        <v>561</v>
      </c>
      <c r="D18" s="823"/>
      <c r="E18" s="821">
        <v>1</v>
      </c>
      <c r="F18" s="824" t="s">
        <v>562</v>
      </c>
      <c r="G18" s="825"/>
      <c r="H18" s="817"/>
      <c r="I18" s="817"/>
    </row>
    <row r="19" spans="1:9" s="826" customFormat="1" ht="19.5" customHeight="1">
      <c r="A19" s="3377"/>
      <c r="B19" s="3377" t="s">
        <v>563</v>
      </c>
      <c r="C19" s="822" t="s">
        <v>564</v>
      </c>
      <c r="D19" s="823"/>
      <c r="E19" s="821">
        <v>0.9</v>
      </c>
      <c r="F19" s="824" t="s">
        <v>565</v>
      </c>
      <c r="G19" s="825"/>
      <c r="H19" s="817"/>
      <c r="I19" s="817"/>
    </row>
    <row r="20" spans="1:9" s="826" customFormat="1" ht="19.5" customHeight="1">
      <c r="A20" s="3377"/>
      <c r="B20" s="3377"/>
      <c r="C20" s="822" t="s">
        <v>566</v>
      </c>
      <c r="D20" s="823"/>
      <c r="E20" s="821">
        <v>1.1000000000000001</v>
      </c>
      <c r="F20" s="824" t="s">
        <v>567</v>
      </c>
      <c r="G20" s="825"/>
      <c r="H20" s="817"/>
      <c r="I20" s="817"/>
    </row>
    <row r="21" spans="1:9" s="826" customFormat="1" ht="19.5" customHeight="1">
      <c r="A21" s="3377"/>
      <c r="B21" s="3377"/>
      <c r="C21" s="822" t="s">
        <v>568</v>
      </c>
      <c r="D21" s="823"/>
      <c r="E21" s="821">
        <v>0.8</v>
      </c>
      <c r="F21" s="824" t="s">
        <v>569</v>
      </c>
      <c r="G21" s="825"/>
      <c r="H21" s="817"/>
      <c r="I21" s="817"/>
    </row>
    <row r="22" spans="1:9" s="826" customFormat="1" ht="19.5" customHeight="1">
      <c r="A22" s="3377"/>
      <c r="B22" s="3377"/>
      <c r="C22" s="822" t="s">
        <v>570</v>
      </c>
      <c r="D22" s="823"/>
      <c r="E22" s="821">
        <v>0.5</v>
      </c>
      <c r="F22" s="824"/>
      <c r="G22" s="825"/>
      <c r="H22" s="817"/>
      <c r="I22" s="817"/>
    </row>
    <row r="23" spans="1:9" s="826" customFormat="1" ht="19.5" customHeight="1">
      <c r="A23" s="3377" t="s">
        <v>184</v>
      </c>
      <c r="B23" s="821" t="s">
        <v>560</v>
      </c>
      <c r="C23" s="822" t="s">
        <v>571</v>
      </c>
      <c r="D23" s="823"/>
      <c r="E23" s="821">
        <v>1</v>
      </c>
      <c r="F23" s="824" t="s">
        <v>572</v>
      </c>
      <c r="G23" s="825"/>
      <c r="H23" s="817"/>
      <c r="I23" s="817"/>
    </row>
    <row r="24" spans="1:9" s="826" customFormat="1" ht="19.5" customHeight="1">
      <c r="A24" s="3377"/>
      <c r="B24" s="3377" t="s">
        <v>563</v>
      </c>
      <c r="C24" s="822" t="s">
        <v>573</v>
      </c>
      <c r="D24" s="823"/>
      <c r="E24" s="821">
        <v>0.5</v>
      </c>
      <c r="F24" s="824"/>
      <c r="G24" s="825"/>
      <c r="H24" s="817"/>
      <c r="I24" s="817"/>
    </row>
    <row r="25" spans="1:9" s="826" customFormat="1" ht="19.5" customHeight="1">
      <c r="A25" s="3377"/>
      <c r="B25" s="3377"/>
      <c r="C25" s="822" t="s">
        <v>574</v>
      </c>
      <c r="D25" s="823"/>
      <c r="E25" s="821">
        <v>1.1000000000000001</v>
      </c>
      <c r="F25" s="824"/>
      <c r="G25" s="825"/>
      <c r="H25" s="817"/>
      <c r="I25" s="817"/>
    </row>
    <row r="26" spans="1:9" s="826" customFormat="1" ht="19.5" customHeight="1">
      <c r="A26" s="3377"/>
      <c r="B26" s="3377"/>
      <c r="C26" s="822" t="s">
        <v>575</v>
      </c>
      <c r="D26" s="823"/>
      <c r="E26" s="821">
        <v>1.1000000000000001</v>
      </c>
      <c r="F26" s="824"/>
      <c r="G26" s="825"/>
      <c r="H26" s="817"/>
      <c r="I26" s="817"/>
    </row>
    <row r="27" spans="1:9" s="826" customFormat="1" ht="19.5" customHeight="1">
      <c r="A27" s="3377"/>
      <c r="B27" s="3377"/>
      <c r="C27" s="822" t="s">
        <v>576</v>
      </c>
      <c r="D27" s="823"/>
      <c r="E27" s="821">
        <v>0.9</v>
      </c>
      <c r="F27" s="824" t="s">
        <v>577</v>
      </c>
      <c r="G27" s="825"/>
      <c r="H27" s="817"/>
      <c r="I27" s="817"/>
    </row>
    <row r="28" spans="1:9" s="826" customFormat="1" ht="19.5" customHeight="1">
      <c r="A28" s="3377"/>
      <c r="B28" s="3377"/>
      <c r="C28" s="822" t="s">
        <v>578</v>
      </c>
      <c r="D28" s="823"/>
      <c r="E28" s="821">
        <v>0.9</v>
      </c>
      <c r="F28" s="824" t="s">
        <v>579</v>
      </c>
      <c r="G28" s="825"/>
      <c r="H28" s="817"/>
      <c r="I28" s="817"/>
    </row>
    <row r="29" spans="1:9" s="826" customFormat="1" ht="19.5" customHeight="1">
      <c r="A29" s="3377"/>
      <c r="B29" s="3377"/>
      <c r="C29" s="822" t="s">
        <v>580</v>
      </c>
      <c r="D29" s="823"/>
      <c r="E29" s="821">
        <v>0.9</v>
      </c>
      <c r="F29" s="824" t="s">
        <v>581</v>
      </c>
      <c r="G29" s="825"/>
      <c r="H29" s="817"/>
      <c r="I29" s="817"/>
    </row>
    <row r="30" spans="1:9" s="826" customFormat="1" ht="19.5" customHeight="1">
      <c r="A30" s="3377"/>
      <c r="B30" s="3377"/>
      <c r="C30" s="822" t="s">
        <v>582</v>
      </c>
      <c r="D30" s="823"/>
      <c r="E30" s="821">
        <v>0.9</v>
      </c>
      <c r="F30" s="824" t="s">
        <v>583</v>
      </c>
      <c r="G30" s="825"/>
      <c r="H30" s="817"/>
      <c r="I30" s="817"/>
    </row>
    <row r="31" spans="1:9" s="826" customFormat="1" ht="19.5" customHeight="1">
      <c r="A31" s="3377"/>
      <c r="B31" s="3377"/>
      <c r="C31" s="822" t="s">
        <v>584</v>
      </c>
      <c r="D31" s="823"/>
      <c r="E31" s="821">
        <v>0.8</v>
      </c>
      <c r="F31" s="824" t="s">
        <v>585</v>
      </c>
      <c r="G31" s="825"/>
      <c r="H31" s="817"/>
      <c r="I31" s="817"/>
    </row>
    <row r="32" spans="1:9" s="826" customFormat="1" ht="19.5" customHeight="1">
      <c r="A32" s="3377"/>
      <c r="B32" s="3377"/>
      <c r="C32" s="822" t="s">
        <v>586</v>
      </c>
      <c r="D32" s="823"/>
      <c r="E32" s="821">
        <v>0.8</v>
      </c>
      <c r="F32" s="824" t="s">
        <v>587</v>
      </c>
      <c r="G32" s="825"/>
      <c r="H32" s="817"/>
      <c r="I32" s="817"/>
    </row>
    <row r="33" spans="1:9" s="826" customFormat="1" ht="19.5" customHeight="1">
      <c r="A33" s="3377" t="s">
        <v>185</v>
      </c>
      <c r="B33" s="821" t="s">
        <v>560</v>
      </c>
      <c r="C33" s="822" t="s">
        <v>588</v>
      </c>
      <c r="D33" s="823"/>
      <c r="E33" s="821">
        <v>1</v>
      </c>
      <c r="F33" s="824" t="s">
        <v>589</v>
      </c>
      <c r="G33" s="825"/>
      <c r="H33" s="817"/>
      <c r="I33" s="817"/>
    </row>
    <row r="34" spans="1:9" s="826" customFormat="1" ht="19.5" customHeight="1">
      <c r="A34" s="3377"/>
      <c r="B34" s="821" t="s">
        <v>563</v>
      </c>
      <c r="C34" s="822" t="s">
        <v>590</v>
      </c>
      <c r="D34" s="823"/>
      <c r="E34" s="821">
        <v>1.5</v>
      </c>
      <c r="F34" s="824" t="s">
        <v>591</v>
      </c>
      <c r="G34" s="825"/>
      <c r="H34" s="817"/>
      <c r="I34" s="817"/>
    </row>
    <row r="35" spans="1:9" s="826" customFormat="1" ht="19.5" customHeight="1">
      <c r="A35" s="3377" t="s">
        <v>186</v>
      </c>
      <c r="B35" s="821" t="s">
        <v>560</v>
      </c>
      <c r="C35" s="822" t="s">
        <v>592</v>
      </c>
      <c r="D35" s="823"/>
      <c r="E35" s="821">
        <v>1</v>
      </c>
      <c r="F35" s="824" t="s">
        <v>593</v>
      </c>
      <c r="G35" s="825"/>
      <c r="H35" s="817"/>
      <c r="I35" s="817"/>
    </row>
    <row r="36" spans="1:9" s="826" customFormat="1" ht="19.5" customHeight="1">
      <c r="A36" s="3377"/>
      <c r="B36" s="3377" t="s">
        <v>563</v>
      </c>
      <c r="C36" s="822" t="s">
        <v>594</v>
      </c>
      <c r="D36" s="823"/>
      <c r="E36" s="821">
        <v>1</v>
      </c>
      <c r="F36" s="824" t="s">
        <v>595</v>
      </c>
      <c r="G36" s="825"/>
      <c r="H36" s="817"/>
      <c r="I36" s="817"/>
    </row>
    <row r="37" spans="1:9" s="826" customFormat="1" ht="19.5" customHeight="1">
      <c r="A37" s="3377"/>
      <c r="B37" s="3377"/>
      <c r="C37" s="822" t="s">
        <v>596</v>
      </c>
      <c r="D37" s="823"/>
      <c r="E37" s="821">
        <v>1.5</v>
      </c>
      <c r="F37" s="824" t="s">
        <v>597</v>
      </c>
      <c r="G37" s="825"/>
      <c r="H37" s="817"/>
      <c r="I37" s="817"/>
    </row>
    <row r="38" spans="1:9" s="826" customFormat="1" ht="19.5" customHeight="1">
      <c r="A38" s="3377"/>
      <c r="B38" s="3377"/>
      <c r="C38" s="822" t="s">
        <v>598</v>
      </c>
      <c r="D38" s="823"/>
      <c r="E38" s="821">
        <v>1</v>
      </c>
      <c r="F38" s="824" t="s">
        <v>599</v>
      </c>
      <c r="G38" s="825"/>
      <c r="H38" s="817"/>
      <c r="I38" s="817"/>
    </row>
    <row r="39" spans="1:9" s="826" customFormat="1" ht="19.5" customHeight="1">
      <c r="A39" s="3377"/>
      <c r="B39" s="3377"/>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77" t="s">
        <v>614</v>
      </c>
      <c r="C61" s="757" t="s">
        <v>615</v>
      </c>
      <c r="D61" s="757" t="s">
        <v>616</v>
      </c>
      <c r="E61" s="834">
        <v>0.5</v>
      </c>
      <c r="F61" s="821">
        <v>80</v>
      </c>
    </row>
    <row r="62" spans="1:8" s="817" customFormat="1" ht="24">
      <c r="A62" s="821">
        <v>2</v>
      </c>
      <c r="B62" s="3377"/>
      <c r="C62" s="757" t="s">
        <v>617</v>
      </c>
      <c r="D62" s="757" t="s">
        <v>618</v>
      </c>
      <c r="E62" s="834">
        <v>0.5</v>
      </c>
      <c r="F62" s="821">
        <v>80</v>
      </c>
    </row>
    <row r="63" spans="1:8" s="817" customFormat="1" ht="36">
      <c r="A63" s="821">
        <v>3</v>
      </c>
      <c r="B63" s="3377"/>
      <c r="C63" s="757" t="s">
        <v>619</v>
      </c>
      <c r="D63" s="757" t="s">
        <v>620</v>
      </c>
      <c r="E63" s="834">
        <v>0.5</v>
      </c>
      <c r="F63" s="821">
        <v>80</v>
      </c>
    </row>
    <row r="64" spans="1:8" s="817" customFormat="1" ht="36">
      <c r="A64" s="821">
        <v>4</v>
      </c>
      <c r="B64" s="3377"/>
      <c r="C64" s="757" t="s">
        <v>621</v>
      </c>
      <c r="D64" s="757" t="s">
        <v>622</v>
      </c>
      <c r="E64" s="834">
        <v>0.4</v>
      </c>
      <c r="F64" s="821">
        <v>60</v>
      </c>
    </row>
    <row r="65" spans="1:6" s="817" customFormat="1" ht="36">
      <c r="A65" s="821">
        <v>5</v>
      </c>
      <c r="B65" s="3377"/>
      <c r="C65" s="757" t="s">
        <v>623</v>
      </c>
      <c r="D65" s="757" t="s">
        <v>624</v>
      </c>
      <c r="E65" s="834">
        <v>0.2</v>
      </c>
      <c r="F65" s="821">
        <v>30</v>
      </c>
    </row>
    <row r="66" spans="1:6" s="817" customFormat="1" ht="36">
      <c r="A66" s="821">
        <v>6</v>
      </c>
      <c r="B66" s="3377"/>
      <c r="C66" s="757" t="s">
        <v>625</v>
      </c>
      <c r="D66" s="757" t="s">
        <v>626</v>
      </c>
      <c r="E66" s="834">
        <v>0.3</v>
      </c>
      <c r="F66" s="821">
        <v>50</v>
      </c>
    </row>
    <row r="67" spans="1:6" s="817" customFormat="1" ht="36">
      <c r="A67" s="821">
        <v>7</v>
      </c>
      <c r="B67" s="3377"/>
      <c r="C67" s="757" t="s">
        <v>627</v>
      </c>
      <c r="D67" s="757" t="s">
        <v>628</v>
      </c>
      <c r="E67" s="834">
        <v>0.2</v>
      </c>
      <c r="F67" s="821">
        <v>30</v>
      </c>
    </row>
    <row r="68" spans="1:6" s="817" customFormat="1" ht="36">
      <c r="A68" s="821">
        <v>8</v>
      </c>
      <c r="B68" s="3377"/>
      <c r="C68" s="757" t="s">
        <v>629</v>
      </c>
      <c r="D68" s="757" t="s">
        <v>630</v>
      </c>
      <c r="E68" s="834">
        <v>0.2</v>
      </c>
      <c r="F68" s="821">
        <v>30</v>
      </c>
    </row>
    <row r="69" spans="1:6" s="817" customFormat="1" ht="36">
      <c r="A69" s="821">
        <v>9</v>
      </c>
      <c r="B69" s="3377"/>
      <c r="C69" s="757" t="s">
        <v>631</v>
      </c>
      <c r="D69" s="757" t="s">
        <v>632</v>
      </c>
      <c r="E69" s="834">
        <v>0.2</v>
      </c>
      <c r="F69" s="821">
        <v>30</v>
      </c>
    </row>
    <row r="70" spans="1:6" s="817" customFormat="1" ht="48">
      <c r="A70" s="821">
        <v>10</v>
      </c>
      <c r="B70" s="3377"/>
      <c r="C70" s="757" t="s">
        <v>633</v>
      </c>
      <c r="D70" s="757" t="s">
        <v>634</v>
      </c>
      <c r="E70" s="834">
        <v>0.2</v>
      </c>
      <c r="F70" s="821">
        <v>30</v>
      </c>
    </row>
    <row r="71" spans="1:6" s="817" customFormat="1" ht="48">
      <c r="A71" s="821">
        <v>11</v>
      </c>
      <c r="B71" s="3377"/>
      <c r="C71" s="757" t="s">
        <v>635</v>
      </c>
      <c r="D71" s="757" t="s">
        <v>636</v>
      </c>
      <c r="E71" s="834">
        <v>0.2</v>
      </c>
      <c r="F71" s="821">
        <v>30</v>
      </c>
    </row>
    <row r="72" spans="1:6" s="817" customFormat="1" ht="36">
      <c r="A72" s="821">
        <v>12</v>
      </c>
      <c r="B72" s="3377"/>
      <c r="C72" s="757" t="s">
        <v>637</v>
      </c>
      <c r="D72" s="757" t="s">
        <v>638</v>
      </c>
      <c r="E72" s="834">
        <v>0.5</v>
      </c>
      <c r="F72" s="821">
        <v>80</v>
      </c>
    </row>
    <row r="73" spans="1:6" s="817" customFormat="1" ht="24">
      <c r="A73" s="821">
        <v>13</v>
      </c>
      <c r="B73" s="3377"/>
      <c r="C73" s="757" t="s">
        <v>639</v>
      </c>
      <c r="D73" s="757" t="s">
        <v>640</v>
      </c>
      <c r="E73" s="834">
        <v>0.4</v>
      </c>
      <c r="F73" s="821">
        <v>60</v>
      </c>
    </row>
    <row r="74" spans="1:6" s="817" customFormat="1" ht="24">
      <c r="A74" s="821">
        <v>14</v>
      </c>
      <c r="B74" s="3377"/>
      <c r="C74" s="757" t="s">
        <v>641</v>
      </c>
      <c r="D74" s="757" t="s">
        <v>642</v>
      </c>
      <c r="E74" s="834">
        <v>0.2</v>
      </c>
      <c r="F74" s="821">
        <v>30</v>
      </c>
    </row>
    <row r="75" spans="1:6" s="817" customFormat="1" ht="24">
      <c r="A75" s="821">
        <v>15</v>
      </c>
      <c r="B75" s="3377"/>
      <c r="C75" s="757" t="s">
        <v>643</v>
      </c>
      <c r="D75" s="757" t="s">
        <v>644</v>
      </c>
      <c r="E75" s="834">
        <v>0.2</v>
      </c>
      <c r="F75" s="821">
        <v>30</v>
      </c>
    </row>
    <row r="76" spans="1:6" s="817" customFormat="1" ht="24">
      <c r="A76" s="821">
        <v>16</v>
      </c>
      <c r="B76" s="3377" t="s">
        <v>645</v>
      </c>
      <c r="C76" s="757" t="s">
        <v>646</v>
      </c>
      <c r="D76" s="757" t="s">
        <v>647</v>
      </c>
      <c r="E76" s="834">
        <v>0.5</v>
      </c>
      <c r="F76" s="821">
        <v>80</v>
      </c>
    </row>
    <row r="77" spans="1:6" s="817" customFormat="1" ht="24">
      <c r="A77" s="821">
        <v>17</v>
      </c>
      <c r="B77" s="3377"/>
      <c r="C77" s="757" t="s">
        <v>648</v>
      </c>
      <c r="D77" s="757" t="s">
        <v>649</v>
      </c>
      <c r="E77" s="834">
        <v>0.5</v>
      </c>
      <c r="F77" s="821">
        <v>80</v>
      </c>
    </row>
    <row r="78" spans="1:6" s="817" customFormat="1" ht="24">
      <c r="A78" s="821">
        <v>18</v>
      </c>
      <c r="B78" s="3377"/>
      <c r="C78" s="757" t="s">
        <v>650</v>
      </c>
      <c r="D78" s="757" t="s">
        <v>651</v>
      </c>
      <c r="E78" s="834">
        <v>0.2</v>
      </c>
      <c r="F78" s="821">
        <v>30</v>
      </c>
    </row>
    <row r="79" spans="1:6" s="817" customFormat="1" ht="24">
      <c r="A79" s="821">
        <v>19</v>
      </c>
      <c r="B79" s="3377"/>
      <c r="C79" s="757" t="s">
        <v>652</v>
      </c>
      <c r="D79" s="757" t="s">
        <v>653</v>
      </c>
      <c r="E79" s="834">
        <v>0.5</v>
      </c>
      <c r="F79" s="821">
        <v>80</v>
      </c>
    </row>
    <row r="80" spans="1:6" s="817" customFormat="1" ht="36">
      <c r="A80" s="821">
        <v>20</v>
      </c>
      <c r="B80" s="3377"/>
      <c r="C80" s="757" t="s">
        <v>654</v>
      </c>
      <c r="D80" s="757" t="s">
        <v>655</v>
      </c>
      <c r="E80" s="834">
        <v>0.2</v>
      </c>
      <c r="F80" s="821">
        <v>30</v>
      </c>
    </row>
    <row r="81" spans="1:6" s="817" customFormat="1" ht="36">
      <c r="A81" s="821">
        <v>21</v>
      </c>
      <c r="B81" s="3377"/>
      <c r="C81" s="757" t="s">
        <v>656</v>
      </c>
      <c r="D81" s="757" t="s">
        <v>657</v>
      </c>
      <c r="E81" s="834">
        <v>0.2</v>
      </c>
      <c r="F81" s="821">
        <v>30</v>
      </c>
    </row>
    <row r="82" spans="1:6" s="817" customFormat="1" ht="48">
      <c r="A82" s="821">
        <v>22</v>
      </c>
      <c r="B82" s="3377"/>
      <c r="C82" s="757" t="s">
        <v>658</v>
      </c>
      <c r="D82" s="757" t="s">
        <v>659</v>
      </c>
      <c r="E82" s="834">
        <v>0.2</v>
      </c>
      <c r="F82" s="821">
        <v>30</v>
      </c>
    </row>
    <row r="83" spans="1:6" s="817" customFormat="1" ht="48">
      <c r="A83" s="821">
        <v>23</v>
      </c>
      <c r="B83" s="3377"/>
      <c r="C83" s="757" t="s">
        <v>660</v>
      </c>
      <c r="D83" s="757" t="s">
        <v>661</v>
      </c>
      <c r="E83" s="834">
        <v>0.2</v>
      </c>
      <c r="F83" s="821">
        <v>30</v>
      </c>
    </row>
    <row r="84" spans="1:6" s="817" customFormat="1" ht="36">
      <c r="A84" s="821">
        <v>24</v>
      </c>
      <c r="B84" s="3377"/>
      <c r="C84" s="757" t="s">
        <v>662</v>
      </c>
      <c r="D84" s="757" t="s">
        <v>663</v>
      </c>
      <c r="E84" s="834">
        <v>0.2</v>
      </c>
      <c r="F84" s="821">
        <v>30</v>
      </c>
    </row>
    <row r="85" spans="1:6" s="817" customFormat="1" ht="36">
      <c r="A85" s="821">
        <v>25</v>
      </c>
      <c r="B85" s="3377"/>
      <c r="C85" s="757" t="s">
        <v>664</v>
      </c>
      <c r="D85" s="757" t="s">
        <v>665</v>
      </c>
      <c r="E85" s="834">
        <v>0.5</v>
      </c>
      <c r="F85" s="821">
        <v>80</v>
      </c>
    </row>
    <row r="86" spans="1:6" s="817" customFormat="1" ht="36">
      <c r="A86" s="821">
        <v>26</v>
      </c>
      <c r="B86" s="3377"/>
      <c r="C86" s="757" t="s">
        <v>666</v>
      </c>
      <c r="D86" s="757" t="s">
        <v>667</v>
      </c>
      <c r="E86" s="834">
        <v>0.2</v>
      </c>
      <c r="F86" s="821">
        <v>30</v>
      </c>
    </row>
    <row r="87" spans="1:6" s="817" customFormat="1" ht="36">
      <c r="A87" s="821">
        <v>27</v>
      </c>
      <c r="B87" s="3377"/>
      <c r="C87" s="757" t="s">
        <v>668</v>
      </c>
      <c r="D87" s="757" t="s">
        <v>669</v>
      </c>
      <c r="E87" s="834">
        <v>0.2</v>
      </c>
      <c r="F87" s="821">
        <v>30</v>
      </c>
    </row>
    <row r="88" spans="1:6" s="817" customFormat="1" ht="36">
      <c r="A88" s="821">
        <v>28</v>
      </c>
      <c r="B88" s="3377"/>
      <c r="C88" s="757" t="s">
        <v>670</v>
      </c>
      <c r="D88" s="757" t="s">
        <v>671</v>
      </c>
      <c r="E88" s="834">
        <v>0.2</v>
      </c>
      <c r="F88" s="821">
        <v>30</v>
      </c>
    </row>
    <row r="89" spans="1:6" s="817" customFormat="1" ht="24">
      <c r="A89" s="821">
        <v>29</v>
      </c>
      <c r="B89" s="3377"/>
      <c r="C89" s="757" t="s">
        <v>672</v>
      </c>
      <c r="D89" s="757" t="s">
        <v>673</v>
      </c>
      <c r="E89" s="834">
        <v>0.2</v>
      </c>
      <c r="F89" s="821">
        <v>30</v>
      </c>
    </row>
    <row r="90" spans="1:6" s="817" customFormat="1" ht="24">
      <c r="A90" s="821">
        <v>30</v>
      </c>
      <c r="B90" s="3377"/>
      <c r="C90" s="757" t="s">
        <v>674</v>
      </c>
      <c r="D90" s="757" t="s">
        <v>675</v>
      </c>
      <c r="E90" s="834">
        <v>0.2</v>
      </c>
      <c r="F90" s="821">
        <v>30</v>
      </c>
    </row>
    <row r="91" spans="1:6" s="817" customFormat="1" ht="36">
      <c r="A91" s="821">
        <v>31</v>
      </c>
      <c r="B91" s="3377"/>
      <c r="C91" s="757" t="s">
        <v>676</v>
      </c>
      <c r="D91" s="757" t="s">
        <v>677</v>
      </c>
      <c r="E91" s="834">
        <v>0.2</v>
      </c>
      <c r="F91" s="821">
        <v>30</v>
      </c>
    </row>
    <row r="92" spans="1:6" s="817" customFormat="1" ht="24">
      <c r="A92" s="821">
        <v>32</v>
      </c>
      <c r="B92" s="3377" t="s">
        <v>678</v>
      </c>
      <c r="C92" s="821" t="s">
        <v>679</v>
      </c>
      <c r="D92" s="757" t="s">
        <v>680</v>
      </c>
      <c r="E92" s="834">
        <v>0.2</v>
      </c>
      <c r="F92" s="821">
        <v>30</v>
      </c>
    </row>
    <row r="93" spans="1:6" s="817" customFormat="1" ht="36">
      <c r="A93" s="821">
        <v>33</v>
      </c>
      <c r="B93" s="3377"/>
      <c r="C93" s="821" t="s">
        <v>681</v>
      </c>
      <c r="D93" s="757" t="s">
        <v>682</v>
      </c>
      <c r="E93" s="834">
        <v>0.2</v>
      </c>
      <c r="F93" s="821">
        <v>30</v>
      </c>
    </row>
    <row r="94" spans="1:6" s="817" customFormat="1" ht="48">
      <c r="A94" s="821">
        <v>34</v>
      </c>
      <c r="B94" s="3377"/>
      <c r="C94" s="821" t="s">
        <v>683</v>
      </c>
      <c r="D94" s="757" t="s">
        <v>684</v>
      </c>
      <c r="E94" s="834">
        <v>0.2</v>
      </c>
      <c r="F94" s="821">
        <v>30</v>
      </c>
    </row>
    <row r="95" spans="1:6" s="817" customFormat="1" ht="36">
      <c r="A95" s="821">
        <v>35</v>
      </c>
      <c r="B95" s="3377"/>
      <c r="C95" s="821" t="s">
        <v>685</v>
      </c>
      <c r="D95" s="757" t="s">
        <v>686</v>
      </c>
      <c r="E95" s="834">
        <v>0.2</v>
      </c>
      <c r="F95" s="821">
        <v>30</v>
      </c>
    </row>
    <row r="96" spans="1:6" s="817" customFormat="1" ht="48">
      <c r="A96" s="821">
        <v>36</v>
      </c>
      <c r="B96" s="3377"/>
      <c r="C96" s="757" t="s">
        <v>687</v>
      </c>
      <c r="D96" s="757" t="s">
        <v>688</v>
      </c>
      <c r="E96" s="834">
        <v>0.2</v>
      </c>
      <c r="F96" s="821">
        <v>30</v>
      </c>
    </row>
    <row r="97" spans="1:6" s="817" customFormat="1" ht="36">
      <c r="A97" s="821">
        <v>37</v>
      </c>
      <c r="B97" s="3377"/>
      <c r="C97" s="821" t="s">
        <v>689</v>
      </c>
      <c r="D97" s="757" t="s">
        <v>690</v>
      </c>
      <c r="E97" s="834">
        <v>0.2</v>
      </c>
      <c r="F97" s="821">
        <v>30</v>
      </c>
    </row>
    <row r="98" spans="1:6" s="817" customFormat="1" ht="36">
      <c r="A98" s="821">
        <v>38</v>
      </c>
      <c r="B98" s="3377"/>
      <c r="C98" s="821" t="s">
        <v>691</v>
      </c>
      <c r="D98" s="757" t="s">
        <v>692</v>
      </c>
      <c r="E98" s="834">
        <v>0.2</v>
      </c>
      <c r="F98" s="821">
        <v>30</v>
      </c>
    </row>
    <row r="99" spans="1:6" s="817" customFormat="1" ht="36">
      <c r="A99" s="821">
        <v>39</v>
      </c>
      <c r="B99" s="3377" t="s">
        <v>693</v>
      </c>
      <c r="C99" s="821" t="s">
        <v>694</v>
      </c>
      <c r="D99" s="757" t="s">
        <v>695</v>
      </c>
      <c r="E99" s="834">
        <v>0.3</v>
      </c>
      <c r="F99" s="821">
        <v>50</v>
      </c>
    </row>
    <row r="100" spans="1:6" s="817" customFormat="1" ht="24">
      <c r="A100" s="821">
        <v>40</v>
      </c>
      <c r="B100" s="3377"/>
      <c r="C100" s="821" t="s">
        <v>696</v>
      </c>
      <c r="D100" s="757" t="s">
        <v>697</v>
      </c>
      <c r="E100" s="834">
        <v>0.2</v>
      </c>
      <c r="F100" s="821">
        <v>30</v>
      </c>
    </row>
    <row r="101" spans="1:6" s="817" customFormat="1" ht="36">
      <c r="A101" s="821">
        <v>41</v>
      </c>
      <c r="B101" s="3377"/>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77" t="s">
        <v>708</v>
      </c>
      <c r="C105" s="821" t="s">
        <v>709</v>
      </c>
      <c r="D105" s="757" t="s">
        <v>710</v>
      </c>
      <c r="E105" s="834">
        <v>0.2</v>
      </c>
      <c r="F105" s="821">
        <v>30</v>
      </c>
    </row>
    <row r="106" spans="1:6" s="817" customFormat="1" ht="36">
      <c r="A106" s="821">
        <v>46</v>
      </c>
      <c r="B106" s="3377"/>
      <c r="C106" s="821" t="s">
        <v>711</v>
      </c>
      <c r="D106" s="757" t="s">
        <v>712</v>
      </c>
      <c r="E106" s="834">
        <v>0.2</v>
      </c>
      <c r="F106" s="821">
        <v>30</v>
      </c>
    </row>
    <row r="107" spans="1:6" s="817" customFormat="1" ht="36">
      <c r="A107" s="821">
        <v>47</v>
      </c>
      <c r="B107" s="3377" t="s">
        <v>713</v>
      </c>
      <c r="C107" s="821" t="s">
        <v>714</v>
      </c>
      <c r="D107" s="757" t="s">
        <v>715</v>
      </c>
      <c r="E107" s="834">
        <v>0.3</v>
      </c>
      <c r="F107" s="821">
        <v>50</v>
      </c>
    </row>
    <row r="108" spans="1:6" s="817" customFormat="1" ht="36">
      <c r="A108" s="821">
        <v>48</v>
      </c>
      <c r="B108" s="3377"/>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77" t="s">
        <v>724</v>
      </c>
      <c r="C111" s="821" t="s">
        <v>725</v>
      </c>
      <c r="D111" s="757" t="s">
        <v>726</v>
      </c>
      <c r="E111" s="834">
        <v>0.2</v>
      </c>
      <c r="F111" s="821">
        <v>30</v>
      </c>
    </row>
    <row r="112" spans="1:6" s="817" customFormat="1" ht="24">
      <c r="A112" s="821">
        <v>52</v>
      </c>
      <c r="B112" s="3377"/>
      <c r="C112" s="821" t="s">
        <v>727</v>
      </c>
      <c r="D112" s="757" t="s">
        <v>728</v>
      </c>
      <c r="E112" s="834">
        <v>0.2</v>
      </c>
      <c r="F112" s="821">
        <v>30</v>
      </c>
    </row>
    <row r="113" spans="1:6" s="817" customFormat="1" ht="24">
      <c r="A113" s="821">
        <v>53</v>
      </c>
      <c r="B113" s="3377"/>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77" t="s">
        <v>737</v>
      </c>
      <c r="C116" s="821" t="s">
        <v>738</v>
      </c>
      <c r="D116" s="757" t="s">
        <v>739</v>
      </c>
      <c r="E116" s="834">
        <v>0.2</v>
      </c>
      <c r="F116" s="821">
        <v>30</v>
      </c>
    </row>
    <row r="117" spans="1:6" ht="36">
      <c r="A117" s="821">
        <v>57</v>
      </c>
      <c r="B117" s="3377"/>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E21" sqref="E21"/>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4"/>
      <c r="G1" s="3024"/>
      <c r="H1" s="3024"/>
      <c r="I1" s="3024"/>
      <c r="J1" s="3024"/>
      <c r="K1" s="3024"/>
      <c r="L1" s="3024"/>
      <c r="M1" s="3024"/>
      <c r="N1" s="3024"/>
      <c r="O1" s="3024"/>
      <c r="P1" s="3024"/>
    </row>
    <row r="2" spans="1:16" ht="15.75">
      <c r="A2" s="2361" t="s">
        <v>2814</v>
      </c>
      <c r="B2" s="2828" t="e">
        <f ca="1">SUMIF(B6:B13,"&lt;&gt;#ref!",B6:B13)</f>
        <v>#DIV/0!</v>
      </c>
      <c r="C2" s="2361" t="s">
        <v>2815</v>
      </c>
      <c r="D2" s="2361" t="s">
        <v>2816</v>
      </c>
      <c r="E2" s="2838">
        <f ca="1">SUMIF(E6:E13,"&lt;&gt;#ref!",E6:E13)</f>
        <v>0</v>
      </c>
      <c r="F2" s="3024"/>
      <c r="G2" s="3024"/>
      <c r="H2" s="3024"/>
      <c r="I2" s="3024"/>
      <c r="J2" s="3024"/>
      <c r="K2" s="3024"/>
      <c r="L2" s="3024"/>
      <c r="M2" s="3024"/>
      <c r="N2" s="3024"/>
      <c r="O2" s="3024"/>
      <c r="P2" s="3024"/>
    </row>
    <row r="3" spans="1:16" ht="15.75">
      <c r="A3" s="2361" t="s">
        <v>2817</v>
      </c>
      <c r="B3" s="2828" t="e">
        <f ca="1">ROUND(B2*10000/E2,0)</f>
        <v>#DIV/0!</v>
      </c>
      <c r="C3" s="2361" t="s">
        <v>2823</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2818</v>
      </c>
      <c r="B5" s="2836" t="s">
        <v>2819</v>
      </c>
      <c r="C5" s="2362"/>
      <c r="D5" s="3024"/>
      <c r="E5" s="2837" t="s">
        <v>2820</v>
      </c>
      <c r="F5" s="3024"/>
      <c r="G5" s="3024"/>
      <c r="H5" s="3024"/>
      <c r="I5" s="3024"/>
      <c r="J5" s="3024"/>
      <c r="K5" s="3024"/>
      <c r="L5" s="3024"/>
      <c r="M5" s="3024"/>
      <c r="N5" s="3024"/>
      <c r="O5" s="3024"/>
      <c r="P5" s="3024"/>
    </row>
    <row r="6" spans="1:16" ht="15.75">
      <c r="A6" s="2835" t="s">
        <v>2821</v>
      </c>
      <c r="B6" s="2828" t="e">
        <f ca="1">SUMIF(INDIRECT("'"&amp;A6&amp;"'"&amp;"!A:A"),"总价",INDIRECT("'"&amp;A6&amp;"'"&amp;"!B:B"))</f>
        <v>#DIV/0!</v>
      </c>
      <c r="C6" s="2361" t="s">
        <v>2815</v>
      </c>
      <c r="D6" s="3024"/>
      <c r="E6" s="2838">
        <f ca="1">SUMIF(INDIRECT("'"&amp;A6&amp;"'"&amp;"!C:C"),"建筑面积",INDIRECT("'"&amp;A6&amp;"'"&amp;"!D:D"))</f>
        <v>0</v>
      </c>
      <c r="F6" s="3024"/>
      <c r="G6" s="3024"/>
      <c r="H6" s="3024"/>
      <c r="I6" s="3024"/>
      <c r="J6" s="3024"/>
      <c r="K6" s="3024"/>
      <c r="L6" s="3024"/>
      <c r="M6" s="3024"/>
      <c r="N6" s="3024"/>
      <c r="O6" s="3024"/>
      <c r="P6" s="3024"/>
    </row>
    <row r="7" spans="1:16" ht="15.75">
      <c r="A7" s="2835"/>
      <c r="B7" s="2828" t="e">
        <f ca="1">SUMIF(INDIRECT("'"&amp;A7&amp;"'"&amp;"!A:A"),"总价",INDIRECT("'"&amp;A7&amp;"'"&amp;"!B:B"))</f>
        <v>#REF!</v>
      </c>
      <c r="C7" s="2361" t="s">
        <v>2815</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2815</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2815</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2815</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2815</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2815</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2815</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E21" sqref="E21"/>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383" t="s">
        <v>1117</v>
      </c>
      <c r="C1" s="3383"/>
      <c r="D1" s="3383"/>
      <c r="E1" s="3383"/>
      <c r="F1" s="3383"/>
      <c r="G1" s="3382" t="s">
        <v>1118</v>
      </c>
      <c r="H1" s="3382"/>
      <c r="I1" s="3382"/>
      <c r="J1" s="3382"/>
      <c r="K1" s="3382"/>
      <c r="L1" s="3382"/>
      <c r="N1" s="3382" t="s">
        <v>1119</v>
      </c>
      <c r="O1" s="3382"/>
      <c r="P1" s="3382"/>
      <c r="Q1" s="3382"/>
      <c r="S1" s="3382" t="s">
        <v>1120</v>
      </c>
      <c r="T1" s="3382"/>
      <c r="U1" s="3382"/>
      <c r="V1" s="3382"/>
      <c r="X1" s="3381" t="s">
        <v>1121</v>
      </c>
      <c r="Y1" s="3382"/>
      <c r="Z1" s="3382"/>
      <c r="AA1" s="3382"/>
      <c r="AB1" s="3382"/>
      <c r="AD1" s="3381" t="s">
        <v>1122</v>
      </c>
      <c r="AE1" s="3382"/>
      <c r="AF1" s="3382"/>
      <c r="AG1" s="3382"/>
      <c r="AH1" s="3382"/>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ROUND(AVERAGE($I4:$I34),2)</f>
        <v>1.73</v>
      </c>
      <c r="J3" s="2399">
        <f>ROUND(AVERAGE($J4:$J34),2)</f>
        <v>1.0900000000000001</v>
      </c>
      <c r="K3" s="2399">
        <f>ROUND(AVERAGE($K4:$K34),2)</f>
        <v>1.9</v>
      </c>
      <c r="L3" s="2399">
        <f>ROUND(AVERAGE($L4:$L34),2)</f>
        <v>1.25</v>
      </c>
      <c r="N3" s="2397"/>
      <c r="S3" s="2397"/>
      <c r="W3" s="2401"/>
      <c r="X3" s="2402">
        <f>ROUND(SUMPRODUCT(PRODUCT(1+N3:N$33)),4)</f>
        <v>1.619</v>
      </c>
      <c r="Y3" s="2402">
        <f>ROUND(SUMPRODUCT(PRODUCT(1+O3:O$33)),4)</f>
        <v>1.3491</v>
      </c>
      <c r="Z3" s="2402">
        <f t="shared" ref="Z3:Z31" si="0">Y3</f>
        <v>1.3491</v>
      </c>
      <c r="AA3" s="2402">
        <f>ROUND(SUMPRODUCT(PRODUCT(1+P3:P$33)),4)</f>
        <v>1.6988000000000001</v>
      </c>
      <c r="AB3" s="2402">
        <f>ROUND(SUMPRODUCT(PRODUCT(1+Q3:Q$33)),4)</f>
        <v>1.4315</v>
      </c>
      <c r="AD3" s="2403">
        <f>ROUND(AVERAGE(I3:I$34)/100,4)</f>
        <v>1.7299999999999999E-2</v>
      </c>
      <c r="AE3" s="2403">
        <f>ROUND(AVERAGE(J3:J$34)/100,4)</f>
        <v>1.09E-2</v>
      </c>
      <c r="AF3" s="2403">
        <f t="shared" ref="AF3:AF32" si="1">AE3</f>
        <v>1.09E-2</v>
      </c>
      <c r="AG3" s="2403">
        <f>ROUND(AVERAGE(K3:K$34)/100,4)</f>
        <v>1.9E-2</v>
      </c>
      <c r="AH3" s="2403">
        <f>ROUND(AVERAGE(L3:L$34)/100,4)</f>
        <v>1.2500000000000001E-2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3062</v>
      </c>
      <c r="B5" s="2413">
        <f t="shared" ref="B5" si="2">B6*(1+N5)</f>
        <v>497.92799851020823</v>
      </c>
      <c r="C5" s="2413">
        <f t="shared" ref="C5" si="3">C6*(1+O5)</f>
        <v>347.77173663537445</v>
      </c>
      <c r="D5" s="2413">
        <f t="shared" ref="D5" si="4">C5</f>
        <v>347.77173663537445</v>
      </c>
      <c r="E5" s="2413">
        <f t="shared" ref="E5" si="5">E6*(1+P5)</f>
        <v>718.44695593258189</v>
      </c>
      <c r="F5" s="2413">
        <f t="shared" ref="F5" si="6">F6*(1+Q5)</f>
        <v>329.12600580153247</v>
      </c>
      <c r="G5" s="3044">
        <v>2021</v>
      </c>
      <c r="H5" s="2415">
        <v>2</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ROUND(IF(项目基本情况!B4="出让",SUMPRODUCT(PRODUCT(1+N5:N$34)),SUMPRODUCT(PRODUCT(1+N5:N$33))),4)</f>
        <v>1.619</v>
      </c>
      <c r="Y5" s="2421">
        <f>ROUND(IF(项目基本情况!B4="出让",SUMPRODUCT(PRODUCT(1+O5:O$34)),SUMPRODUCT(PRODUCT(1+O5:O$33))),4)</f>
        <v>1.3491</v>
      </c>
      <c r="Z5" s="2421">
        <f t="shared" ref="Z5" si="11">Y5</f>
        <v>1.3491</v>
      </c>
      <c r="AA5" s="2421">
        <f>ROUND(IF(项目基本情况!B4="出让",SUMPRODUCT(PRODUCT(1+P5:P$34)),SUMPRODUCT(PRODUCT(1+P5:P$33))),4)</f>
        <v>1.6988000000000001</v>
      </c>
      <c r="AB5" s="2421">
        <f>ROUND(IF(项目基本情况!B4="出让",SUMPRODUCT(PRODUCT(1+Q5:Q$34)),SUMPRODUCT(PRODUCT(1+Q5:Q$33))),4)</f>
        <v>1.4315</v>
      </c>
      <c r="AD5" s="2422">
        <f>ROUND(AVERAGE(I5:I$34)/100,4)</f>
        <v>1.7299999999999999E-2</v>
      </c>
      <c r="AE5" s="2422">
        <f>ROUND(AVERAGE(J5:J$34)/100,4)</f>
        <v>1.09E-2</v>
      </c>
      <c r="AF5" s="2422">
        <f t="shared" ref="AF5" si="12">AE5</f>
        <v>1.09E-2</v>
      </c>
      <c r="AG5" s="2422">
        <f>ROUND(AVERAGE(K5:K$34)/100,4)</f>
        <v>1.9E-2</v>
      </c>
      <c r="AH5" s="2422">
        <f>ROUND(AVERAGE(L5:L$34)/100,4)</f>
        <v>1.2500000000000001E-2</v>
      </c>
    </row>
    <row r="6" spans="1:34" s="2430" customFormat="1">
      <c r="A6" s="2423" t="s">
        <v>3061</v>
      </c>
      <c r="B6" s="2424">
        <f t="shared" ref="B6" si="13">B7*(1+N6)</f>
        <v>497.92799851020823</v>
      </c>
      <c r="C6" s="2424">
        <f t="shared" ref="C6" si="14">C7*(1+O6)</f>
        <v>347.77173663537445</v>
      </c>
      <c r="D6" s="2424">
        <f t="shared" ref="D6" si="15">C6</f>
        <v>347.77173663537445</v>
      </c>
      <c r="E6" s="2424">
        <f t="shared" ref="E6" si="16">E7*(1+P6)</f>
        <v>718.44695593258189</v>
      </c>
      <c r="F6" s="2424">
        <f t="shared" ref="F6" si="17">F7*(1+Q6)</f>
        <v>329.12600580153247</v>
      </c>
      <c r="G6" s="3044">
        <v>2021</v>
      </c>
      <c r="H6" s="2425">
        <v>1</v>
      </c>
      <c r="I6" s="2387">
        <v>0.97</v>
      </c>
      <c r="J6" s="2387">
        <v>0.16</v>
      </c>
      <c r="K6" s="2387">
        <v>1.1100000000000001</v>
      </c>
      <c r="L6" s="2388">
        <v>0.36</v>
      </c>
      <c r="M6" s="2410"/>
      <c r="N6" s="2426">
        <f t="shared" ref="N6" si="18">I6/100</f>
        <v>9.7000000000000003E-3</v>
      </c>
      <c r="O6" s="2411">
        <f t="shared" ref="O6" si="19">J6/100</f>
        <v>1.6000000000000001E-3</v>
      </c>
      <c r="P6" s="2411">
        <f t="shared" ref="P6" si="20">K6/100</f>
        <v>1.11E-2</v>
      </c>
      <c r="Q6" s="2411">
        <f t="shared" ref="Q6" si="21">L6/100</f>
        <v>3.5999999999999999E-3</v>
      </c>
      <c r="R6" s="2427"/>
      <c r="S6" s="2426">
        <f>B6/B7-1</f>
        <v>9.7000000000000419E-3</v>
      </c>
      <c r="T6" s="2411">
        <f t="shared" ref="T6" si="22">C6/C7-1</f>
        <v>1.6000000000000458E-3</v>
      </c>
      <c r="U6" s="2411">
        <f t="shared" ref="U6" si="23">D6/D7-1</f>
        <v>1.6000000000000458E-3</v>
      </c>
      <c r="V6" s="2411">
        <f t="shared" ref="V6" si="24">E6/E7-1</f>
        <v>1.110000000000011E-2</v>
      </c>
      <c r="W6" s="2428"/>
      <c r="X6" s="2428">
        <f>ROUND(IF(项目基本情况!B5="出让",SUMPRODUCT(PRODUCT(1+N6:N$34)),SUMPRODUCT(PRODUCT(1+N6:N$33))),4)</f>
        <v>1.619</v>
      </c>
      <c r="Y6" s="2428">
        <f>ROUND(IF(项目基本情况!B5="出让",SUMPRODUCT(PRODUCT(1+O6:O$34)),SUMPRODUCT(PRODUCT(1+O6:O$33))),4)</f>
        <v>1.3491</v>
      </c>
      <c r="Z6" s="2428">
        <f t="shared" ref="Z6" si="25">Y6</f>
        <v>1.3491</v>
      </c>
      <c r="AA6" s="2428">
        <f>ROUND(IF(项目基本情况!B5="出让",SUMPRODUCT(PRODUCT(1+P6:P$34)),SUMPRODUCT(PRODUCT(1+P6:P$33))),4)</f>
        <v>1.6988000000000001</v>
      </c>
      <c r="AB6" s="2428">
        <f>ROUND(IF(项目基本情况!B5="出让",SUMPRODUCT(PRODUCT(1+Q6:Q$34)),SUMPRODUCT(PRODUCT(1+Q6:Q$33))),4)</f>
        <v>1.4315</v>
      </c>
      <c r="AC6" s="2428"/>
      <c r="AD6" s="2429">
        <f>ROUND(AVERAGE(I6:I$34)/100,4)</f>
        <v>1.7899999999999999E-2</v>
      </c>
      <c r="AE6" s="2429">
        <f>ROUND(AVERAGE(J6:J$34)/100,4)</f>
        <v>1.12E-2</v>
      </c>
      <c r="AF6" s="2429">
        <f t="shared" ref="AF6" si="26">AE6</f>
        <v>1.12E-2</v>
      </c>
      <c r="AG6" s="2429">
        <f>ROUND(AVERAGE(K6:K$34)/100,4)</f>
        <v>1.9699999999999999E-2</v>
      </c>
      <c r="AH6" s="2429">
        <f>ROUND(AVERAGE(L6:L$34)/100,4)</f>
        <v>1.29E-2</v>
      </c>
    </row>
    <row r="7" spans="1:34" s="2430" customFormat="1">
      <c r="A7" s="2423" t="s">
        <v>3059</v>
      </c>
      <c r="B7" s="2424">
        <f t="shared" ref="B7" si="27">B8*(1+N7)</f>
        <v>493.14449689037161</v>
      </c>
      <c r="C7" s="2424">
        <f t="shared" ref="C7" si="28">C8*(1+O7)</f>
        <v>347.21619073020611</v>
      </c>
      <c r="D7" s="2424">
        <f t="shared" ref="D7" si="29">C7</f>
        <v>347.21619073020611</v>
      </c>
      <c r="E7" s="2424">
        <f t="shared" ref="E7" si="30">E8*(1+P7)</f>
        <v>710.55974278763904</v>
      </c>
      <c r="F7" s="2424">
        <f t="shared" ref="F7" si="31">F8*(1+Q7)</f>
        <v>327.94540235306141</v>
      </c>
      <c r="G7" s="3043">
        <v>2020</v>
      </c>
      <c r="H7" s="2425">
        <v>4</v>
      </c>
      <c r="I7" s="2387">
        <v>2.0699999999999998</v>
      </c>
      <c r="J7" s="2387">
        <v>0.37</v>
      </c>
      <c r="K7" s="2387">
        <v>2.35</v>
      </c>
      <c r="L7" s="2388">
        <v>2.69</v>
      </c>
      <c r="M7" s="2410"/>
      <c r="N7" s="2426">
        <f t="shared" ref="N7" si="32">I7/100</f>
        <v>2.07E-2</v>
      </c>
      <c r="O7" s="2411">
        <f t="shared" ref="O7" si="33">J7/100</f>
        <v>3.7000000000000002E-3</v>
      </c>
      <c r="P7" s="2411">
        <f t="shared" ref="P7" si="34">K7/100</f>
        <v>2.35E-2</v>
      </c>
      <c r="Q7" s="2411">
        <f t="shared" ref="Q7" si="35">L7/100</f>
        <v>2.69E-2</v>
      </c>
      <c r="R7" s="2427"/>
      <c r="S7" s="2426"/>
      <c r="T7" s="2411"/>
      <c r="U7" s="2411"/>
      <c r="V7" s="2411"/>
      <c r="W7" s="2428"/>
      <c r="X7" s="2428">
        <f>ROUND(IF(项目基本情况!B6="出让",SUMPRODUCT(PRODUCT(1+N7:N$34)),SUMPRODUCT(PRODUCT(1+N7:N$33))),4)</f>
        <v>1.6034999999999999</v>
      </c>
      <c r="Y7" s="2428">
        <f>ROUND(IF(项目基本情况!B6="出让",SUMPRODUCT(PRODUCT(1+O7:O$34)),SUMPRODUCT(PRODUCT(1+O7:O$33))),4)</f>
        <v>1.3469</v>
      </c>
      <c r="Z7" s="2428">
        <f t="shared" ref="Z7" si="36">Y7</f>
        <v>1.3469</v>
      </c>
      <c r="AA7" s="2428">
        <f>ROUND(IF(项目基本情况!B6="出让",SUMPRODUCT(PRODUCT(1+P7:P$34)),SUMPRODUCT(PRODUCT(1+P7:P$33))),4)</f>
        <v>1.6801999999999999</v>
      </c>
      <c r="AB7" s="2428">
        <f>ROUND(IF(项目基本情况!B6="出让",SUMPRODUCT(PRODUCT(1+Q7:Q$34)),SUMPRODUCT(PRODUCT(1+Q7:Q$33))),4)</f>
        <v>1.4263999999999999</v>
      </c>
      <c r="AC7" s="2428"/>
      <c r="AD7" s="2429">
        <f>ROUND(AVERAGE(I7:I$34)/100,4)</f>
        <v>1.8200000000000001E-2</v>
      </c>
      <c r="AE7" s="2429">
        <f>ROUND(AVERAGE(J7:J$34)/100,4)</f>
        <v>1.1599999999999999E-2</v>
      </c>
      <c r="AF7" s="2429">
        <f t="shared" ref="AF7" si="37">AE7</f>
        <v>1.1599999999999999E-2</v>
      </c>
      <c r="AG7" s="2429">
        <f>ROUND(AVERAGE(K7:K$34)/100,4)</f>
        <v>0.02</v>
      </c>
      <c r="AH7" s="2429">
        <f>ROUND(AVERAGE(L7:L$34)/100,4)</f>
        <v>1.3299999999999999E-2</v>
      </c>
    </row>
    <row r="8" spans="1:34" s="2430" customFormat="1">
      <c r="A8" s="2423" t="s">
        <v>3058</v>
      </c>
      <c r="B8" s="2424">
        <f t="shared" ref="B8" si="38">B9*(1+N8)</f>
        <v>483.1434279321756</v>
      </c>
      <c r="C8" s="2424">
        <f t="shared" ref="C8" si="39">C9*(1+O8)</f>
        <v>345.93622669144776</v>
      </c>
      <c r="D8" s="2424">
        <f t="shared" ref="D8" si="40">C8</f>
        <v>345.93622669144776</v>
      </c>
      <c r="E8" s="2424">
        <f t="shared" ref="E8" si="41">E9*(1+P8)</f>
        <v>694.24498562544113</v>
      </c>
      <c r="F8" s="2424">
        <f t="shared" ref="F8" si="42">F9*(1+Q8)</f>
        <v>319.35475932716082</v>
      </c>
      <c r="G8" s="3040">
        <v>2020</v>
      </c>
      <c r="H8" s="2425">
        <v>3</v>
      </c>
      <c r="I8" s="2387">
        <v>0.36</v>
      </c>
      <c r="J8" s="2387">
        <v>-0.39</v>
      </c>
      <c r="K8" s="2387">
        <v>0.49</v>
      </c>
      <c r="L8" s="2388">
        <v>7.0000000000000007E-2</v>
      </c>
      <c r="M8" s="2410"/>
      <c r="N8" s="2426">
        <f t="shared" ref="N8" si="43">I8/100</f>
        <v>3.5999999999999999E-3</v>
      </c>
      <c r="O8" s="2411">
        <f t="shared" ref="O8" si="44">J8/100</f>
        <v>-3.9000000000000003E-3</v>
      </c>
      <c r="P8" s="2411">
        <f t="shared" ref="P8" si="45">K8/100</f>
        <v>4.8999999999999998E-3</v>
      </c>
      <c r="Q8" s="2411">
        <f t="shared" ref="Q8" si="46">L8/100</f>
        <v>7.000000000000001E-4</v>
      </c>
      <c r="R8" s="2427"/>
      <c r="S8" s="2426"/>
      <c r="T8" s="2411"/>
      <c r="U8" s="2411"/>
      <c r="V8" s="2411"/>
      <c r="W8" s="2428"/>
      <c r="X8" s="2428">
        <f>ROUND(IF(项目基本情况!B7="出让",SUMPRODUCT(PRODUCT(1+N8:N$34)),SUMPRODUCT(PRODUCT(1+N8:N$33))),4)</f>
        <v>1.571</v>
      </c>
      <c r="Y8" s="2428">
        <f>ROUND(IF(项目基本情况!B7="出让",SUMPRODUCT(PRODUCT(1+O8:O$34)),SUMPRODUCT(PRODUCT(1+O8:O$33))),4)</f>
        <v>1.3420000000000001</v>
      </c>
      <c r="Z8" s="2428">
        <f t="shared" ref="Z8" si="47">Y8</f>
        <v>1.3420000000000001</v>
      </c>
      <c r="AA8" s="2428">
        <f>ROUND(IF(项目基本情况!B7="出让",SUMPRODUCT(PRODUCT(1+P8:P$34)),SUMPRODUCT(PRODUCT(1+P8:P$33))),4)</f>
        <v>1.6415999999999999</v>
      </c>
      <c r="AB8" s="2428">
        <f>ROUND(IF(项目基本情况!B7="出让",SUMPRODUCT(PRODUCT(1+Q8:Q$34)),SUMPRODUCT(PRODUCT(1+Q8:Q$33))),4)</f>
        <v>1.389</v>
      </c>
      <c r="AC8" s="2428"/>
      <c r="AD8" s="2429">
        <f>ROUND(AVERAGE(I8:I$34)/100,4)</f>
        <v>1.8100000000000002E-2</v>
      </c>
      <c r="AE8" s="2429">
        <f>ROUND(AVERAGE(J8:J$34)/100,4)</f>
        <v>1.1900000000000001E-2</v>
      </c>
      <c r="AF8" s="2429">
        <f t="shared" ref="AF8" si="48">AE8</f>
        <v>1.1900000000000001E-2</v>
      </c>
      <c r="AG8" s="2429">
        <f>ROUND(AVERAGE(K8:K$34)/100,4)</f>
        <v>1.9900000000000001E-2</v>
      </c>
      <c r="AH8" s="2429">
        <f>ROUND(AVERAGE(L8:L$34)/100,4)</f>
        <v>1.2800000000000001E-2</v>
      </c>
    </row>
    <row r="9" spans="1:34" s="2430" customFormat="1">
      <c r="A9" s="2423" t="s">
        <v>2872</v>
      </c>
      <c r="B9" s="2424">
        <f t="shared" ref="B9" si="49">B10*(1+N9)</f>
        <v>481.4103506697644</v>
      </c>
      <c r="C9" s="2424">
        <f t="shared" ref="C9" si="50">C10*(1+O9)</f>
        <v>347.29066026648707</v>
      </c>
      <c r="D9" s="2424">
        <f t="shared" ref="D9" si="51">C9</f>
        <v>347.29066026648707</v>
      </c>
      <c r="E9" s="2424">
        <f t="shared" ref="E9" si="52">E10*(1+P9)</f>
        <v>690.85977273901995</v>
      </c>
      <c r="F9" s="2424">
        <f t="shared" ref="F9" si="53">F10*(1+Q9)</f>
        <v>319.13136737000184</v>
      </c>
      <c r="G9" s="2414">
        <v>2020</v>
      </c>
      <c r="H9" s="2425">
        <v>2</v>
      </c>
      <c r="I9" s="2387">
        <v>0.31</v>
      </c>
      <c r="J9" s="2387">
        <v>-0.78</v>
      </c>
      <c r="K9" s="2387">
        <v>0.5</v>
      </c>
      <c r="L9" s="2388">
        <v>0.47</v>
      </c>
      <c r="M9" s="2410"/>
      <c r="N9" s="2426">
        <f t="shared" ref="N9" si="54">I9/100</f>
        <v>3.0999999999999999E-3</v>
      </c>
      <c r="O9" s="2411">
        <f t="shared" ref="O9" si="55">J9/100</f>
        <v>-7.8000000000000005E-3</v>
      </c>
      <c r="P9" s="2411">
        <f t="shared" ref="P9" si="56">K9/100</f>
        <v>5.0000000000000001E-3</v>
      </c>
      <c r="Q9" s="2411">
        <f t="shared" ref="Q9" si="57">L9/100</f>
        <v>4.6999999999999993E-3</v>
      </c>
      <c r="R9" s="2427"/>
      <c r="S9" s="2426"/>
      <c r="T9" s="2411"/>
      <c r="U9" s="2411"/>
      <c r="V9" s="2411"/>
      <c r="W9" s="2428"/>
      <c r="X9" s="2428">
        <f>ROUND(IF(项目基本情况!B8="出让",SUMPRODUCT(PRODUCT(1+N9:N$34)),SUMPRODUCT(PRODUCT(1+N9:N$33))),4)</f>
        <v>1.5652999999999999</v>
      </c>
      <c r="Y9" s="2428">
        <f>ROUND(IF(项目基本情况!B8="出让",SUMPRODUCT(PRODUCT(1+O9:O$34)),SUMPRODUCT(PRODUCT(1+O9:O$33))),4)</f>
        <v>1.3472</v>
      </c>
      <c r="Z9" s="2428">
        <f t="shared" ref="Z9" si="58">Y9</f>
        <v>1.3472</v>
      </c>
      <c r="AA9" s="2428">
        <f>ROUND(IF(项目基本情况!B8="出让",SUMPRODUCT(PRODUCT(1+P9:P$34)),SUMPRODUCT(PRODUCT(1+P9:P$33))),4)</f>
        <v>1.6335999999999999</v>
      </c>
      <c r="AB9" s="2428">
        <f>ROUND(IF(项目基本情况!B8="出让",SUMPRODUCT(PRODUCT(1+Q9:Q$34)),SUMPRODUCT(PRODUCT(1+Q9:Q$33))),4)</f>
        <v>1.3880999999999999</v>
      </c>
      <c r="AC9" s="2428"/>
      <c r="AD9" s="2429">
        <f>ROUND(AVERAGE(I9:I$34)/100,4)</f>
        <v>1.8599999999999998E-2</v>
      </c>
      <c r="AE9" s="2429">
        <f>ROUND(AVERAGE(J9:J$34)/100,4)</f>
        <v>1.2500000000000001E-2</v>
      </c>
      <c r="AF9" s="2429">
        <f t="shared" ref="AF9" si="59">AE9</f>
        <v>1.2500000000000001E-2</v>
      </c>
      <c r="AG9" s="2429">
        <f>ROUND(AVERAGE(K9:K$34)/100,4)</f>
        <v>2.0400000000000001E-2</v>
      </c>
      <c r="AH9" s="2429">
        <f>ROUND(AVERAGE(L9:L$34)/100,4)</f>
        <v>1.32E-2</v>
      </c>
    </row>
    <row r="10" spans="1:34" s="2430" customFormat="1">
      <c r="A10" s="2423" t="s">
        <v>2870</v>
      </c>
      <c r="B10" s="2424">
        <f t="shared" ref="B10" si="60">B11*(1+N10)</f>
        <v>479.92259063878413</v>
      </c>
      <c r="C10" s="2424">
        <f t="shared" ref="C10" si="61">C11*(1+O10)</f>
        <v>350.02082268341775</v>
      </c>
      <c r="D10" s="2424">
        <f t="shared" ref="D10" si="62">C10</f>
        <v>350.02082268341775</v>
      </c>
      <c r="E10" s="2424">
        <f t="shared" ref="E10" si="63">E11*(1+P10)</f>
        <v>687.42265944181099</v>
      </c>
      <c r="F10" s="2424">
        <f t="shared" ref="F10" si="64">F11*(1+Q10)</f>
        <v>317.63846657708956</v>
      </c>
      <c r="G10" s="2414">
        <v>2020</v>
      </c>
      <c r="H10" s="2425">
        <v>1</v>
      </c>
      <c r="I10" s="2387">
        <v>0.12</v>
      </c>
      <c r="J10" s="2387">
        <v>-0.4</v>
      </c>
      <c r="K10" s="2387">
        <v>0.21</v>
      </c>
      <c r="L10" s="2388">
        <v>0.27</v>
      </c>
      <c r="M10" s="2410"/>
      <c r="N10" s="2426">
        <f t="shared" ref="N10" si="65">I10/100</f>
        <v>1.1999999999999999E-3</v>
      </c>
      <c r="O10" s="2411">
        <f t="shared" ref="O10" si="66">J10/100</f>
        <v>-4.0000000000000001E-3</v>
      </c>
      <c r="P10" s="2411">
        <f t="shared" ref="P10" si="67">K10/100</f>
        <v>2.0999999999999999E-3</v>
      </c>
      <c r="Q10" s="2411">
        <f t="shared" ref="Q10" si="68">L10/100</f>
        <v>2.7000000000000001E-3</v>
      </c>
      <c r="R10" s="2427"/>
      <c r="S10" s="2426">
        <f>B10/B11-1</f>
        <v>1.2000000000000899E-3</v>
      </c>
      <c r="T10" s="2411">
        <f t="shared" ref="T10" si="69">C10/C11-1</f>
        <v>-4.0000000000000036E-3</v>
      </c>
      <c r="U10" s="2411">
        <f t="shared" ref="U10" si="70">D10/D11-1</f>
        <v>-4.0000000000000036E-3</v>
      </c>
      <c r="V10" s="2411">
        <f t="shared" ref="V10" si="71">E10/E11-1</f>
        <v>2.0999999999999908E-3</v>
      </c>
      <c r="W10" s="2428"/>
      <c r="X10" s="2428">
        <f>ROUND(IF(项目基本情况!B8="出让",SUMPRODUCT(PRODUCT(1+N10:N$34)),SUMPRODUCT(PRODUCT(1+N10:N$33))),4)</f>
        <v>1.5605</v>
      </c>
      <c r="Y10" s="2428">
        <f>ROUND(IF(项目基本情况!B8="出让",SUMPRODUCT(PRODUCT(1+O10:O$34)),SUMPRODUCT(PRODUCT(1+O10:O$33))),4)</f>
        <v>1.3577999999999999</v>
      </c>
      <c r="Z10" s="2428">
        <f t="shared" ref="Z10" si="72">Y10</f>
        <v>1.3577999999999999</v>
      </c>
      <c r="AA10" s="2428">
        <f>ROUND(IF(项目基本情况!B8="出让",SUMPRODUCT(PRODUCT(1+P10:P$34)),SUMPRODUCT(PRODUCT(1+P10:P$33))),4)</f>
        <v>1.6254999999999999</v>
      </c>
      <c r="AB10" s="2428">
        <f>ROUND(IF(项目基本情况!B8="出让",SUMPRODUCT(PRODUCT(1+Q10:Q$34)),SUMPRODUCT(PRODUCT(1+Q10:Q$33))),4)</f>
        <v>1.3815999999999999</v>
      </c>
      <c r="AC10" s="2428"/>
      <c r="AD10" s="2429">
        <f>ROUND(AVERAGE(I10:I$34)/100,4)</f>
        <v>1.9199999999999998E-2</v>
      </c>
      <c r="AE10" s="2429">
        <f>ROUND(AVERAGE(J10:J$34)/100,4)</f>
        <v>1.3299999999999999E-2</v>
      </c>
      <c r="AF10" s="2429">
        <f t="shared" ref="AF10" si="73">AE10</f>
        <v>1.3299999999999999E-2</v>
      </c>
      <c r="AG10" s="2429">
        <f>ROUND(AVERAGE(K10:K$34)/100,4)</f>
        <v>2.1100000000000001E-2</v>
      </c>
      <c r="AH10" s="2429">
        <f>ROUND(AVERAGE(L10:L$34)/100,4)</f>
        <v>1.3599999999999999E-2</v>
      </c>
    </row>
    <row r="11" spans="1:34" s="2430" customFormat="1">
      <c r="A11" s="2423" t="s">
        <v>2869</v>
      </c>
      <c r="B11" s="2424">
        <f t="shared" ref="B11" si="74">B12*(1+N11)</f>
        <v>479.34737379023579</v>
      </c>
      <c r="C11" s="2424">
        <f t="shared" ref="C11" si="75">C12*(1+O11)</f>
        <v>351.4265287986122</v>
      </c>
      <c r="D11" s="2424">
        <f t="shared" ref="D11" si="76">C11</f>
        <v>351.4265287986122</v>
      </c>
      <c r="E11" s="2424">
        <f t="shared" ref="E11" si="77">E12*(1+P11)</f>
        <v>685.98209703803116</v>
      </c>
      <c r="F11" s="2424">
        <f t="shared" ref="F11" si="78">F12*(1+Q11)</f>
        <v>316.78315206651001</v>
      </c>
      <c r="G11" s="2414">
        <v>2019</v>
      </c>
      <c r="H11" s="2425">
        <v>4</v>
      </c>
      <c r="I11" s="2425">
        <v>0.45</v>
      </c>
      <c r="J11" s="2425">
        <v>-0.12</v>
      </c>
      <c r="K11" s="2425">
        <v>0.54</v>
      </c>
      <c r="L11" s="2431">
        <v>0.48</v>
      </c>
      <c r="M11" s="2410"/>
      <c r="N11" s="2426">
        <f t="shared" ref="N11:N16" si="79">I11/100</f>
        <v>4.5000000000000005E-3</v>
      </c>
      <c r="O11" s="2411">
        <f t="shared" ref="O11" si="80">J11/100</f>
        <v>-1.1999999999999999E-3</v>
      </c>
      <c r="P11" s="2411">
        <f t="shared" ref="P11" si="81">K11/100</f>
        <v>5.4000000000000003E-3</v>
      </c>
      <c r="Q11" s="2411">
        <f t="shared" ref="Q11" si="82">L11/100</f>
        <v>4.7999999999999996E-3</v>
      </c>
      <c r="R11" s="2427"/>
      <c r="S11" s="2426"/>
      <c r="T11" s="2411"/>
      <c r="U11" s="2411"/>
      <c r="V11" s="2411"/>
      <c r="W11" s="2428"/>
      <c r="X11" s="2428">
        <f>ROUND(IF(项目基本情况!B8="出让",SUMPRODUCT(PRODUCT(1+N11:N$34)),SUMPRODUCT(PRODUCT(1+N11:N$33))),4)</f>
        <v>1.5586</v>
      </c>
      <c r="Y11" s="2428">
        <f>ROUND(IF(项目基本情况!B8="出让",SUMPRODUCT(PRODUCT(1+O11:O$34)),SUMPRODUCT(PRODUCT(1+O11:O$33))),4)</f>
        <v>1.3633</v>
      </c>
      <c r="Z11" s="2428">
        <f t="shared" ref="Z11" si="83">Y11</f>
        <v>1.3633</v>
      </c>
      <c r="AA11" s="2428">
        <f>ROUND(IF(项目基本情况!B8="出让",SUMPRODUCT(PRODUCT(1+P11:P$34)),SUMPRODUCT(PRODUCT(1+P11:P$33))),4)</f>
        <v>1.6221000000000001</v>
      </c>
      <c r="AB11" s="2428">
        <f>ROUND(IF(项目基本情况!B8="出让",SUMPRODUCT(PRODUCT(1+Q11:Q$34)),SUMPRODUCT(PRODUCT(1+Q11:Q$33))),4)</f>
        <v>1.3777999999999999</v>
      </c>
      <c r="AC11" s="2428"/>
      <c r="AD11" s="2429">
        <f>ROUND(AVERAGE(I11:I$34)/100,4)</f>
        <v>0.02</v>
      </c>
      <c r="AE11" s="2429">
        <f>ROUND(AVERAGE(J11:J$34)/100,4)</f>
        <v>1.4E-2</v>
      </c>
      <c r="AF11" s="2429">
        <f t="shared" ref="AF11" si="84">AE11</f>
        <v>1.4E-2</v>
      </c>
      <c r="AG11" s="2429">
        <f>ROUND(AVERAGE(K11:K$34)/100,4)</f>
        <v>2.1899999999999999E-2</v>
      </c>
      <c r="AH11" s="2429">
        <f>ROUND(AVERAGE(L11:L$34)/100,4)</f>
        <v>1.4E-2</v>
      </c>
    </row>
    <row r="12" spans="1:34" s="2430" customFormat="1" ht="13.5" thickBot="1">
      <c r="A12" s="2423" t="s">
        <v>2868</v>
      </c>
      <c r="B12" s="2424">
        <f t="shared" ref="B12" si="85">B13*(1+N12)</f>
        <v>477.19997390765138</v>
      </c>
      <c r="C12" s="2424">
        <f t="shared" ref="C12" si="86">C13*(1+O12)</f>
        <v>351.84874729536665</v>
      </c>
      <c r="D12" s="2424">
        <f t="shared" ref="D12" si="87">C12</f>
        <v>351.84874729536665</v>
      </c>
      <c r="E12" s="2424">
        <f t="shared" ref="E12" si="88">E13*(1+P12)</f>
        <v>682.29768951465201</v>
      </c>
      <c r="F12" s="2424">
        <f t="shared" ref="F12" si="89">F13*(1+Q12)</f>
        <v>315.26985675409043</v>
      </c>
      <c r="G12" s="2414">
        <v>2019</v>
      </c>
      <c r="H12" s="2425">
        <v>3</v>
      </c>
      <c r="I12" s="2425">
        <v>0.61</v>
      </c>
      <c r="J12" s="2425">
        <v>0.67</v>
      </c>
      <c r="K12" s="2425">
        <v>0.6</v>
      </c>
      <c r="L12" s="2431">
        <v>1.03</v>
      </c>
      <c r="M12" s="2410"/>
      <c r="N12" s="2426">
        <f t="shared" si="79"/>
        <v>6.0999999999999995E-3</v>
      </c>
      <c r="O12" s="2411">
        <f t="shared" ref="O12" si="90">J12/100</f>
        <v>6.7000000000000002E-3</v>
      </c>
      <c r="P12" s="2411">
        <f t="shared" ref="P12" si="91">K12/100</f>
        <v>6.0000000000000001E-3</v>
      </c>
      <c r="Q12" s="2411">
        <f t="shared" ref="Q12" si="92">L12/100</f>
        <v>1.03E-2</v>
      </c>
      <c r="R12" s="2427"/>
      <c r="S12" s="2426"/>
      <c r="T12" s="2411"/>
      <c r="U12" s="2411"/>
      <c r="V12" s="2411"/>
      <c r="W12" s="2428"/>
      <c r="X12" s="2428">
        <f>ROUND(IF(项目基本情况!B8="出让",SUMPRODUCT(PRODUCT(1+N12:N$34)),SUMPRODUCT(PRODUCT(1+N12:N$33))),4)</f>
        <v>1.5516000000000001</v>
      </c>
      <c r="Y12" s="2428">
        <f>ROUND(IF(项目基本情况!B8="出让",SUMPRODUCT(PRODUCT(1+O12:O$34)),SUMPRODUCT(PRODUCT(1+O12:O$33))),4)</f>
        <v>1.3649</v>
      </c>
      <c r="Z12" s="2428">
        <f t="shared" ref="Z12" si="93">Y12</f>
        <v>1.3649</v>
      </c>
      <c r="AA12" s="2428">
        <f>ROUND(IF(项目基本情况!B8="出让",SUMPRODUCT(PRODUCT(1+P12:P$34)),SUMPRODUCT(PRODUCT(1+P12:P$33))),4)</f>
        <v>1.6133999999999999</v>
      </c>
      <c r="AB12" s="2428">
        <f>ROUND(IF(项目基本情况!B8="出让",SUMPRODUCT(PRODUCT(1+Q12:Q$34)),SUMPRODUCT(PRODUCT(1+Q12:Q$33))),4)</f>
        <v>1.3713</v>
      </c>
      <c r="AC12" s="2428"/>
      <c r="AD12" s="2429">
        <f>ROUND(AVERAGE(I12:I$34)/100,4)</f>
        <v>2.07E-2</v>
      </c>
      <c r="AE12" s="2429">
        <f>ROUND(AVERAGE(J12:J$34)/100,4)</f>
        <v>1.47E-2</v>
      </c>
      <c r="AF12" s="2429">
        <f t="shared" ref="AF12" si="94">AE12</f>
        <v>1.47E-2</v>
      </c>
      <c r="AG12" s="2429">
        <f>ROUND(AVERAGE(K12:K$34)/100,4)</f>
        <v>2.2599999999999999E-2</v>
      </c>
      <c r="AH12" s="2429">
        <f>ROUND(AVERAGE(L12:L$34)/100,4)</f>
        <v>1.44E-2</v>
      </c>
    </row>
    <row r="13" spans="1:34" s="2430" customFormat="1">
      <c r="A13" s="2423" t="s">
        <v>2866</v>
      </c>
      <c r="B13" s="2424">
        <f t="shared" ref="B13" si="95">B14*(1+N13)</f>
        <v>474.30670301923408</v>
      </c>
      <c r="C13" s="2424">
        <f t="shared" ref="C13" si="96">C14*(1+O13)</f>
        <v>349.50705005996491</v>
      </c>
      <c r="D13" s="2424">
        <f t="shared" ref="D13" si="97">C13</f>
        <v>349.50705005996491</v>
      </c>
      <c r="E13" s="2424">
        <f t="shared" ref="E13" si="98">E14*(1+P13)</f>
        <v>678.22831959706957</v>
      </c>
      <c r="F13" s="2424">
        <f t="shared" ref="F13" si="99">F14*(1+Q13)</f>
        <v>312.0556832169558</v>
      </c>
      <c r="G13" s="2414">
        <v>2019</v>
      </c>
      <c r="H13" s="2432">
        <v>2</v>
      </c>
      <c r="I13" s="2432">
        <v>1.53</v>
      </c>
      <c r="J13" s="2432">
        <v>1.01</v>
      </c>
      <c r="K13" s="2432">
        <v>1.62</v>
      </c>
      <c r="L13" s="2433">
        <v>1.25</v>
      </c>
      <c r="M13" s="2410"/>
      <c r="N13" s="2426">
        <f t="shared" si="79"/>
        <v>1.5300000000000001E-2</v>
      </c>
      <c r="O13" s="2411">
        <f t="shared" ref="O13" si="100">J13/100</f>
        <v>1.01E-2</v>
      </c>
      <c r="P13" s="2411">
        <f t="shared" ref="P13" si="101">K13/100</f>
        <v>1.6200000000000003E-2</v>
      </c>
      <c r="Q13" s="2411">
        <f t="shared" ref="Q13" si="102">L13/100</f>
        <v>1.2500000000000001E-2</v>
      </c>
      <c r="R13" s="2427"/>
      <c r="S13" s="2426"/>
      <c r="T13" s="2411"/>
      <c r="U13" s="2411"/>
      <c r="V13" s="2411"/>
      <c r="W13" s="2428"/>
      <c r="X13" s="2428">
        <f>ROUND(IF(项目基本情况!B8="出让",SUMPRODUCT(PRODUCT(1+N13:N$34)),SUMPRODUCT(PRODUCT(1+N13:N$33))),4)</f>
        <v>1.5422</v>
      </c>
      <c r="Y13" s="2428">
        <f>ROUND(IF(项目基本情况!B8="出让",SUMPRODUCT(PRODUCT(1+O13:O$34)),SUMPRODUCT(PRODUCT(1+O13:O$33))),4)</f>
        <v>1.3557999999999999</v>
      </c>
      <c r="Z13" s="2428">
        <f t="shared" ref="Z13" si="103">Y13</f>
        <v>1.3557999999999999</v>
      </c>
      <c r="AA13" s="2428">
        <f>ROUND(IF(项目基本情况!B8="出让",SUMPRODUCT(PRODUCT(1+P13:P$34)),SUMPRODUCT(PRODUCT(1+P13:P$33))),4)</f>
        <v>1.6036999999999999</v>
      </c>
      <c r="AB13" s="2428">
        <f>ROUND(IF(项目基本情况!B8="出让",SUMPRODUCT(PRODUCT(1+Q13:Q$34)),SUMPRODUCT(PRODUCT(1+Q13:Q$33))),4)</f>
        <v>1.3573</v>
      </c>
      <c r="AC13" s="2428"/>
      <c r="AD13" s="2429">
        <f>ROUND(AVERAGE(I13:I$34)/100,4)</f>
        <v>2.1299999999999999E-2</v>
      </c>
      <c r="AE13" s="2429">
        <f>ROUND(AVERAGE(J13:J$34)/100,4)</f>
        <v>1.4999999999999999E-2</v>
      </c>
      <c r="AF13" s="2429">
        <f t="shared" ref="AF13" si="104">AE13</f>
        <v>1.4999999999999999E-2</v>
      </c>
      <c r="AG13" s="2429">
        <f>ROUND(AVERAGE(K13:K$34)/100,4)</f>
        <v>2.3300000000000001E-2</v>
      </c>
      <c r="AH13" s="2429">
        <f>ROUND(AVERAGE(L13:L$34)/100,4)</f>
        <v>1.46E-2</v>
      </c>
    </row>
    <row r="14" spans="1:34" s="2430" customFormat="1" ht="13.5" thickBot="1">
      <c r="A14" s="2423" t="s">
        <v>2864</v>
      </c>
      <c r="B14" s="2424">
        <f t="shared" ref="B14" si="105">B15*(1+N14)</f>
        <v>467.15916775261894</v>
      </c>
      <c r="C14" s="2424">
        <f t="shared" ref="C14" si="106">C15*(1+O14)</f>
        <v>346.01232557169084</v>
      </c>
      <c r="D14" s="2424">
        <f t="shared" ref="D14" si="107">C14</f>
        <v>346.01232557169084</v>
      </c>
      <c r="E14" s="2424">
        <f t="shared" ref="E14" si="108">E15*(1+P14)</f>
        <v>667.41617752122568</v>
      </c>
      <c r="F14" s="2424">
        <f t="shared" ref="F14" si="109">F15*(1+Q14)</f>
        <v>308.20314391798104</v>
      </c>
      <c r="G14" s="2414">
        <v>2019</v>
      </c>
      <c r="H14" s="2425">
        <v>1</v>
      </c>
      <c r="I14" s="2425">
        <v>0.6</v>
      </c>
      <c r="J14" s="2425">
        <v>0.37</v>
      </c>
      <c r="K14" s="2425">
        <v>0.63</v>
      </c>
      <c r="L14" s="2431">
        <v>1.1299999999999999</v>
      </c>
      <c r="M14" s="2410"/>
      <c r="N14" s="2426">
        <f t="shared" si="79"/>
        <v>6.0000000000000001E-3</v>
      </c>
      <c r="O14" s="2411">
        <f t="shared" ref="O14" si="110">J14/100</f>
        <v>3.7000000000000002E-3</v>
      </c>
      <c r="P14" s="2411">
        <f t="shared" ref="P14" si="111">K14/100</f>
        <v>6.3E-3</v>
      </c>
      <c r="Q14" s="2411">
        <f t="shared" ref="Q14" si="112">L14/100</f>
        <v>1.1299999999999999E-2</v>
      </c>
      <c r="R14" s="2427"/>
      <c r="S14" s="2426">
        <f>B14/B15-1</f>
        <v>6.0000000000000053E-3</v>
      </c>
      <c r="T14" s="2411">
        <f t="shared" ref="T14" si="113">C14/C15-1</f>
        <v>3.7000000000000366E-3</v>
      </c>
      <c r="U14" s="2411">
        <f t="shared" ref="U14" si="114">D14/D15-1</f>
        <v>3.7000000000000366E-3</v>
      </c>
      <c r="V14" s="2411">
        <f t="shared" ref="V14" si="115">E14/E15-1</f>
        <v>6.2999999999999723E-3</v>
      </c>
      <c r="W14" s="2428"/>
      <c r="X14" s="2428">
        <f>ROUND(IF(项目基本情况!B8="出让",SUMPRODUCT(PRODUCT(1+N14:N$34)),SUMPRODUCT(PRODUCT(1+N14:N$33))),4)</f>
        <v>1.5189999999999999</v>
      </c>
      <c r="Y14" s="2428">
        <f>ROUND(IF(项目基本情况!B8="出让",SUMPRODUCT(PRODUCT(1+O14:O$34)),SUMPRODUCT(PRODUCT(1+O14:O$33))),4)</f>
        <v>1.3423</v>
      </c>
      <c r="Z14" s="2428">
        <f t="shared" ref="Z14" si="116">Y14</f>
        <v>1.3423</v>
      </c>
      <c r="AA14" s="2428">
        <f>ROUND(IF(项目基本情况!B8="出让",SUMPRODUCT(PRODUCT(1+P14:P$34)),SUMPRODUCT(PRODUCT(1+P14:P$33))),4)</f>
        <v>1.5782</v>
      </c>
      <c r="AB14" s="2428">
        <f>ROUND(IF(项目基本情况!B8="出让",SUMPRODUCT(PRODUCT(1+Q14:Q$34)),SUMPRODUCT(PRODUCT(1+Q14:Q$33))),4)</f>
        <v>1.3405</v>
      </c>
      <c r="AC14" s="2428"/>
      <c r="AD14" s="2429">
        <f>ROUND(AVERAGE(I14:I$34)/100,4)</f>
        <v>2.1600000000000001E-2</v>
      </c>
      <c r="AE14" s="2429">
        <f>ROUND(AVERAGE(J14:J$34)/100,4)</f>
        <v>1.5299999999999999E-2</v>
      </c>
      <c r="AF14" s="2429">
        <f t="shared" ref="AF14" si="117">AE14</f>
        <v>1.5299999999999999E-2</v>
      </c>
      <c r="AG14" s="2429">
        <f>ROUND(AVERAGE(K14:K$34)/100,4)</f>
        <v>2.3699999999999999E-2</v>
      </c>
      <c r="AH14" s="2429">
        <f>ROUND(AVERAGE(L14:L$34)/100,4)</f>
        <v>1.47E-2</v>
      </c>
    </row>
    <row r="15" spans="1:34" s="2430" customFormat="1">
      <c r="A15" s="2423" t="s">
        <v>2867</v>
      </c>
      <c r="B15" s="2434">
        <f t="shared" ref="B15" si="118">B16*(1+N15)</f>
        <v>464.37293017158942</v>
      </c>
      <c r="C15" s="2434">
        <f t="shared" ref="C15" si="119">C16*(1+O15)</f>
        <v>344.73679941385956</v>
      </c>
      <c r="D15" s="2434">
        <f t="shared" ref="D15" si="120">C15</f>
        <v>344.73679941385956</v>
      </c>
      <c r="E15" s="2434">
        <f t="shared" ref="E15" si="121">E16*(1+P15)</f>
        <v>663.2377795103107</v>
      </c>
      <c r="F15" s="2435">
        <f t="shared" ref="F15" si="122">F16*(1+Q15)</f>
        <v>304.75936311478398</v>
      </c>
      <c r="G15" s="3379">
        <v>2018</v>
      </c>
      <c r="H15" s="2432">
        <v>4</v>
      </c>
      <c r="I15" s="2432">
        <v>0.96</v>
      </c>
      <c r="J15" s="2432">
        <v>1.03</v>
      </c>
      <c r="K15" s="2432">
        <v>0.92</v>
      </c>
      <c r="L15" s="2433">
        <v>1.29</v>
      </c>
      <c r="M15" s="2410"/>
      <c r="N15" s="2426">
        <f t="shared" si="79"/>
        <v>9.5999999999999992E-3</v>
      </c>
      <c r="O15" s="2411">
        <f t="shared" ref="O15" si="123">J15/100</f>
        <v>1.03E-2</v>
      </c>
      <c r="P15" s="2411">
        <f t="shared" ref="P15" si="124">K15/100</f>
        <v>9.1999999999999998E-3</v>
      </c>
      <c r="Q15" s="2411">
        <f t="shared" ref="Q15" si="125">L15/100</f>
        <v>1.29E-2</v>
      </c>
      <c r="R15" s="2427"/>
      <c r="S15" s="2426"/>
      <c r="T15" s="2411"/>
      <c r="U15" s="2411"/>
      <c r="V15" s="2411"/>
      <c r="W15" s="2428"/>
      <c r="X15" s="2428">
        <f>ROUND(SUMPRODUCT(PRODUCT(1+N15:N$33)),4)</f>
        <v>1.5099</v>
      </c>
      <c r="Y15" s="2428">
        <f>ROUND(SUMPRODUCT(PRODUCT(1+O15:O$33)),4)</f>
        <v>1.3372999999999999</v>
      </c>
      <c r="Z15" s="2428">
        <f t="shared" ref="Z15" si="126">Y15</f>
        <v>1.3372999999999999</v>
      </c>
      <c r="AA15" s="2428">
        <f>ROUND(SUMPRODUCT(PRODUCT(1+P15:P$33)),4)</f>
        <v>1.5683</v>
      </c>
      <c r="AB15" s="2428">
        <f>ROUND(SUMPRODUCT(PRODUCT(1+Q15:Q$33)),4)</f>
        <v>1.3255999999999999</v>
      </c>
      <c r="AC15" s="2428"/>
      <c r="AD15" s="2429">
        <f>ROUND(AVERAGE(I15:I$34)/100,4)</f>
        <v>2.24E-2</v>
      </c>
      <c r="AE15" s="2429">
        <f>ROUND(AVERAGE(J15:J$34)/100,4)</f>
        <v>1.5800000000000002E-2</v>
      </c>
      <c r="AF15" s="2429">
        <f t="shared" ref="AF15" si="127">AE15</f>
        <v>1.5800000000000002E-2</v>
      </c>
      <c r="AG15" s="2429">
        <f>ROUND(AVERAGE(K15:K$34)/100,4)</f>
        <v>2.4500000000000001E-2</v>
      </c>
      <c r="AH15" s="2429">
        <f>ROUND(AVERAGE(L15:L$34)/100,4)</f>
        <v>1.49E-2</v>
      </c>
    </row>
    <row r="16" spans="1:34" s="2430" customFormat="1" ht="14.45" customHeight="1">
      <c r="A16" s="2423" t="s">
        <v>2862</v>
      </c>
      <c r="B16" s="2424">
        <f t="shared" ref="B16" si="128">B17*(1+N16)</f>
        <v>459.95733971036987</v>
      </c>
      <c r="C16" s="2424">
        <f t="shared" ref="C16" si="129">C17*(1+O16)</f>
        <v>341.22221064422405</v>
      </c>
      <c r="D16" s="2424">
        <f t="shared" ref="D16" si="130">C16</f>
        <v>341.22221064422405</v>
      </c>
      <c r="E16" s="2424">
        <f t="shared" ref="E16" si="131">E17*(1+P16)</f>
        <v>657.19161663724799</v>
      </c>
      <c r="F16" s="2424">
        <f t="shared" ref="F16" si="132">F17*(1+Q16)</f>
        <v>300.87803644464805</v>
      </c>
      <c r="G16" s="3379"/>
      <c r="H16" s="2425">
        <v>3</v>
      </c>
      <c r="I16" s="2425">
        <v>1.51</v>
      </c>
      <c r="J16" s="2425">
        <v>1.41</v>
      </c>
      <c r="K16" s="2425">
        <v>1.52</v>
      </c>
      <c r="L16" s="2431">
        <v>1.74</v>
      </c>
      <c r="M16" s="2410"/>
      <c r="N16" s="2426">
        <f t="shared" si="79"/>
        <v>1.5100000000000001E-2</v>
      </c>
      <c r="O16" s="2411">
        <f t="shared" ref="O16" si="133">J16/100</f>
        <v>1.41E-2</v>
      </c>
      <c r="P16" s="2411">
        <f t="shared" ref="P16" si="134">K16/100</f>
        <v>1.52E-2</v>
      </c>
      <c r="Q16" s="2411">
        <f t="shared" ref="Q16" si="135">L16/100</f>
        <v>1.7399999999999999E-2</v>
      </c>
      <c r="R16" s="2427"/>
      <c r="S16" s="2426"/>
      <c r="T16" s="2411"/>
      <c r="U16" s="2411"/>
      <c r="V16" s="2411"/>
      <c r="W16" s="2428"/>
      <c r="X16" s="2428">
        <f>ROUND(SUMPRODUCT(PRODUCT(1+N16:N$33)),4)</f>
        <v>1.4956</v>
      </c>
      <c r="Y16" s="2428">
        <f>ROUND(SUMPRODUCT(PRODUCT(1+O16:O$33)),4)</f>
        <v>1.3237000000000001</v>
      </c>
      <c r="Z16" s="2428">
        <f t="shared" ref="Z16" si="136">Y16</f>
        <v>1.3237000000000001</v>
      </c>
      <c r="AA16" s="2428">
        <f>ROUND(SUMPRODUCT(PRODUCT(1+P16:P$33)),4)</f>
        <v>1.554</v>
      </c>
      <c r="AB16" s="2428">
        <f>ROUND(SUMPRODUCT(PRODUCT(1+Q16:Q$33)),4)</f>
        <v>1.3087</v>
      </c>
      <c r="AC16" s="2428"/>
      <c r="AD16" s="2429">
        <f>ROUND(AVERAGE(I16:I$34)/100,4)</f>
        <v>2.3099999999999999E-2</v>
      </c>
      <c r="AE16" s="2429">
        <f>ROUND(AVERAGE(J16:J$34)/100,4)</f>
        <v>1.61E-2</v>
      </c>
      <c r="AF16" s="2429">
        <f t="shared" ref="AF16" si="137">AE16</f>
        <v>1.61E-2</v>
      </c>
      <c r="AG16" s="2429">
        <f>ROUND(AVERAGE(K16:K$34)/100,4)</f>
        <v>2.53E-2</v>
      </c>
      <c r="AH16" s="2429">
        <f>ROUND(AVERAGE(L16:L$34)/100,4)</f>
        <v>1.4999999999999999E-2</v>
      </c>
    </row>
    <row r="17" spans="1:34" s="2430" customFormat="1" ht="14.45" customHeight="1">
      <c r="A17" s="2423" t="s">
        <v>2861</v>
      </c>
      <c r="B17" s="2424">
        <f t="shared" ref="B17" si="138">B18*(1+N17)</f>
        <v>453.11529869999993</v>
      </c>
      <c r="C17" s="2424">
        <f t="shared" ref="C17" si="139">C18*(1+O17)</f>
        <v>336.47787264000004</v>
      </c>
      <c r="D17" s="2424">
        <f t="shared" ref="D17" si="140">C17</f>
        <v>336.47787264000004</v>
      </c>
      <c r="E17" s="2424">
        <f t="shared" ref="E17" si="141">E18*(1+P17)</f>
        <v>647.35186823999993</v>
      </c>
      <c r="F17" s="2424">
        <f t="shared" ref="F17" si="142">F18*(1+Q17)</f>
        <v>295.73229452000004</v>
      </c>
      <c r="G17" s="3379"/>
      <c r="H17" s="2436">
        <v>2</v>
      </c>
      <c r="I17" s="2436">
        <v>1.49</v>
      </c>
      <c r="J17" s="2436">
        <v>0.96</v>
      </c>
      <c r="K17" s="2436">
        <v>1.58</v>
      </c>
      <c r="L17" s="2437">
        <v>2.44</v>
      </c>
      <c r="M17" s="2410"/>
      <c r="N17" s="2426">
        <f t="shared" ref="N17" si="143">I17/100</f>
        <v>1.49E-2</v>
      </c>
      <c r="O17" s="2411">
        <f t="shared" ref="O17" si="144">J17/100</f>
        <v>9.5999999999999992E-3</v>
      </c>
      <c r="P17" s="2411">
        <f t="shared" ref="P17" si="145">K17/100</f>
        <v>1.5800000000000002E-2</v>
      </c>
      <c r="Q17" s="2411">
        <f t="shared" ref="Q17" si="146">L17/100</f>
        <v>2.4399999999999998E-2</v>
      </c>
      <c r="R17" s="2427"/>
      <c r="S17" s="2426"/>
      <c r="T17" s="2411"/>
      <c r="U17" s="2411"/>
      <c r="V17" s="2411"/>
      <c r="W17" s="2428"/>
      <c r="X17" s="2428">
        <f>ROUND(SUMPRODUCT(PRODUCT(1+N17:N$33)),4)</f>
        <v>1.4733000000000001</v>
      </c>
      <c r="Y17" s="2428">
        <f>ROUND(SUMPRODUCT(PRODUCT(1+O17:O$33)),4)</f>
        <v>1.3052999999999999</v>
      </c>
      <c r="Z17" s="2428">
        <f t="shared" ref="Z17" si="147">Y17</f>
        <v>1.3052999999999999</v>
      </c>
      <c r="AA17" s="2428">
        <f>ROUND(SUMPRODUCT(PRODUCT(1+P17:P$33)),4)</f>
        <v>1.5306999999999999</v>
      </c>
      <c r="AB17" s="2428">
        <f>ROUND(SUMPRODUCT(PRODUCT(1+Q17:Q$33)),4)</f>
        <v>1.2863</v>
      </c>
      <c r="AC17" s="2428"/>
      <c r="AD17" s="2429">
        <f>ROUND(AVERAGE(I17:I$34)/100,4)</f>
        <v>2.35E-2</v>
      </c>
      <c r="AE17" s="2429">
        <f>ROUND(AVERAGE(J17:J$34)/100,4)</f>
        <v>1.6199999999999999E-2</v>
      </c>
      <c r="AF17" s="2429">
        <f t="shared" ref="AF17" si="148">AE17</f>
        <v>1.6199999999999999E-2</v>
      </c>
      <c r="AG17" s="2429">
        <f>ROUND(AVERAGE(K17:K$34)/100,4)</f>
        <v>2.5899999999999999E-2</v>
      </c>
      <c r="AH17" s="2429">
        <f>ROUND(AVERAGE(L17:L$34)/100,4)</f>
        <v>1.49E-2</v>
      </c>
    </row>
    <row r="18" spans="1:34" s="2430" customFormat="1" ht="15" customHeight="1" thickBot="1">
      <c r="A18" s="2423" t="s">
        <v>2854</v>
      </c>
      <c r="B18" s="2424">
        <f t="shared" ref="B18" si="149">B19*(1+N18)</f>
        <v>446.46299999999997</v>
      </c>
      <c r="C18" s="2424">
        <f t="shared" ref="C18" si="150">C19*(1+O18)</f>
        <v>333.27840000000003</v>
      </c>
      <c r="D18" s="2424">
        <f t="shared" ref="D18" si="151">C18</f>
        <v>333.27840000000003</v>
      </c>
      <c r="E18" s="2424">
        <f t="shared" ref="E18" si="152">E19*(1+P18)</f>
        <v>637.28279999999995</v>
      </c>
      <c r="F18" s="2424">
        <f t="shared" ref="F18" si="153">F19*(1+Q18)</f>
        <v>288.68830000000003</v>
      </c>
      <c r="G18" s="3388"/>
      <c r="H18" s="2425">
        <v>1</v>
      </c>
      <c r="I18" s="2425">
        <v>1.7</v>
      </c>
      <c r="J18" s="2425">
        <v>1.92</v>
      </c>
      <c r="K18" s="2425">
        <v>1.64</v>
      </c>
      <c r="L18" s="2431">
        <v>2.0099999999999998</v>
      </c>
      <c r="M18" s="2410"/>
      <c r="N18" s="2426">
        <f t="shared" ref="N18:N23" si="154">I18/100</f>
        <v>1.7000000000000001E-2</v>
      </c>
      <c r="O18" s="2411">
        <f t="shared" ref="O18" si="155">J18/100</f>
        <v>1.9199999999999998E-2</v>
      </c>
      <c r="P18" s="2411">
        <f t="shared" ref="P18" si="156">K18/100</f>
        <v>1.6399999999999998E-2</v>
      </c>
      <c r="Q18" s="2411">
        <f t="shared" ref="Q18" si="157">L18/100</f>
        <v>2.0099999999999996E-2</v>
      </c>
      <c r="R18" s="2427"/>
      <c r="S18" s="2426">
        <f>B18/B19-1</f>
        <v>1.6999999999999904E-2</v>
      </c>
      <c r="T18" s="2411">
        <f t="shared" ref="T18" si="158">C18/C19-1</f>
        <v>1.9200000000000106E-2</v>
      </c>
      <c r="U18" s="2411">
        <f t="shared" ref="U18" si="159">D18/D19-1</f>
        <v>1.9200000000000106E-2</v>
      </c>
      <c r="V18" s="2411">
        <f t="shared" ref="V18" si="160">E18/E19-1</f>
        <v>1.639999999999997E-2</v>
      </c>
      <c r="W18" s="2428"/>
      <c r="X18" s="2428">
        <f>ROUND(SUMPRODUCT(PRODUCT(1+N18:N$33)),4)</f>
        <v>1.4517</v>
      </c>
      <c r="Y18" s="2428">
        <f>ROUND(SUMPRODUCT(PRODUCT(1+O18:O$33)),4)</f>
        <v>1.2928999999999999</v>
      </c>
      <c r="Z18" s="2428">
        <f t="shared" ref="Z18" si="161">Y18</f>
        <v>1.2928999999999999</v>
      </c>
      <c r="AA18" s="2428">
        <f>ROUND(SUMPRODUCT(PRODUCT(1+P18:P$33)),4)</f>
        <v>1.5068999999999999</v>
      </c>
      <c r="AB18" s="2428">
        <f>ROUND(SUMPRODUCT(PRODUCT(1+Q18:Q$33)),4)</f>
        <v>1.2557</v>
      </c>
      <c r="AC18" s="2428"/>
      <c r="AD18" s="2429">
        <f>ROUND(AVERAGE(I18:I$34)/100,4)</f>
        <v>2.4E-2</v>
      </c>
      <c r="AE18" s="2429">
        <f>ROUND(AVERAGE(J18:J$34)/100,4)</f>
        <v>1.66E-2</v>
      </c>
      <c r="AF18" s="2429">
        <f t="shared" ref="AF18" si="162">AE18</f>
        <v>1.66E-2</v>
      </c>
      <c r="AG18" s="2429">
        <f>ROUND(AVERAGE(K18:K$34)/100,4)</f>
        <v>2.6499999999999999E-2</v>
      </c>
      <c r="AH18" s="2429">
        <f>ROUND(AVERAGE(L18:L$34)/100,4)</f>
        <v>1.43E-2</v>
      </c>
    </row>
    <row r="19" spans="1:34">
      <c r="A19" s="2423" t="s">
        <v>2852</v>
      </c>
      <c r="B19" s="2438">
        <v>439</v>
      </c>
      <c r="C19" s="2438">
        <v>327</v>
      </c>
      <c r="D19" s="2438">
        <f>C19</f>
        <v>327</v>
      </c>
      <c r="E19" s="2438">
        <v>627</v>
      </c>
      <c r="F19" s="2439">
        <v>283</v>
      </c>
      <c r="G19" s="3384">
        <v>2017</v>
      </c>
      <c r="H19" s="2432">
        <v>4</v>
      </c>
      <c r="I19" s="2432">
        <v>1.71</v>
      </c>
      <c r="J19" s="2432">
        <v>1.78</v>
      </c>
      <c r="K19" s="2432">
        <v>1.71</v>
      </c>
      <c r="L19" s="2433">
        <v>1.43</v>
      </c>
      <c r="N19" s="2426">
        <f t="shared" si="154"/>
        <v>1.7100000000000001E-2</v>
      </c>
      <c r="O19" s="2411">
        <f t="shared" ref="O19" si="163">J19/100</f>
        <v>1.78E-2</v>
      </c>
      <c r="P19" s="2411">
        <f t="shared" ref="P19" si="164">K19/100</f>
        <v>1.7100000000000001E-2</v>
      </c>
      <c r="Q19" s="2411">
        <f t="shared" ref="Q19" si="165">L19/100</f>
        <v>1.43E-2</v>
      </c>
      <c r="R19" s="2427"/>
      <c r="S19" s="2440"/>
      <c r="T19" s="2441"/>
      <c r="U19" s="2441"/>
      <c r="V19" s="2441"/>
      <c r="X19" s="2410">
        <f>ROUND(SUMPRODUCT(PRODUCT(1+N19:N$33)),4)</f>
        <v>1.4274</v>
      </c>
      <c r="Y19" s="2410">
        <f>ROUND(SUMPRODUCT(PRODUCT(1+O19:O$33)),4)</f>
        <v>1.2685</v>
      </c>
      <c r="Z19" s="2410">
        <f t="shared" si="0"/>
        <v>1.2685</v>
      </c>
      <c r="AA19" s="2410">
        <f>ROUND(SUMPRODUCT(PRODUCT(1+P19:P$33)),4)</f>
        <v>1.4825999999999999</v>
      </c>
      <c r="AB19" s="2410">
        <f>ROUND(SUMPRODUCT(PRODUCT(1+Q19:Q$33)),4)</f>
        <v>1.2309000000000001</v>
      </c>
      <c r="AD19" s="2411">
        <f>ROUND(AVERAGE(I19:I$34)/100,4)</f>
        <v>2.4500000000000001E-2</v>
      </c>
      <c r="AE19" s="2411">
        <f>ROUND(AVERAGE(J19:J$34)/100,4)</f>
        <v>1.6500000000000001E-2</v>
      </c>
      <c r="AF19" s="2411">
        <f t="shared" si="1"/>
        <v>1.6500000000000001E-2</v>
      </c>
      <c r="AG19" s="2411">
        <f>ROUND(AVERAGE(K19:K$34)/100,4)</f>
        <v>2.7099999999999999E-2</v>
      </c>
      <c r="AH19" s="2411">
        <f>ROUND(AVERAGE(L19:L$34)/100,4)</f>
        <v>1.3899999999999999E-2</v>
      </c>
    </row>
    <row r="20" spans="1:34" s="2430" customFormat="1" ht="14.45" customHeight="1">
      <c r="A20" s="2423" t="s">
        <v>2853</v>
      </c>
      <c r="B20" s="2424">
        <f t="shared" ref="B20:B21" si="166">B21*(1+N20)</f>
        <v>431.80730811680002</v>
      </c>
      <c r="C20" s="2424">
        <f t="shared" ref="C20:C21" si="167">C21*(1+O20)</f>
        <v>320.57880516480003</v>
      </c>
      <c r="D20" s="2424">
        <f t="shared" ref="D20:D21" si="168">C20</f>
        <v>320.57880516480003</v>
      </c>
      <c r="E20" s="2424">
        <f t="shared" ref="E20:E21" si="169">E21*(1+P20)</f>
        <v>615.96110553196797</v>
      </c>
      <c r="F20" s="2424">
        <f t="shared" ref="F20:F21" si="170">F21*(1+Q20)</f>
        <v>279.46777300108801</v>
      </c>
      <c r="G20" s="3379"/>
      <c r="H20" s="2425">
        <v>3</v>
      </c>
      <c r="I20" s="2425">
        <v>2.98</v>
      </c>
      <c r="J20" s="2425">
        <v>2.11</v>
      </c>
      <c r="K20" s="2425">
        <v>3.24</v>
      </c>
      <c r="L20" s="2431">
        <v>1.72</v>
      </c>
      <c r="M20" s="2410"/>
      <c r="N20" s="2426">
        <f t="shared" si="154"/>
        <v>2.98E-2</v>
      </c>
      <c r="O20" s="2411">
        <f t="shared" ref="O20" si="171">J20/100</f>
        <v>2.1099999999999997E-2</v>
      </c>
      <c r="P20" s="2411">
        <f t="shared" ref="P20" si="172">K20/100</f>
        <v>3.2400000000000005E-2</v>
      </c>
      <c r="Q20" s="2411">
        <f t="shared" ref="Q20" si="173">L20/100</f>
        <v>1.72E-2</v>
      </c>
      <c r="R20" s="2427"/>
      <c r="S20" s="2426"/>
      <c r="T20" s="2411"/>
      <c r="U20" s="2411"/>
      <c r="V20" s="2411"/>
      <c r="W20" s="2428"/>
      <c r="X20" s="2428">
        <f>ROUND(SUMPRODUCT(PRODUCT(1+N20:N$33)),4)</f>
        <v>1.4034</v>
      </c>
      <c r="Y20" s="2428">
        <f>ROUND(SUMPRODUCT(PRODUCT(1+O20:O$33)),4)</f>
        <v>1.2463</v>
      </c>
      <c r="Z20" s="2428">
        <f t="shared" si="0"/>
        <v>1.2463</v>
      </c>
      <c r="AA20" s="2428">
        <f>ROUND(SUMPRODUCT(PRODUCT(1+P20:P$33)),4)</f>
        <v>1.4577</v>
      </c>
      <c r="AB20" s="2428">
        <f>ROUND(SUMPRODUCT(PRODUCT(1+Q20:Q$33)),4)</f>
        <v>1.2136</v>
      </c>
      <c r="AC20" s="2428"/>
      <c r="AD20" s="2429">
        <f>ROUND(AVERAGE(I20:I$34)/100,4)</f>
        <v>2.4899999999999999E-2</v>
      </c>
      <c r="AE20" s="2429">
        <f>ROUND(AVERAGE(J20:J$34)/100,4)</f>
        <v>1.6400000000000001E-2</v>
      </c>
      <c r="AF20" s="2429">
        <f t="shared" si="1"/>
        <v>1.6400000000000001E-2</v>
      </c>
      <c r="AG20" s="2429">
        <f>ROUND(AVERAGE(K20:K$34)/100,4)</f>
        <v>2.7799999999999998E-2</v>
      </c>
      <c r="AH20" s="2429">
        <f>ROUND(AVERAGE(L20:L$34)/100,4)</f>
        <v>1.3899999999999999E-2</v>
      </c>
    </row>
    <row r="21" spans="1:34" s="2417" customFormat="1" ht="14.45" customHeight="1">
      <c r="A21" s="2423" t="s">
        <v>1351</v>
      </c>
      <c r="B21" s="2424">
        <f t="shared" si="166"/>
        <v>419.31181600000002</v>
      </c>
      <c r="C21" s="2424">
        <f t="shared" si="167"/>
        <v>313.95436800000004</v>
      </c>
      <c r="D21" s="2424">
        <f t="shared" si="168"/>
        <v>313.95436800000004</v>
      </c>
      <c r="E21" s="2424">
        <f t="shared" si="169"/>
        <v>596.63028431999999</v>
      </c>
      <c r="F21" s="2424">
        <f t="shared" si="170"/>
        <v>274.74220703999998</v>
      </c>
      <c r="G21" s="3379"/>
      <c r="H21" s="2436">
        <v>2</v>
      </c>
      <c r="I21" s="2436">
        <v>3.4</v>
      </c>
      <c r="J21" s="2436">
        <v>2</v>
      </c>
      <c r="K21" s="2436">
        <v>3.82</v>
      </c>
      <c r="L21" s="2437">
        <v>1.68</v>
      </c>
      <c r="M21" s="2410"/>
      <c r="N21" s="2426">
        <f t="shared" si="154"/>
        <v>3.4000000000000002E-2</v>
      </c>
      <c r="O21" s="2411">
        <f t="shared" ref="O21" si="174">J21/100</f>
        <v>0.02</v>
      </c>
      <c r="P21" s="2411">
        <f t="shared" ref="P21" si="175">K21/100</f>
        <v>3.8199999999999998E-2</v>
      </c>
      <c r="Q21" s="2411">
        <f t="shared" ref="Q21" si="176">L21/100</f>
        <v>1.6799999999999999E-2</v>
      </c>
      <c r="R21" s="2427"/>
      <c r="S21" s="2440"/>
      <c r="T21" s="2441"/>
      <c r="U21" s="2441"/>
      <c r="V21" s="2441"/>
      <c r="W21" s="2404"/>
      <c r="X21" s="2428">
        <f>ROUND(SUMPRODUCT(PRODUCT(1+N21:N$33)),4)</f>
        <v>1.3628</v>
      </c>
      <c r="Y21" s="2428">
        <f>ROUND(SUMPRODUCT(PRODUCT(1+O21:O$33)),4)</f>
        <v>1.2205999999999999</v>
      </c>
      <c r="Z21" s="2428">
        <f t="shared" si="0"/>
        <v>1.2205999999999999</v>
      </c>
      <c r="AA21" s="2428">
        <f>ROUND(SUMPRODUCT(PRODUCT(1+P21:P$33)),4)</f>
        <v>1.4118999999999999</v>
      </c>
      <c r="AB21" s="2428">
        <f>ROUND(SUMPRODUCT(PRODUCT(1+Q21:Q$33)),4)</f>
        <v>1.1930000000000001</v>
      </c>
      <c r="AC21" s="2404"/>
      <c r="AD21" s="2429">
        <f>ROUND(AVERAGE(I21:I$34)/100,4)</f>
        <v>2.46E-2</v>
      </c>
      <c r="AE21" s="2429">
        <f>ROUND(AVERAGE(J21:J$34)/100,4)</f>
        <v>1.6E-2</v>
      </c>
      <c r="AF21" s="2429">
        <f t="shared" si="1"/>
        <v>1.6E-2</v>
      </c>
      <c r="AG21" s="2429">
        <f>ROUND(AVERAGE(K21:K$34)/100,4)</f>
        <v>2.75E-2</v>
      </c>
      <c r="AH21" s="2429">
        <f>ROUND(AVERAGE(L21:L$34)/100,4)</f>
        <v>1.37E-2</v>
      </c>
    </row>
    <row r="22" spans="1:34" s="2430" customFormat="1" ht="15" customHeight="1" thickBot="1">
      <c r="A22" s="2423" t="s">
        <v>1128</v>
      </c>
      <c r="B22" s="2424">
        <f>B23*(1+N22)</f>
        <v>405.524</v>
      </c>
      <c r="C22" s="2424">
        <f>C23*(1+O22)</f>
        <v>307.79840000000002</v>
      </c>
      <c r="D22" s="2424">
        <f>C22</f>
        <v>307.79840000000002</v>
      </c>
      <c r="E22" s="2424">
        <f>E23*(1+P22)</f>
        <v>574.67759999999998</v>
      </c>
      <c r="F22" s="2424">
        <f>F23*(1+Q22)</f>
        <v>270.20280000000002</v>
      </c>
      <c r="G22" s="3388"/>
      <c r="H22" s="2425">
        <v>1</v>
      </c>
      <c r="I22" s="2425">
        <v>3.45</v>
      </c>
      <c r="J22" s="2425">
        <v>1.92</v>
      </c>
      <c r="K22" s="2425">
        <v>3.92</v>
      </c>
      <c r="L22" s="2431">
        <v>1.58</v>
      </c>
      <c r="M22" s="2410"/>
      <c r="N22" s="2426">
        <f t="shared" si="154"/>
        <v>3.4500000000000003E-2</v>
      </c>
      <c r="O22" s="2411">
        <f t="shared" ref="O22:Q37" si="177">J22/100</f>
        <v>1.9199999999999998E-2</v>
      </c>
      <c r="P22" s="2411">
        <f t="shared" si="177"/>
        <v>3.9199999999999999E-2</v>
      </c>
      <c r="Q22" s="2411">
        <f t="shared" si="177"/>
        <v>1.5800000000000002E-2</v>
      </c>
      <c r="R22" s="2427"/>
      <c r="S22" s="2426">
        <f>B22/B23-1</f>
        <v>3.4499999999999975E-2</v>
      </c>
      <c r="T22" s="2411">
        <f t="shared" ref="T22:V22" si="178">C22/C23-1</f>
        <v>1.9200000000000106E-2</v>
      </c>
      <c r="U22" s="2411">
        <f t="shared" si="178"/>
        <v>1.9200000000000106E-2</v>
      </c>
      <c r="V22" s="2411">
        <f t="shared" si="178"/>
        <v>3.9199999999999902E-2</v>
      </c>
      <c r="W22" s="2428"/>
      <c r="X22" s="2428">
        <f>ROUND(SUMPRODUCT(PRODUCT(1+N22:N$33)),4)</f>
        <v>1.3180000000000001</v>
      </c>
      <c r="Y22" s="2428">
        <f>ROUND(SUMPRODUCT(PRODUCT(1+O22:O$33)),4)</f>
        <v>1.1966000000000001</v>
      </c>
      <c r="Z22" s="2428">
        <f t="shared" si="0"/>
        <v>1.1966000000000001</v>
      </c>
      <c r="AA22" s="2428">
        <f>ROUND(SUMPRODUCT(PRODUCT(1+P22:P$33)),4)</f>
        <v>1.36</v>
      </c>
      <c r="AB22" s="2428">
        <f>ROUND(SUMPRODUCT(PRODUCT(1+Q22:Q$33)),4)</f>
        <v>1.1733</v>
      </c>
      <c r="AC22" s="2428"/>
      <c r="AD22" s="2429">
        <f>ROUND(AVERAGE(I22:I$34)/100,4)</f>
        <v>2.3900000000000001E-2</v>
      </c>
      <c r="AE22" s="2429">
        <f>ROUND(AVERAGE(J22:J$34)/100,4)</f>
        <v>1.5699999999999999E-2</v>
      </c>
      <c r="AF22" s="2429">
        <f t="shared" si="1"/>
        <v>1.5699999999999999E-2</v>
      </c>
      <c r="AG22" s="2429">
        <f>ROUND(AVERAGE(K22:K$34)/100,4)</f>
        <v>2.6599999999999999E-2</v>
      </c>
      <c r="AH22" s="2429">
        <f>ROUND(AVERAGE(L22:L$34)/100,4)</f>
        <v>1.34E-2</v>
      </c>
    </row>
    <row r="23" spans="1:34">
      <c r="A23" s="2423" t="s">
        <v>154</v>
      </c>
      <c r="B23" s="2438">
        <v>392</v>
      </c>
      <c r="C23" s="2438">
        <v>302</v>
      </c>
      <c r="D23" s="2438">
        <f>C23</f>
        <v>302</v>
      </c>
      <c r="E23" s="2438">
        <v>553</v>
      </c>
      <c r="F23" s="2439">
        <v>266</v>
      </c>
      <c r="G23" s="3384">
        <v>2016</v>
      </c>
      <c r="H23" s="2432">
        <v>4</v>
      </c>
      <c r="I23" s="2432">
        <v>4.5599999999999996</v>
      </c>
      <c r="J23" s="2432">
        <v>2.15</v>
      </c>
      <c r="K23" s="2432">
        <v>5.32</v>
      </c>
      <c r="L23" s="2433">
        <v>1.57</v>
      </c>
      <c r="N23" s="2426">
        <f t="shared" si="154"/>
        <v>4.5599999999999995E-2</v>
      </c>
      <c r="O23" s="2411">
        <f t="shared" si="177"/>
        <v>2.1499999999999998E-2</v>
      </c>
      <c r="P23" s="2411">
        <f t="shared" si="177"/>
        <v>5.3200000000000004E-2</v>
      </c>
      <c r="Q23" s="2411">
        <f t="shared" si="177"/>
        <v>1.5700000000000002E-2</v>
      </c>
      <c r="R23" s="2427"/>
      <c r="S23" s="2440"/>
      <c r="T23" s="2441"/>
      <c r="U23" s="2441"/>
      <c r="V23" s="2441"/>
      <c r="X23" s="2410">
        <f>ROUND(SUMPRODUCT(PRODUCT(1+N23:N$33)),4)</f>
        <v>1.274</v>
      </c>
      <c r="Y23" s="2410">
        <f>ROUND(SUMPRODUCT(PRODUCT(1+O23:O$33)),4)</f>
        <v>1.1740999999999999</v>
      </c>
      <c r="Z23" s="2410">
        <f t="shared" si="0"/>
        <v>1.1740999999999999</v>
      </c>
      <c r="AA23" s="2410">
        <f>ROUND(SUMPRODUCT(PRODUCT(1+P23:P$33)),4)</f>
        <v>1.3087</v>
      </c>
      <c r="AB23" s="2410">
        <f>ROUND(SUMPRODUCT(PRODUCT(1+Q23:Q$33)),4)</f>
        <v>1.1551</v>
      </c>
      <c r="AD23" s="2411">
        <f>ROUND(AVERAGE(I23:I$34)/100,4)</f>
        <v>2.3E-2</v>
      </c>
      <c r="AE23" s="2411">
        <f>ROUND(AVERAGE(J23:J$34)/100,4)</f>
        <v>1.55E-2</v>
      </c>
      <c r="AF23" s="2411">
        <f t="shared" si="1"/>
        <v>1.55E-2</v>
      </c>
      <c r="AG23" s="2411">
        <f>ROUND(AVERAGE(K23:K$34)/100,4)</f>
        <v>2.5600000000000001E-2</v>
      </c>
      <c r="AH23" s="2411">
        <f>ROUND(AVERAGE(L23:L$34)/100,4)</f>
        <v>1.32E-2</v>
      </c>
    </row>
    <row r="24" spans="1:34">
      <c r="A24" s="2423" t="s">
        <v>153</v>
      </c>
      <c r="B24" s="2424">
        <f t="shared" ref="B24:C26" si="179">B23/(1+N23)</f>
        <v>374.90436113236416</v>
      </c>
      <c r="C24" s="2424">
        <f t="shared" si="179"/>
        <v>295.64366128242779</v>
      </c>
      <c r="D24" s="2424">
        <f t="shared" ref="D24:D83" si="180">C24</f>
        <v>295.64366128242779</v>
      </c>
      <c r="E24" s="2424">
        <f t="shared" ref="E24:F26" si="181">E23/(1+P23)</f>
        <v>525.06646410938095</v>
      </c>
      <c r="F24" s="2424">
        <f t="shared" si="181"/>
        <v>261.88835286009646</v>
      </c>
      <c r="G24" s="3379"/>
      <c r="H24" s="2425">
        <v>3</v>
      </c>
      <c r="I24" s="2425">
        <v>4.12</v>
      </c>
      <c r="J24" s="2425">
        <v>2</v>
      </c>
      <c r="K24" s="2425">
        <v>4.79</v>
      </c>
      <c r="L24" s="2431">
        <v>1.97</v>
      </c>
      <c r="N24" s="2426">
        <f t="shared" ref="N24:Q58" si="182">I24/100</f>
        <v>4.1200000000000001E-2</v>
      </c>
      <c r="O24" s="2411">
        <f t="shared" si="177"/>
        <v>0.02</v>
      </c>
      <c r="P24" s="2411">
        <f t="shared" si="177"/>
        <v>4.7899999999999998E-2</v>
      </c>
      <c r="Q24" s="2411">
        <f t="shared" si="177"/>
        <v>1.9699999999999999E-2</v>
      </c>
      <c r="R24" s="2427"/>
      <c r="S24" s="2426"/>
      <c r="T24" s="2411"/>
      <c r="U24" s="2411"/>
      <c r="V24" s="2411"/>
      <c r="X24" s="2410">
        <f>ROUND(SUMPRODUCT(PRODUCT(1+N24:N$33)),4)</f>
        <v>1.2184999999999999</v>
      </c>
      <c r="Y24" s="2410">
        <f>ROUND(SUMPRODUCT(PRODUCT(1+O24:O$33)),4)</f>
        <v>1.1494</v>
      </c>
      <c r="Z24" s="2410">
        <f t="shared" si="0"/>
        <v>1.1494</v>
      </c>
      <c r="AA24" s="2410">
        <f>ROUND(SUMPRODUCT(PRODUCT(1+P24:P$33)),4)</f>
        <v>1.2425999999999999</v>
      </c>
      <c r="AB24" s="2410">
        <f>ROUND(SUMPRODUCT(PRODUCT(1+Q24:Q$33)),4)</f>
        <v>1.1372</v>
      </c>
      <c r="AD24" s="2411">
        <f>ROUND(AVERAGE(I24:I$34)/100,4)</f>
        <v>2.0899999999999998E-2</v>
      </c>
      <c r="AE24" s="2411">
        <f>ROUND(AVERAGE(J24:J$34)/100,4)</f>
        <v>1.49E-2</v>
      </c>
      <c r="AF24" s="2411">
        <f t="shared" si="1"/>
        <v>1.49E-2</v>
      </c>
      <c r="AG24" s="2411">
        <f>ROUND(AVERAGE(K24:K$34)/100,4)</f>
        <v>2.3099999999999999E-2</v>
      </c>
      <c r="AH24" s="2411">
        <f>ROUND(AVERAGE(L24:L$34)/100,4)</f>
        <v>1.2999999999999999E-2</v>
      </c>
    </row>
    <row r="25" spans="1:34">
      <c r="A25" s="2423" t="s">
        <v>143</v>
      </c>
      <c r="B25" s="2424">
        <f t="shared" si="179"/>
        <v>360.06949782209392</v>
      </c>
      <c r="C25" s="2424">
        <f t="shared" si="179"/>
        <v>289.84672674747821</v>
      </c>
      <c r="D25" s="2424">
        <f t="shared" si="180"/>
        <v>289.84672674747821</v>
      </c>
      <c r="E25" s="2424">
        <f t="shared" si="181"/>
        <v>501.06543001181495</v>
      </c>
      <c r="F25" s="2424">
        <f t="shared" si="181"/>
        <v>256.82882500744967</v>
      </c>
      <c r="G25" s="3379"/>
      <c r="H25" s="2436">
        <v>2</v>
      </c>
      <c r="I25" s="2436">
        <v>3.85</v>
      </c>
      <c r="J25" s="2436">
        <v>1.95</v>
      </c>
      <c r="K25" s="2436">
        <v>4.4800000000000004</v>
      </c>
      <c r="L25" s="2437">
        <v>1.41</v>
      </c>
      <c r="N25" s="2426">
        <f t="shared" si="182"/>
        <v>3.85E-2</v>
      </c>
      <c r="O25" s="2411">
        <f t="shared" si="177"/>
        <v>1.95E-2</v>
      </c>
      <c r="P25" s="2411">
        <f t="shared" si="177"/>
        <v>4.4800000000000006E-2</v>
      </c>
      <c r="Q25" s="2411">
        <f t="shared" si="177"/>
        <v>1.41E-2</v>
      </c>
      <c r="R25" s="2427"/>
      <c r="S25" s="2426"/>
      <c r="T25" s="2411"/>
      <c r="U25" s="2411"/>
      <c r="V25" s="2411"/>
      <c r="X25" s="2410">
        <f>ROUND(SUMPRODUCT(PRODUCT(1+N25:N$33)),4)</f>
        <v>1.1702999999999999</v>
      </c>
      <c r="Y25" s="2410">
        <f>ROUND(SUMPRODUCT(PRODUCT(1+O25:O$33)),4)</f>
        <v>1.1269</v>
      </c>
      <c r="Z25" s="2410">
        <f t="shared" si="0"/>
        <v>1.1269</v>
      </c>
      <c r="AA25" s="2410">
        <f>ROUND(SUMPRODUCT(PRODUCT(1+P25:P$33)),4)</f>
        <v>1.1858</v>
      </c>
      <c r="AB25" s="2410">
        <f>ROUND(SUMPRODUCT(PRODUCT(1+Q25:Q$33)),4)</f>
        <v>1.1152</v>
      </c>
      <c r="AD25" s="2411">
        <f>ROUND(AVERAGE(I25:I$34)/100,4)</f>
        <v>1.89E-2</v>
      </c>
      <c r="AE25" s="2411">
        <f>ROUND(AVERAGE(J25:J$34)/100,4)</f>
        <v>1.44E-2</v>
      </c>
      <c r="AF25" s="2411">
        <f t="shared" si="1"/>
        <v>1.44E-2</v>
      </c>
      <c r="AG25" s="2411">
        <f>ROUND(AVERAGE(K25:K$34)/100,4)</f>
        <v>2.06E-2</v>
      </c>
      <c r="AH25" s="2411">
        <f>ROUND(AVERAGE(L25:L$34)/100,4)</f>
        <v>1.23E-2</v>
      </c>
    </row>
    <row r="26" spans="1:34" ht="13.5" thickBot="1">
      <c r="A26" s="2423" t="s">
        <v>152</v>
      </c>
      <c r="B26" s="2424">
        <f t="shared" si="179"/>
        <v>346.720748986128</v>
      </c>
      <c r="C26" s="2424">
        <f t="shared" si="179"/>
        <v>284.30282172386285</v>
      </c>
      <c r="D26" s="2424">
        <f t="shared" si="180"/>
        <v>284.30282172386285</v>
      </c>
      <c r="E26" s="2424">
        <f t="shared" si="181"/>
        <v>479.58023546306947</v>
      </c>
      <c r="F26" s="2424">
        <f t="shared" si="181"/>
        <v>253.25788877571213</v>
      </c>
      <c r="G26" s="3380"/>
      <c r="H26" s="2425">
        <v>1</v>
      </c>
      <c r="I26" s="2425">
        <v>4.09</v>
      </c>
      <c r="J26" s="2425">
        <v>2.93</v>
      </c>
      <c r="K26" s="2425">
        <v>4.54</v>
      </c>
      <c r="L26" s="2431">
        <v>1.48</v>
      </c>
      <c r="N26" s="2426">
        <f t="shared" si="182"/>
        <v>4.0899999999999999E-2</v>
      </c>
      <c r="O26" s="2411">
        <f t="shared" si="177"/>
        <v>2.9300000000000003E-2</v>
      </c>
      <c r="P26" s="2411">
        <f t="shared" si="177"/>
        <v>4.5400000000000003E-2</v>
      </c>
      <c r="Q26" s="2411">
        <f t="shared" si="177"/>
        <v>1.4800000000000001E-2</v>
      </c>
      <c r="R26" s="2427"/>
      <c r="S26" s="2442">
        <f>B26/B27-1</f>
        <v>4.1203450408792808E-2</v>
      </c>
      <c r="T26" s="2443">
        <f>C26/C27-1</f>
        <v>2.6363977342465095E-2</v>
      </c>
      <c r="U26" s="2443">
        <f>E26/E27-1</f>
        <v>4.4837114298626357E-2</v>
      </c>
      <c r="V26" s="2443">
        <f>F26/F27-1</f>
        <v>1.7099954922538574E-2</v>
      </c>
      <c r="X26" s="2410">
        <f>ROUND(SUMPRODUCT(PRODUCT(1+N26:N$33)),4)</f>
        <v>1.1269</v>
      </c>
      <c r="Y26" s="2410">
        <f>ROUND(SUMPRODUCT(PRODUCT(1+O26:O$33)),4)</f>
        <v>1.1052999999999999</v>
      </c>
      <c r="Z26" s="2410">
        <f t="shared" si="0"/>
        <v>1.1052999999999999</v>
      </c>
      <c r="AA26" s="2410">
        <f>ROUND(SUMPRODUCT(PRODUCT(1+P26:P$33)),4)</f>
        <v>1.1349</v>
      </c>
      <c r="AB26" s="2410">
        <f>ROUND(SUMPRODUCT(PRODUCT(1+Q26:Q$33)),4)</f>
        <v>1.0996999999999999</v>
      </c>
      <c r="AD26" s="2411">
        <f>ROUND(AVERAGE(I26:I$34)/100,4)</f>
        <v>1.67E-2</v>
      </c>
      <c r="AE26" s="2411">
        <f>ROUND(AVERAGE(J26:J$34)/100,4)</f>
        <v>1.38E-2</v>
      </c>
      <c r="AF26" s="2411">
        <f t="shared" si="1"/>
        <v>1.38E-2</v>
      </c>
      <c r="AG26" s="2411">
        <f>ROUND(AVERAGE(K26:K$34)/100,4)</f>
        <v>1.7899999999999999E-2</v>
      </c>
      <c r="AH26" s="2411">
        <f>ROUND(AVERAGE(L26:L$34)/100,4)</f>
        <v>1.21E-2</v>
      </c>
    </row>
    <row r="27" spans="1:34" ht="13.5" thickBot="1">
      <c r="A27" s="2423" t="s">
        <v>151</v>
      </c>
      <c r="B27" s="2438">
        <v>333</v>
      </c>
      <c r="C27" s="2438">
        <v>277</v>
      </c>
      <c r="D27" s="2438">
        <f t="shared" si="180"/>
        <v>277</v>
      </c>
      <c r="E27" s="2438">
        <v>459</v>
      </c>
      <c r="F27" s="2439">
        <v>249</v>
      </c>
      <c r="G27" s="3378">
        <v>2015</v>
      </c>
      <c r="H27" s="2444">
        <v>4</v>
      </c>
      <c r="I27" s="2444">
        <v>1.63</v>
      </c>
      <c r="J27" s="2444">
        <v>1.1100000000000001</v>
      </c>
      <c r="K27" s="2444">
        <v>1.77</v>
      </c>
      <c r="L27" s="2445">
        <v>1.89</v>
      </c>
      <c r="N27" s="2446">
        <f t="shared" si="182"/>
        <v>1.6299999999999999E-2</v>
      </c>
      <c r="O27" s="2447">
        <f t="shared" si="177"/>
        <v>1.11E-2</v>
      </c>
      <c r="P27" s="2447">
        <f t="shared" si="177"/>
        <v>1.77E-2</v>
      </c>
      <c r="Q27" s="2447">
        <f t="shared" si="177"/>
        <v>1.89E-2</v>
      </c>
      <c r="R27" s="2427"/>
      <c r="X27" s="2410">
        <f>ROUND(SUMPRODUCT(PRODUCT(1+N27:N$33)),4)</f>
        <v>1.0826</v>
      </c>
      <c r="Y27" s="2410">
        <f>ROUND(SUMPRODUCT(PRODUCT(1+O27:O$33)),4)</f>
        <v>1.0738000000000001</v>
      </c>
      <c r="Z27" s="2410">
        <f t="shared" si="0"/>
        <v>1.0738000000000001</v>
      </c>
      <c r="AA27" s="2410">
        <f>ROUND(SUMPRODUCT(PRODUCT(1+P27:P$33)),4)</f>
        <v>1.0855999999999999</v>
      </c>
      <c r="AB27" s="2410">
        <f>ROUND(SUMPRODUCT(PRODUCT(1+Q27:Q$33)),4)</f>
        <v>1.0837000000000001</v>
      </c>
      <c r="AD27" s="2411">
        <f>ROUND(AVERAGE(I27:I$34)/100,4)</f>
        <v>1.37E-2</v>
      </c>
      <c r="AE27" s="2411">
        <f>ROUND(AVERAGE(J27:J$34)/100,4)</f>
        <v>1.1900000000000001E-2</v>
      </c>
      <c r="AF27" s="2411">
        <f t="shared" si="1"/>
        <v>1.1900000000000001E-2</v>
      </c>
      <c r="AG27" s="2411">
        <f>ROUND(AVERAGE(K27:K$34)/100,4)</f>
        <v>1.4500000000000001E-2</v>
      </c>
      <c r="AH27" s="2411">
        <f>ROUND(AVERAGE(L27:L$34)/100,4)</f>
        <v>1.18E-2</v>
      </c>
    </row>
    <row r="28" spans="1:34">
      <c r="A28" s="2423" t="s">
        <v>150</v>
      </c>
      <c r="B28" s="2424">
        <f t="shared" ref="B28:C30" si="183">B27/(1+N27)</f>
        <v>327.65915576109415</v>
      </c>
      <c r="C28" s="2424">
        <f t="shared" si="183"/>
        <v>273.95905449510434</v>
      </c>
      <c r="D28" s="2424">
        <f t="shared" si="180"/>
        <v>273.95905449510434</v>
      </c>
      <c r="E28" s="2424">
        <f t="shared" ref="E28:F30" si="184">E27/(1+P27)</f>
        <v>451.01699911565294</v>
      </c>
      <c r="F28" s="2424">
        <f t="shared" si="184"/>
        <v>244.38119540681129</v>
      </c>
      <c r="G28" s="3379"/>
      <c r="H28" s="2449">
        <v>3</v>
      </c>
      <c r="I28" s="2449">
        <v>1.65</v>
      </c>
      <c r="J28" s="2449">
        <v>0.92</v>
      </c>
      <c r="K28" s="2449">
        <v>1.88</v>
      </c>
      <c r="L28" s="2450">
        <v>1.26</v>
      </c>
      <c r="N28" s="2426">
        <f t="shared" si="182"/>
        <v>1.6500000000000001E-2</v>
      </c>
      <c r="O28" s="2451">
        <f t="shared" si="177"/>
        <v>9.1999999999999998E-3</v>
      </c>
      <c r="P28" s="2451">
        <f t="shared" si="177"/>
        <v>1.8799999999999997E-2</v>
      </c>
      <c r="Q28" s="2451">
        <f t="shared" si="177"/>
        <v>1.26E-2</v>
      </c>
      <c r="R28" s="2427"/>
      <c r="S28" s="2426"/>
      <c r="T28" s="2411"/>
      <c r="U28" s="2411"/>
      <c r="V28" s="2411"/>
      <c r="X28" s="2410">
        <f>ROUND(SUMPRODUCT(PRODUCT(1+N28:N$33)),4)</f>
        <v>1.0651999999999999</v>
      </c>
      <c r="Y28" s="2410">
        <f>ROUND(SUMPRODUCT(PRODUCT(1+O28:O$33)),4)</f>
        <v>1.0621</v>
      </c>
      <c r="Z28" s="2410">
        <f t="shared" si="0"/>
        <v>1.0621</v>
      </c>
      <c r="AA28" s="2410">
        <f>ROUND(SUMPRODUCT(PRODUCT(1+P28:P$33)),4)</f>
        <v>1.0668</v>
      </c>
      <c r="AB28" s="2410">
        <f>ROUND(SUMPRODUCT(PRODUCT(1+Q28:Q$33)),4)</f>
        <v>1.0636000000000001</v>
      </c>
      <c r="AD28" s="2411">
        <f>ROUND(AVERAGE(I28:I$34)/100,4)</f>
        <v>1.3299999999999999E-2</v>
      </c>
      <c r="AE28" s="2411">
        <f>ROUND(AVERAGE(J28:J$34)/100,4)</f>
        <v>1.2E-2</v>
      </c>
      <c r="AF28" s="2411">
        <f t="shared" si="1"/>
        <v>1.2E-2</v>
      </c>
      <c r="AG28" s="2411">
        <f>ROUND(AVERAGE(K28:K$34)/100,4)</f>
        <v>1.4E-2</v>
      </c>
      <c r="AH28" s="2411">
        <f>ROUND(AVERAGE(L28:L$34)/100,4)</f>
        <v>1.0800000000000001E-2</v>
      </c>
    </row>
    <row r="29" spans="1:34">
      <c r="A29" s="2423" t="s">
        <v>149</v>
      </c>
      <c r="B29" s="2424">
        <f t="shared" si="183"/>
        <v>322.34053690220776</v>
      </c>
      <c r="C29" s="2424">
        <f t="shared" si="183"/>
        <v>271.46160770422546</v>
      </c>
      <c r="D29" s="2424">
        <f t="shared" si="180"/>
        <v>271.46160770422546</v>
      </c>
      <c r="E29" s="2424">
        <f t="shared" si="184"/>
        <v>442.69434542172456</v>
      </c>
      <c r="F29" s="2424">
        <f t="shared" si="184"/>
        <v>241.34030753190925</v>
      </c>
      <c r="G29" s="3379"/>
      <c r="H29" s="2436">
        <v>2</v>
      </c>
      <c r="I29" s="2436">
        <v>0.77</v>
      </c>
      <c r="J29" s="2436">
        <v>0.69</v>
      </c>
      <c r="K29" s="2436">
        <v>0.8</v>
      </c>
      <c r="L29" s="2437">
        <v>0.88</v>
      </c>
      <c r="N29" s="2426">
        <f t="shared" si="182"/>
        <v>7.7000000000000002E-3</v>
      </c>
      <c r="O29" s="2451">
        <f t="shared" si="177"/>
        <v>6.8999999999999999E-3</v>
      </c>
      <c r="P29" s="2451">
        <f t="shared" si="177"/>
        <v>8.0000000000000002E-3</v>
      </c>
      <c r="Q29" s="2451">
        <f t="shared" si="177"/>
        <v>8.8000000000000005E-3</v>
      </c>
      <c r="R29" s="2427"/>
      <c r="S29" s="2426"/>
      <c r="T29" s="2411"/>
      <c r="U29" s="2411"/>
      <c r="V29" s="2411"/>
      <c r="X29" s="2410">
        <f>ROUND(SUMPRODUCT(PRODUCT(1+N29:N$33)),4)</f>
        <v>1.048</v>
      </c>
      <c r="Y29" s="2410">
        <f>ROUND(SUMPRODUCT(PRODUCT(1+O29:O$33)),4)</f>
        <v>1.0524</v>
      </c>
      <c r="Z29" s="2410">
        <f t="shared" si="0"/>
        <v>1.0524</v>
      </c>
      <c r="AA29" s="2410">
        <f>ROUND(SUMPRODUCT(PRODUCT(1+P29:P$33)),4)</f>
        <v>1.0470999999999999</v>
      </c>
      <c r="AB29" s="2410">
        <f>ROUND(SUMPRODUCT(PRODUCT(1+Q29:Q$33)),4)</f>
        <v>1.0504</v>
      </c>
      <c r="AD29" s="2411">
        <f>ROUND(AVERAGE(I29:I$34)/100,4)</f>
        <v>1.2800000000000001E-2</v>
      </c>
      <c r="AE29" s="2411">
        <f>ROUND(AVERAGE(J29:J$34)/100,4)</f>
        <v>1.2500000000000001E-2</v>
      </c>
      <c r="AF29" s="2411">
        <f t="shared" si="1"/>
        <v>1.2500000000000001E-2</v>
      </c>
      <c r="AG29" s="2411">
        <f>ROUND(AVERAGE(K29:K$34)/100,4)</f>
        <v>1.32E-2</v>
      </c>
      <c r="AH29" s="2411">
        <f>ROUND(AVERAGE(L29:L$34)/100,4)</f>
        <v>1.0500000000000001E-2</v>
      </c>
    </row>
    <row r="30" spans="1:34">
      <c r="A30" s="2423" t="s">
        <v>148</v>
      </c>
      <c r="B30" s="2424">
        <f t="shared" si="183"/>
        <v>319.87748030386797</v>
      </c>
      <c r="C30" s="2424">
        <f t="shared" si="183"/>
        <v>269.60135833173649</v>
      </c>
      <c r="D30" s="2424">
        <f t="shared" si="180"/>
        <v>269.60135833173649</v>
      </c>
      <c r="E30" s="2424">
        <f t="shared" si="184"/>
        <v>439.18089823583784</v>
      </c>
      <c r="F30" s="2424">
        <f t="shared" si="184"/>
        <v>239.23503918706311</v>
      </c>
      <c r="G30" s="3380"/>
      <c r="H30" s="2425">
        <v>1</v>
      </c>
      <c r="I30" s="2425">
        <v>0.51</v>
      </c>
      <c r="J30" s="2425">
        <v>0.54</v>
      </c>
      <c r="K30" s="2425">
        <v>0.48</v>
      </c>
      <c r="L30" s="2431">
        <v>0.93</v>
      </c>
      <c r="N30" s="2442">
        <f t="shared" si="182"/>
        <v>5.1000000000000004E-3</v>
      </c>
      <c r="O30" s="2443">
        <f t="shared" si="177"/>
        <v>5.4000000000000003E-3</v>
      </c>
      <c r="P30" s="2443">
        <f t="shared" si="177"/>
        <v>4.7999999999999996E-3</v>
      </c>
      <c r="Q30" s="2443">
        <f t="shared" si="177"/>
        <v>9.300000000000001E-3</v>
      </c>
      <c r="R30" s="2427"/>
      <c r="S30" s="2442">
        <f>B30/B31-1</f>
        <v>5.9040261127922822E-3</v>
      </c>
      <c r="T30" s="2443">
        <f>C30/C31-1</f>
        <v>5.9752176557332781E-3</v>
      </c>
      <c r="U30" s="2443">
        <f>E30/E31-1</f>
        <v>4.9906138119859556E-3</v>
      </c>
      <c r="V30" s="2443">
        <f>F30/F31-1</f>
        <v>9.4305450930933787E-3</v>
      </c>
      <c r="X30" s="2410">
        <f>ROUND(SUMPRODUCT(PRODUCT(1+N30:N$33)),4)</f>
        <v>1.0399</v>
      </c>
      <c r="Y30" s="2410">
        <f>ROUND(SUMPRODUCT(PRODUCT(1+O30:O$33)),4)</f>
        <v>1.0451999999999999</v>
      </c>
      <c r="Z30" s="2410">
        <f t="shared" si="0"/>
        <v>1.0451999999999999</v>
      </c>
      <c r="AA30" s="2410">
        <f>ROUND(SUMPRODUCT(PRODUCT(1+P30:P$33)),4)</f>
        <v>1.0387999999999999</v>
      </c>
      <c r="AB30" s="2410">
        <f>ROUND(SUMPRODUCT(PRODUCT(1+Q30:Q$33)),4)</f>
        <v>1.0411999999999999</v>
      </c>
      <c r="AD30" s="2411">
        <f>ROUND(AVERAGE(I30:I$34)/100,4)</f>
        <v>1.38E-2</v>
      </c>
      <c r="AE30" s="2411">
        <f>ROUND(AVERAGE(J30:J$34)/100,4)</f>
        <v>1.3599999999999999E-2</v>
      </c>
      <c r="AF30" s="2411">
        <f t="shared" si="1"/>
        <v>1.3599999999999999E-2</v>
      </c>
      <c r="AG30" s="2411">
        <f>ROUND(AVERAGE(K30:K$34)/100,4)</f>
        <v>1.4200000000000001E-2</v>
      </c>
      <c r="AH30" s="2411">
        <f>ROUND(AVERAGE(L30:L$34)/100,4)</f>
        <v>1.0800000000000001E-2</v>
      </c>
    </row>
    <row r="31" spans="1:34" ht="13.5" thickBot="1">
      <c r="A31" s="2423" t="s">
        <v>147</v>
      </c>
      <c r="B31" s="2452">
        <v>318</v>
      </c>
      <c r="C31" s="2452">
        <v>268</v>
      </c>
      <c r="D31" s="2452">
        <f t="shared" si="180"/>
        <v>268</v>
      </c>
      <c r="E31" s="2452">
        <v>437</v>
      </c>
      <c r="F31" s="2453">
        <v>237</v>
      </c>
      <c r="G31" s="3378">
        <v>2014</v>
      </c>
      <c r="H31" s="2444">
        <v>4</v>
      </c>
      <c r="I31" s="2444">
        <v>0.21</v>
      </c>
      <c r="J31" s="2444">
        <v>0.41</v>
      </c>
      <c r="K31" s="2444">
        <v>0.12</v>
      </c>
      <c r="L31" s="2445">
        <v>0.89</v>
      </c>
      <c r="N31" s="2426">
        <f t="shared" si="182"/>
        <v>2.0999999999999999E-3</v>
      </c>
      <c r="O31" s="2411">
        <f t="shared" si="177"/>
        <v>4.0999999999999995E-3</v>
      </c>
      <c r="P31" s="2411">
        <f t="shared" si="177"/>
        <v>1.1999999999999999E-3</v>
      </c>
      <c r="Q31" s="2411">
        <f t="shared" si="177"/>
        <v>8.8999999999999999E-3</v>
      </c>
      <c r="R31" s="2427"/>
      <c r="S31" s="2440"/>
      <c r="T31" s="2441"/>
      <c r="U31" s="2441"/>
      <c r="V31" s="2441"/>
      <c r="X31" s="2410">
        <f>ROUND(SUMPRODUCT(PRODUCT(1+N31:N$33)),4)</f>
        <v>1.0347</v>
      </c>
      <c r="Y31" s="2410">
        <f>ROUND(SUMPRODUCT(PRODUCT(1+O31:O$33)),4)</f>
        <v>1.0395000000000001</v>
      </c>
      <c r="Z31" s="2410">
        <f t="shared" si="0"/>
        <v>1.0395000000000001</v>
      </c>
      <c r="AA31" s="2410">
        <f>ROUND(SUMPRODUCT(PRODUCT(1+P31:P$33)),4)</f>
        <v>1.0338000000000001</v>
      </c>
      <c r="AB31" s="2410">
        <f>ROUND(SUMPRODUCT(PRODUCT(1+Q31:Q$33)),4)</f>
        <v>1.0316000000000001</v>
      </c>
      <c r="AD31" s="2411">
        <f>ROUND(AVERAGE(I31:I$34)/100,4)</f>
        <v>1.6E-2</v>
      </c>
      <c r="AE31" s="2411">
        <f>ROUND(AVERAGE(J31:J$34)/100,4)</f>
        <v>1.5599999999999999E-2</v>
      </c>
      <c r="AF31" s="2411">
        <f t="shared" si="1"/>
        <v>1.5599999999999999E-2</v>
      </c>
      <c r="AG31" s="2411">
        <f>ROUND(AVERAGE(K31:K$34)/100,4)</f>
        <v>1.66E-2</v>
      </c>
      <c r="AH31" s="2411">
        <f>ROUND(AVERAGE(L31:L$34)/100,4)</f>
        <v>1.12E-2</v>
      </c>
    </row>
    <row r="32" spans="1:34">
      <c r="A32" s="2423" t="s">
        <v>146</v>
      </c>
      <c r="B32" s="2424">
        <f t="shared" ref="B32:C34" si="185">B31/(1+N31)</f>
        <v>317.33359944117353</v>
      </c>
      <c r="C32" s="2424">
        <f t="shared" si="185"/>
        <v>266.90568668459315</v>
      </c>
      <c r="D32" s="2424">
        <f t="shared" si="180"/>
        <v>266.90568668459315</v>
      </c>
      <c r="E32" s="2424">
        <f t="shared" ref="E32:F34" si="186">E31/(1+P31)</f>
        <v>436.47622852576905</v>
      </c>
      <c r="F32" s="2424">
        <f t="shared" si="186"/>
        <v>234.90930716622066</v>
      </c>
      <c r="G32" s="3379"/>
      <c r="H32" s="2454">
        <v>3</v>
      </c>
      <c r="I32" s="2454">
        <v>0.83</v>
      </c>
      <c r="J32" s="2454">
        <v>1.47</v>
      </c>
      <c r="K32" s="2454">
        <v>0.65</v>
      </c>
      <c r="L32" s="2455">
        <v>0.72</v>
      </c>
      <c r="N32" s="2426">
        <f t="shared" si="182"/>
        <v>8.3000000000000001E-3</v>
      </c>
      <c r="O32" s="2411">
        <f t="shared" si="177"/>
        <v>1.47E-2</v>
      </c>
      <c r="P32" s="2411">
        <f t="shared" si="177"/>
        <v>6.5000000000000006E-3</v>
      </c>
      <c r="Q32" s="2411">
        <f t="shared" si="177"/>
        <v>7.1999999999999998E-3</v>
      </c>
      <c r="R32" s="2427"/>
      <c r="S32" s="2426"/>
      <c r="T32" s="2411"/>
      <c r="U32" s="2411"/>
      <c r="V32" s="2411"/>
      <c r="X32" s="2410">
        <f>ROUND(SUMPRODUCT(PRODUCT(1+N32:N$33)),4)</f>
        <v>1.0325</v>
      </c>
      <c r="Y32" s="2410">
        <f>ROUND(SUMPRODUCT(PRODUCT(1+O32:O$33)),4)</f>
        <v>1.0353000000000001</v>
      </c>
      <c r="Z32" s="2410">
        <f t="shared" ref="Z32:Z33" si="187">Y32</f>
        <v>1.0353000000000001</v>
      </c>
      <c r="AA32" s="2410">
        <f>ROUND(SUMPRODUCT(PRODUCT(1+P32:P$33)),4)</f>
        <v>1.0326</v>
      </c>
      <c r="AB32" s="2410">
        <f>ROUND(SUMPRODUCT(PRODUCT(1+Q32:Q$33)),4)</f>
        <v>1.0225</v>
      </c>
      <c r="AD32" s="2411">
        <f>ROUND(AVERAGE(I32:I$34)/100,4)</f>
        <v>2.07E-2</v>
      </c>
      <c r="AE32" s="2411">
        <f>ROUND(AVERAGE(J32:J$34)/100,4)</f>
        <v>1.95E-2</v>
      </c>
      <c r="AF32" s="2411">
        <f t="shared" si="1"/>
        <v>1.95E-2</v>
      </c>
      <c r="AG32" s="2411">
        <f>ROUND(AVERAGE(K32:K$34)/100,4)</f>
        <v>2.1700000000000001E-2</v>
      </c>
      <c r="AH32" s="2411">
        <f>ROUND(AVERAGE(L32:L$34)/100,4)</f>
        <v>1.2E-2</v>
      </c>
    </row>
    <row r="33" spans="1:34" ht="13.5" thickBot="1">
      <c r="A33" s="2423" t="s">
        <v>145</v>
      </c>
      <c r="B33" s="2424">
        <f t="shared" si="185"/>
        <v>314.72141172386546</v>
      </c>
      <c r="C33" s="2424">
        <f t="shared" si="185"/>
        <v>263.03901319069001</v>
      </c>
      <c r="D33" s="2424">
        <f t="shared" si="180"/>
        <v>263.03901319069001</v>
      </c>
      <c r="E33" s="2424">
        <f t="shared" si="186"/>
        <v>433.65745506782821</v>
      </c>
      <c r="F33" s="2424">
        <f t="shared" si="186"/>
        <v>233.23005080045735</v>
      </c>
      <c r="G33" s="3379"/>
      <c r="H33" s="2444">
        <v>2</v>
      </c>
      <c r="I33" s="2444">
        <v>2.4</v>
      </c>
      <c r="J33" s="2444">
        <v>2.0299999999999998</v>
      </c>
      <c r="K33" s="2444">
        <v>2.59</v>
      </c>
      <c r="L33" s="2445">
        <v>1.52</v>
      </c>
      <c r="N33" s="2426">
        <f t="shared" si="182"/>
        <v>2.4E-2</v>
      </c>
      <c r="O33" s="2411">
        <f t="shared" si="177"/>
        <v>2.0299999999999999E-2</v>
      </c>
      <c r="P33" s="2411">
        <f t="shared" si="177"/>
        <v>2.5899999999999999E-2</v>
      </c>
      <c r="Q33" s="2411">
        <f t="shared" si="177"/>
        <v>1.52E-2</v>
      </c>
      <c r="R33" s="2427"/>
      <c r="S33" s="2426"/>
      <c r="T33" s="2411"/>
      <c r="U33" s="2411"/>
      <c r="V33" s="2411"/>
      <c r="X33" s="2410">
        <f>1+N33</f>
        <v>1.024</v>
      </c>
      <c r="Y33" s="2410">
        <f>1+O33</f>
        <v>1.0203</v>
      </c>
      <c r="Z33" s="2410">
        <f t="shared" si="187"/>
        <v>1.0203</v>
      </c>
      <c r="AA33" s="2410">
        <f>1+P33</f>
        <v>1.0259</v>
      </c>
      <c r="AB33" s="2410">
        <f>1+Q33</f>
        <v>1.0152000000000001</v>
      </c>
      <c r="AD33" s="2411">
        <f>ROUND(AVERAGE(I33:I$34)/100,4)</f>
        <v>2.69E-2</v>
      </c>
      <c r="AE33" s="2411">
        <f>ROUND(AVERAGE(J33:J$34)/100,4)</f>
        <v>2.1899999999999999E-2</v>
      </c>
      <c r="AF33" s="2411">
        <f t="shared" ref="AF33" si="188">AE33</f>
        <v>2.1899999999999999E-2</v>
      </c>
      <c r="AG33" s="2411">
        <f>ROUND(AVERAGE(K33:K$34)/100,4)</f>
        <v>2.9399999999999999E-2</v>
      </c>
      <c r="AH33" s="2411">
        <f>ROUND(AVERAGE(L33:L$34)/100,4)</f>
        <v>1.44E-2</v>
      </c>
    </row>
    <row r="34" spans="1:34" s="2460" customFormat="1" ht="13.5" thickBot="1">
      <c r="A34" s="2456" t="s">
        <v>144</v>
      </c>
      <c r="B34" s="2457">
        <f t="shared" si="185"/>
        <v>307.34512863658733</v>
      </c>
      <c r="C34" s="2457">
        <f t="shared" si="185"/>
        <v>257.80556031626975</v>
      </c>
      <c r="D34" s="2457">
        <f t="shared" si="180"/>
        <v>257.80556031626975</v>
      </c>
      <c r="E34" s="2457">
        <f t="shared" si="186"/>
        <v>422.70928459677179</v>
      </c>
      <c r="F34" s="2457">
        <f t="shared" si="186"/>
        <v>229.73803270336617</v>
      </c>
      <c r="G34" s="3380"/>
      <c r="H34" s="2458">
        <v>1</v>
      </c>
      <c r="I34" s="2458">
        <v>2.97</v>
      </c>
      <c r="J34" s="2458">
        <v>2.34</v>
      </c>
      <c r="K34" s="2458">
        <v>3.28</v>
      </c>
      <c r="L34" s="2459">
        <v>1.36</v>
      </c>
      <c r="N34" s="2461">
        <f t="shared" si="182"/>
        <v>2.9700000000000001E-2</v>
      </c>
      <c r="O34" s="2462">
        <f t="shared" si="177"/>
        <v>2.3399999999999997E-2</v>
      </c>
      <c r="P34" s="2462">
        <f t="shared" si="177"/>
        <v>3.2799999999999996E-2</v>
      </c>
      <c r="Q34" s="2462">
        <f t="shared" si="177"/>
        <v>1.3600000000000001E-2</v>
      </c>
      <c r="R34" s="2463"/>
      <c r="S34" s="2464">
        <f>B34/B35-1</f>
        <v>2.7910129219355539E-2</v>
      </c>
      <c r="T34" s="2465">
        <f>C34/C35-1</f>
        <v>2.3037937762975247E-2</v>
      </c>
      <c r="U34" s="2465">
        <f>E34/E35-1</f>
        <v>3.3519033243940788E-2</v>
      </c>
      <c r="V34" s="2465">
        <f>F34/F35-1</f>
        <v>1.2061818076502862E-2</v>
      </c>
      <c r="W34" s="2466" t="s">
        <v>1129</v>
      </c>
      <c r="X34" s="2467">
        <v>1</v>
      </c>
      <c r="Y34" s="2467">
        <v>1</v>
      </c>
      <c r="Z34" s="2467">
        <v>1</v>
      </c>
      <c r="AA34" s="2467">
        <v>1</v>
      </c>
      <c r="AB34" s="2467">
        <v>1</v>
      </c>
      <c r="AD34" s="2462">
        <f>I34/100</f>
        <v>2.9700000000000001E-2</v>
      </c>
      <c r="AE34" s="2462">
        <f>J34/100</f>
        <v>2.3399999999999997E-2</v>
      </c>
      <c r="AF34" s="2462">
        <f>AE34</f>
        <v>2.3399999999999997E-2</v>
      </c>
      <c r="AG34" s="2462">
        <f>K34/100</f>
        <v>3.2799999999999996E-2</v>
      </c>
      <c r="AH34" s="2462">
        <f>L34/100</f>
        <v>1.3600000000000001E-2</v>
      </c>
    </row>
    <row r="35" spans="1:34" ht="13.5" thickBot="1">
      <c r="A35" s="2423" t="s">
        <v>1130</v>
      </c>
      <c r="B35" s="2438">
        <v>299</v>
      </c>
      <c r="C35" s="2438">
        <v>252</v>
      </c>
      <c r="D35" s="2438">
        <f t="shared" si="180"/>
        <v>252</v>
      </c>
      <c r="E35" s="2438">
        <v>409</v>
      </c>
      <c r="F35" s="2439">
        <v>227</v>
      </c>
      <c r="G35" s="3385">
        <v>2013</v>
      </c>
      <c r="H35" s="2468">
        <v>4</v>
      </c>
      <c r="I35" s="2468">
        <v>1.83</v>
      </c>
      <c r="J35" s="2468">
        <v>1.68</v>
      </c>
      <c r="K35" s="2468">
        <v>1.97</v>
      </c>
      <c r="L35" s="2469">
        <v>0.87</v>
      </c>
      <c r="N35" s="2446">
        <f t="shared" si="182"/>
        <v>1.83E-2</v>
      </c>
      <c r="O35" s="2447">
        <f t="shared" si="177"/>
        <v>1.6799999999999999E-2</v>
      </c>
      <c r="P35" s="2447">
        <f t="shared" si="177"/>
        <v>1.9699999999999999E-2</v>
      </c>
      <c r="Q35" s="2447">
        <f t="shared" si="177"/>
        <v>8.6999999999999994E-3</v>
      </c>
      <c r="R35" s="2427"/>
      <c r="S35" s="2440"/>
      <c r="T35" s="2441"/>
      <c r="U35" s="2441"/>
      <c r="V35" s="2441"/>
      <c r="X35" s="2441"/>
      <c r="Y35" s="2441"/>
      <c r="Z35" s="2441"/>
    </row>
    <row r="36" spans="1:34">
      <c r="A36" s="2423" t="s">
        <v>1131</v>
      </c>
      <c r="B36" s="2424">
        <f t="shared" ref="B36:C38" si="189">B35/(1+N35)</f>
        <v>293.62663262299913</v>
      </c>
      <c r="C36" s="2424">
        <f t="shared" si="189"/>
        <v>247.83634933123525</v>
      </c>
      <c r="D36" s="2424">
        <f t="shared" si="180"/>
        <v>247.83634933123525</v>
      </c>
      <c r="E36" s="2424">
        <f t="shared" ref="E36:F38" si="190">E35/(1+P35)</f>
        <v>401.09836226341076</v>
      </c>
      <c r="F36" s="2424">
        <f t="shared" si="190"/>
        <v>225.04213343908003</v>
      </c>
      <c r="G36" s="3386"/>
      <c r="H36" s="2449">
        <v>3</v>
      </c>
      <c r="I36" s="2449">
        <v>1.86</v>
      </c>
      <c r="J36" s="2449">
        <v>1.72</v>
      </c>
      <c r="K36" s="2449">
        <v>1.98</v>
      </c>
      <c r="L36" s="2450">
        <v>0.88</v>
      </c>
      <c r="N36" s="2426">
        <f t="shared" si="182"/>
        <v>1.8600000000000002E-2</v>
      </c>
      <c r="O36" s="2451">
        <f t="shared" si="177"/>
        <v>1.72E-2</v>
      </c>
      <c r="P36" s="2451">
        <f t="shared" si="177"/>
        <v>1.9799999999999998E-2</v>
      </c>
      <c r="Q36" s="2451">
        <f t="shared" si="177"/>
        <v>8.8000000000000005E-3</v>
      </c>
      <c r="R36" s="2427"/>
      <c r="S36" s="2426"/>
      <c r="T36" s="2411"/>
      <c r="U36" s="2411"/>
      <c r="V36" s="2411"/>
    </row>
    <row r="37" spans="1:34">
      <c r="A37" s="2423" t="s">
        <v>1132</v>
      </c>
      <c r="B37" s="2424">
        <f t="shared" si="189"/>
        <v>288.2649053828776</v>
      </c>
      <c r="C37" s="2424">
        <f t="shared" si="189"/>
        <v>243.64564425013293</v>
      </c>
      <c r="D37" s="2424">
        <f t="shared" si="180"/>
        <v>243.64564425013293</v>
      </c>
      <c r="E37" s="2424">
        <f t="shared" si="190"/>
        <v>393.31080825986544</v>
      </c>
      <c r="F37" s="2424">
        <f t="shared" si="190"/>
        <v>223.07903790551154</v>
      </c>
      <c r="G37" s="3386"/>
      <c r="H37" s="2436">
        <v>2</v>
      </c>
      <c r="I37" s="2436">
        <v>2.04</v>
      </c>
      <c r="J37" s="2436">
        <v>2.33</v>
      </c>
      <c r="K37" s="2436">
        <v>2.0699999999999998</v>
      </c>
      <c r="L37" s="2437">
        <v>0.69</v>
      </c>
      <c r="N37" s="2426">
        <f t="shared" si="182"/>
        <v>2.0400000000000001E-2</v>
      </c>
      <c r="O37" s="2451">
        <f t="shared" si="177"/>
        <v>2.3300000000000001E-2</v>
      </c>
      <c r="P37" s="2451">
        <f t="shared" si="177"/>
        <v>2.07E-2</v>
      </c>
      <c r="Q37" s="2451">
        <f t="shared" si="177"/>
        <v>6.8999999999999999E-3</v>
      </c>
      <c r="R37" s="2427"/>
      <c r="S37" s="2426"/>
      <c r="T37" s="2411"/>
      <c r="U37" s="2411"/>
      <c r="V37" s="2411"/>
      <c r="X37" s="2470"/>
      <c r="Y37" s="2471"/>
    </row>
    <row r="38" spans="1:34">
      <c r="A38" s="2423" t="s">
        <v>1133</v>
      </c>
      <c r="B38" s="2424">
        <f t="shared" si="189"/>
        <v>282.50186729015837</v>
      </c>
      <c r="C38" s="2424">
        <f t="shared" si="189"/>
        <v>238.09796174155468</v>
      </c>
      <c r="D38" s="2424">
        <f t="shared" si="180"/>
        <v>238.09796174155468</v>
      </c>
      <c r="E38" s="2424">
        <f t="shared" si="190"/>
        <v>385.33438646014054</v>
      </c>
      <c r="F38" s="2424">
        <f t="shared" si="190"/>
        <v>221.55034055567739</v>
      </c>
      <c r="G38" s="3387"/>
      <c r="H38" s="2425">
        <v>1</v>
      </c>
      <c r="I38" s="2425">
        <v>1.67</v>
      </c>
      <c r="J38" s="2425">
        <v>1.31</v>
      </c>
      <c r="K38" s="2425">
        <v>1.85</v>
      </c>
      <c r="L38" s="2431">
        <v>0.96</v>
      </c>
      <c r="N38" s="2442">
        <f t="shared" si="182"/>
        <v>1.67E-2</v>
      </c>
      <c r="O38" s="2443">
        <f t="shared" si="182"/>
        <v>1.3100000000000001E-2</v>
      </c>
      <c r="P38" s="2443">
        <f t="shared" si="182"/>
        <v>1.8500000000000003E-2</v>
      </c>
      <c r="Q38" s="2443">
        <f t="shared" si="182"/>
        <v>9.5999999999999992E-3</v>
      </c>
      <c r="R38" s="2427"/>
      <c r="S38" s="2442">
        <f>B38/B39-1</f>
        <v>1.6193767230785472E-2</v>
      </c>
      <c r="T38" s="2443">
        <f>C38/C39-1</f>
        <v>1.7512657015190891E-2</v>
      </c>
      <c r="U38" s="2443">
        <f>E38/E39-1</f>
        <v>1.6713420739157048E-2</v>
      </c>
      <c r="V38" s="2443">
        <f>F38/F39-1</f>
        <v>7.0470025258062563E-3</v>
      </c>
      <c r="X38" s="2472"/>
      <c r="Y38" s="2411"/>
      <c r="Z38" s="2411"/>
    </row>
    <row r="39" spans="1:34" ht="13.5" thickBot="1">
      <c r="A39" s="2423" t="s">
        <v>1134</v>
      </c>
      <c r="B39" s="2473">
        <v>278</v>
      </c>
      <c r="C39" s="2473">
        <v>234</v>
      </c>
      <c r="D39" s="2473">
        <f t="shared" si="180"/>
        <v>234</v>
      </c>
      <c r="E39" s="2473">
        <v>379</v>
      </c>
      <c r="F39" s="2474">
        <v>220</v>
      </c>
      <c r="G39" s="3378">
        <v>2012</v>
      </c>
      <c r="H39" s="2444">
        <v>4</v>
      </c>
      <c r="I39" s="2444">
        <v>0.91</v>
      </c>
      <c r="J39" s="2444">
        <v>0.68</v>
      </c>
      <c r="K39" s="2444">
        <v>0.98</v>
      </c>
      <c r="L39" s="2445">
        <v>0.9</v>
      </c>
      <c r="N39" s="2426">
        <f t="shared" si="182"/>
        <v>9.1000000000000004E-3</v>
      </c>
      <c r="O39" s="2411">
        <f t="shared" si="182"/>
        <v>6.8000000000000005E-3</v>
      </c>
      <c r="P39" s="2411">
        <f t="shared" si="182"/>
        <v>9.7999999999999997E-3</v>
      </c>
      <c r="Q39" s="2411">
        <f t="shared" si="182"/>
        <v>9.0000000000000011E-3</v>
      </c>
      <c r="R39" s="2427"/>
      <c r="S39" s="2440"/>
      <c r="T39" s="2441"/>
      <c r="U39" s="2441"/>
      <c r="V39" s="2441"/>
      <c r="X39" s="2441"/>
      <c r="Y39" s="2441"/>
      <c r="Z39" s="2441"/>
    </row>
    <row r="40" spans="1:34">
      <c r="A40" s="2423" t="s">
        <v>1135</v>
      </c>
      <c r="B40" s="2424">
        <f>B39/(1+N39)</f>
        <v>275.49301357645425</v>
      </c>
      <c r="C40" s="2424">
        <f>C39/(1+O39)</f>
        <v>232.41954707985698</v>
      </c>
      <c r="D40" s="2424">
        <f t="shared" si="180"/>
        <v>232.41954707985698</v>
      </c>
      <c r="E40" s="2424">
        <f t="shared" ref="E40:F42" si="191">E39/(1+P39)</f>
        <v>375.32184591008121</v>
      </c>
      <c r="F40" s="2424">
        <f t="shared" si="191"/>
        <v>218.03766105054513</v>
      </c>
      <c r="G40" s="3379"/>
      <c r="H40" s="2449">
        <v>3</v>
      </c>
      <c r="I40" s="2449">
        <v>0.09</v>
      </c>
      <c r="J40" s="2449">
        <v>0.28999999999999998</v>
      </c>
      <c r="K40" s="2449">
        <v>-0.01</v>
      </c>
      <c r="L40" s="2450">
        <v>0.57999999999999996</v>
      </c>
      <c r="N40" s="2426">
        <f t="shared" si="182"/>
        <v>8.9999999999999998E-4</v>
      </c>
      <c r="O40" s="2411">
        <f t="shared" si="182"/>
        <v>2.8999999999999998E-3</v>
      </c>
      <c r="P40" s="2411">
        <f t="shared" si="182"/>
        <v>-1E-4</v>
      </c>
      <c r="Q40" s="2411">
        <f t="shared" si="182"/>
        <v>5.7999999999999996E-3</v>
      </c>
      <c r="R40" s="2427"/>
      <c r="S40" s="2426"/>
      <c r="T40" s="2411"/>
      <c r="U40" s="2411"/>
      <c r="V40" s="2411"/>
    </row>
    <row r="41" spans="1:34">
      <c r="A41" s="2423" t="s">
        <v>1136</v>
      </c>
      <c r="B41" s="2424">
        <f>B40/(1+N40)</f>
        <v>275.24529281292263</v>
      </c>
      <c r="C41" s="2424">
        <f>C40/(1+O40)</f>
        <v>231.74747938962707</v>
      </c>
      <c r="D41" s="2424">
        <f t="shared" si="180"/>
        <v>231.74747938962707</v>
      </c>
      <c r="E41" s="2424">
        <f t="shared" si="191"/>
        <v>375.35938184826603</v>
      </c>
      <c r="F41" s="2424">
        <f t="shared" si="191"/>
        <v>216.78033510692495</v>
      </c>
      <c r="G41" s="3379"/>
      <c r="H41" s="2436">
        <v>2</v>
      </c>
      <c r="I41" s="2436">
        <v>0.02</v>
      </c>
      <c r="J41" s="2436">
        <v>0.12</v>
      </c>
      <c r="K41" s="2436">
        <v>-0.08</v>
      </c>
      <c r="L41" s="2437">
        <v>1.24</v>
      </c>
      <c r="N41" s="2426">
        <f t="shared" si="182"/>
        <v>2.0000000000000001E-4</v>
      </c>
      <c r="O41" s="2411">
        <f t="shared" si="182"/>
        <v>1.1999999999999999E-3</v>
      </c>
      <c r="P41" s="2411">
        <f t="shared" si="182"/>
        <v>-8.0000000000000004E-4</v>
      </c>
      <c r="Q41" s="2411">
        <f t="shared" si="182"/>
        <v>1.24E-2</v>
      </c>
      <c r="R41" s="2427"/>
      <c r="S41" s="2426"/>
      <c r="T41" s="2411"/>
      <c r="U41" s="2411"/>
      <c r="V41" s="2411"/>
    </row>
    <row r="42" spans="1:34" ht="13.5" thickBot="1">
      <c r="A42" s="2423" t="s">
        <v>1137</v>
      </c>
      <c r="B42" s="2424">
        <f>B41/(1+N41)</f>
        <v>275.19025476197027</v>
      </c>
      <c r="C42" s="2475">
        <v>232</v>
      </c>
      <c r="D42" s="2475">
        <f t="shared" si="180"/>
        <v>232</v>
      </c>
      <c r="E42" s="2424">
        <f t="shared" si="191"/>
        <v>375.65990977608692</v>
      </c>
      <c r="F42" s="2424">
        <f t="shared" si="191"/>
        <v>214.12518283971252</v>
      </c>
      <c r="G42" s="3380"/>
      <c r="H42" s="2425">
        <v>1</v>
      </c>
      <c r="I42" s="2425">
        <v>0.02</v>
      </c>
      <c r="J42" s="2425">
        <v>0.13</v>
      </c>
      <c r="K42" s="2425">
        <v>-0.04</v>
      </c>
      <c r="L42" s="2431">
        <v>0.46</v>
      </c>
      <c r="N42" s="2426">
        <f t="shared" si="182"/>
        <v>2.0000000000000001E-4</v>
      </c>
      <c r="O42" s="2411">
        <f t="shared" si="182"/>
        <v>1.2999999999999999E-3</v>
      </c>
      <c r="P42" s="2411">
        <f t="shared" si="182"/>
        <v>-4.0000000000000002E-4</v>
      </c>
      <c r="Q42" s="2411">
        <f t="shared" si="182"/>
        <v>4.5999999999999999E-3</v>
      </c>
      <c r="R42" s="2427"/>
      <c r="S42" s="2442">
        <f>B42/B43-1</f>
        <v>6.9183549807361189E-4</v>
      </c>
      <c r="T42" s="2443">
        <f>C42/C43-1</f>
        <v>0</v>
      </c>
      <c r="U42" s="2443">
        <f>E42/E43-1</f>
        <v>-9.0449527636460303E-4</v>
      </c>
      <c r="V42" s="2443">
        <f>F42/F43-1</f>
        <v>5.2825485432512753E-3</v>
      </c>
      <c r="X42" s="2411"/>
      <c r="Y42" s="2411"/>
      <c r="Z42" s="2411"/>
    </row>
    <row r="43" spans="1:34" ht="13.5" thickBot="1">
      <c r="A43" s="2423" t="s">
        <v>1138</v>
      </c>
      <c r="B43" s="2438">
        <v>275</v>
      </c>
      <c r="C43" s="2438">
        <v>232</v>
      </c>
      <c r="D43" s="2438">
        <f t="shared" si="180"/>
        <v>232</v>
      </c>
      <c r="E43" s="2438">
        <v>376</v>
      </c>
      <c r="F43" s="2439">
        <v>213</v>
      </c>
      <c r="G43" s="3378">
        <v>2011</v>
      </c>
      <c r="H43" s="2444">
        <v>4</v>
      </c>
      <c r="I43" s="2444">
        <v>-0.2</v>
      </c>
      <c r="J43" s="2444">
        <v>0.04</v>
      </c>
      <c r="K43" s="2444">
        <v>-0.34</v>
      </c>
      <c r="L43" s="2445">
        <v>0.46</v>
      </c>
      <c r="N43" s="2446">
        <f t="shared" si="182"/>
        <v>-2E-3</v>
      </c>
      <c r="O43" s="2447">
        <f t="shared" si="182"/>
        <v>4.0000000000000002E-4</v>
      </c>
      <c r="P43" s="2447">
        <f t="shared" si="182"/>
        <v>-3.4000000000000002E-3</v>
      </c>
      <c r="Q43" s="2447">
        <f t="shared" si="182"/>
        <v>4.5999999999999999E-3</v>
      </c>
      <c r="R43" s="2427"/>
      <c r="S43" s="2440"/>
      <c r="T43" s="2441"/>
      <c r="U43" s="2441"/>
      <c r="V43" s="2441"/>
      <c r="X43" s="2441"/>
      <c r="Y43" s="2441"/>
      <c r="Z43" s="2441"/>
    </row>
    <row r="44" spans="1:34">
      <c r="A44" s="2423" t="s">
        <v>1139</v>
      </c>
      <c r="B44" s="2424">
        <f t="shared" ref="B44:C46" si="192">B43/(1+N43)</f>
        <v>275.55110220440883</v>
      </c>
      <c r="C44" s="2424">
        <f t="shared" si="192"/>
        <v>231.90723710515795</v>
      </c>
      <c r="D44" s="2424">
        <f t="shared" si="180"/>
        <v>231.90723710515795</v>
      </c>
      <c r="E44" s="2424">
        <f t="shared" ref="E44:F46" si="193">E43/(1+P43)</f>
        <v>377.28276138872161</v>
      </c>
      <c r="F44" s="2424">
        <f t="shared" si="193"/>
        <v>212.02468644236512</v>
      </c>
      <c r="G44" s="3379">
        <v>2011</v>
      </c>
      <c r="H44" s="2449">
        <v>3</v>
      </c>
      <c r="I44" s="2449">
        <v>0.13</v>
      </c>
      <c r="J44" s="2449">
        <v>0.75</v>
      </c>
      <c r="K44" s="2449">
        <v>-0.08</v>
      </c>
      <c r="L44" s="2450">
        <v>0.53</v>
      </c>
      <c r="N44" s="2426">
        <f t="shared" si="182"/>
        <v>1.2999999999999999E-3</v>
      </c>
      <c r="O44" s="2451">
        <f t="shared" si="182"/>
        <v>7.4999999999999997E-3</v>
      </c>
      <c r="P44" s="2451">
        <f t="shared" si="182"/>
        <v>-8.0000000000000004E-4</v>
      </c>
      <c r="Q44" s="2451">
        <f t="shared" si="182"/>
        <v>5.3E-3</v>
      </c>
      <c r="R44" s="2427"/>
      <c r="S44" s="2426"/>
      <c r="T44" s="2411"/>
      <c r="U44" s="2411"/>
      <c r="V44" s="2411"/>
    </row>
    <row r="45" spans="1:34">
      <c r="A45" s="2423" t="s">
        <v>1140</v>
      </c>
      <c r="B45" s="2424">
        <f t="shared" si="192"/>
        <v>275.19335084830601</v>
      </c>
      <c r="C45" s="2424">
        <f t="shared" si="192"/>
        <v>230.18088050139744</v>
      </c>
      <c r="D45" s="2424">
        <f t="shared" si="180"/>
        <v>230.18088050139744</v>
      </c>
      <c r="E45" s="2424">
        <f t="shared" si="193"/>
        <v>377.58482925212331</v>
      </c>
      <c r="F45" s="2424">
        <f t="shared" si="193"/>
        <v>210.90687997847917</v>
      </c>
      <c r="G45" s="3379">
        <v>2011</v>
      </c>
      <c r="H45" s="2436">
        <v>2</v>
      </c>
      <c r="I45" s="2436">
        <v>-0.4</v>
      </c>
      <c r="J45" s="2436">
        <v>0.17</v>
      </c>
      <c r="K45" s="2436">
        <v>-0.57999999999999996</v>
      </c>
      <c r="L45" s="2437">
        <v>-0.2</v>
      </c>
      <c r="N45" s="2426">
        <f t="shared" si="182"/>
        <v>-4.0000000000000001E-3</v>
      </c>
      <c r="O45" s="2451">
        <f t="shared" si="182"/>
        <v>1.7000000000000001E-3</v>
      </c>
      <c r="P45" s="2451">
        <f t="shared" si="182"/>
        <v>-5.7999999999999996E-3</v>
      </c>
      <c r="Q45" s="2451">
        <f t="shared" si="182"/>
        <v>-2E-3</v>
      </c>
      <c r="R45" s="2427"/>
      <c r="S45" s="2426"/>
      <c r="T45" s="2411"/>
      <c r="U45" s="2411"/>
      <c r="V45" s="2411"/>
    </row>
    <row r="46" spans="1:34" ht="13.5" thickBot="1">
      <c r="A46" s="2423" t="s">
        <v>1141</v>
      </c>
      <c r="B46" s="2424">
        <f t="shared" si="192"/>
        <v>276.29854502841971</v>
      </c>
      <c r="C46" s="2424">
        <f t="shared" si="192"/>
        <v>229.79023709833027</v>
      </c>
      <c r="D46" s="2424">
        <f t="shared" si="180"/>
        <v>229.79023709833027</v>
      </c>
      <c r="E46" s="2424">
        <f t="shared" si="193"/>
        <v>379.78759731655936</v>
      </c>
      <c r="F46" s="2424">
        <f t="shared" si="193"/>
        <v>211.32953905659235</v>
      </c>
      <c r="G46" s="3380">
        <v>2011</v>
      </c>
      <c r="H46" s="2425">
        <v>1</v>
      </c>
      <c r="I46" s="2425">
        <v>2.65</v>
      </c>
      <c r="J46" s="2425">
        <v>3.76</v>
      </c>
      <c r="K46" s="2425">
        <v>1.89</v>
      </c>
      <c r="L46" s="2431">
        <v>7.95</v>
      </c>
      <c r="N46" s="2442">
        <f t="shared" si="182"/>
        <v>2.6499999999999999E-2</v>
      </c>
      <c r="O46" s="2443">
        <f t="shared" si="182"/>
        <v>3.7599999999999995E-2</v>
      </c>
      <c r="P46" s="2443">
        <f t="shared" si="182"/>
        <v>1.89E-2</v>
      </c>
      <c r="Q46" s="2443">
        <f t="shared" si="182"/>
        <v>7.9500000000000001E-2</v>
      </c>
      <c r="R46" s="2427"/>
      <c r="S46" s="2442">
        <f>B46/B47-1</f>
        <v>2.713213765211786E-2</v>
      </c>
      <c r="T46" s="2443">
        <f>C46/C47-1</f>
        <v>3.9774828499231862E-2</v>
      </c>
      <c r="U46" s="2443">
        <f>E46/E47-1</f>
        <v>1.8197311840641772E-2</v>
      </c>
      <c r="V46" s="2443">
        <f>F46/F47-1</f>
        <v>7.8211933962205826E-2</v>
      </c>
      <c r="X46" s="2411"/>
      <c r="Y46" s="2411"/>
      <c r="Z46" s="2411"/>
    </row>
    <row r="47" spans="1:34" ht="13.5" thickBot="1">
      <c r="A47" s="2423" t="s">
        <v>1142</v>
      </c>
      <c r="B47" s="2438">
        <v>269</v>
      </c>
      <c r="C47" s="2438">
        <v>221</v>
      </c>
      <c r="D47" s="2438">
        <f t="shared" si="180"/>
        <v>221</v>
      </c>
      <c r="E47" s="2438">
        <v>373</v>
      </c>
      <c r="F47" s="2439">
        <v>196</v>
      </c>
      <c r="G47" s="3378">
        <v>2010</v>
      </c>
      <c r="H47" s="2444">
        <v>4</v>
      </c>
      <c r="I47" s="2444">
        <v>5.72</v>
      </c>
      <c r="J47" s="2444">
        <v>6.57</v>
      </c>
      <c r="K47" s="2444">
        <v>5.72</v>
      </c>
      <c r="L47" s="2445">
        <v>2.72</v>
      </c>
      <c r="N47" s="2426">
        <f t="shared" si="182"/>
        <v>5.7200000000000001E-2</v>
      </c>
      <c r="O47" s="2411">
        <f t="shared" si="182"/>
        <v>6.5700000000000008E-2</v>
      </c>
      <c r="P47" s="2411">
        <f t="shared" si="182"/>
        <v>5.7200000000000001E-2</v>
      </c>
      <c r="Q47" s="2411">
        <f t="shared" si="182"/>
        <v>2.7200000000000002E-2</v>
      </c>
      <c r="R47" s="2427"/>
      <c r="S47" s="2440"/>
      <c r="T47" s="2441"/>
      <c r="U47" s="2441"/>
      <c r="V47" s="2441"/>
      <c r="X47" s="2441"/>
      <c r="Y47" s="2441"/>
      <c r="Z47" s="2441"/>
    </row>
    <row r="48" spans="1:34">
      <c r="A48" s="2423" t="s">
        <v>1143</v>
      </c>
      <c r="B48" s="2424">
        <f t="shared" ref="B48:C50" si="194">B47/(1+N47)</f>
        <v>254.44570563753314</v>
      </c>
      <c r="C48" s="2424">
        <f t="shared" si="194"/>
        <v>207.37543398705074</v>
      </c>
      <c r="D48" s="2424">
        <f t="shared" si="180"/>
        <v>207.37543398705074</v>
      </c>
      <c r="E48" s="2424">
        <f t="shared" ref="E48:F50" si="195">E47/(1+P47)</f>
        <v>352.81876655315932</v>
      </c>
      <c r="F48" s="2424">
        <f t="shared" si="195"/>
        <v>190.809968847352</v>
      </c>
      <c r="G48" s="3379">
        <v>2010</v>
      </c>
      <c r="H48" s="2449">
        <v>3</v>
      </c>
      <c r="I48" s="2449">
        <v>4.7300000000000004</v>
      </c>
      <c r="J48" s="2449">
        <v>3.9</v>
      </c>
      <c r="K48" s="2449">
        <v>5.03</v>
      </c>
      <c r="L48" s="2450">
        <v>4.21</v>
      </c>
      <c r="N48" s="2426">
        <f t="shared" si="182"/>
        <v>4.7300000000000002E-2</v>
      </c>
      <c r="O48" s="2411">
        <f t="shared" si="182"/>
        <v>3.9E-2</v>
      </c>
      <c r="P48" s="2411">
        <f t="shared" si="182"/>
        <v>5.0300000000000004E-2</v>
      </c>
      <c r="Q48" s="2411">
        <f t="shared" si="182"/>
        <v>4.2099999999999999E-2</v>
      </c>
      <c r="R48" s="2427"/>
      <c r="S48" s="2426"/>
      <c r="T48" s="2411"/>
      <c r="U48" s="2411"/>
      <c r="V48" s="2411"/>
    </row>
    <row r="49" spans="1:26">
      <c r="A49" s="2423" t="s">
        <v>1144</v>
      </c>
      <c r="B49" s="2424">
        <f t="shared" si="194"/>
        <v>242.95398227588385</v>
      </c>
      <c r="C49" s="2424">
        <f t="shared" si="194"/>
        <v>199.59137053614126</v>
      </c>
      <c r="D49" s="2424">
        <f t="shared" si="180"/>
        <v>199.59137053614126</v>
      </c>
      <c r="E49" s="2424">
        <f t="shared" si="195"/>
        <v>335.92189522342125</v>
      </c>
      <c r="F49" s="2424">
        <f t="shared" si="195"/>
        <v>183.10139991109489</v>
      </c>
      <c r="G49" s="3379">
        <v>2010</v>
      </c>
      <c r="H49" s="2436">
        <v>2</v>
      </c>
      <c r="I49" s="2436">
        <v>4.6900000000000004</v>
      </c>
      <c r="J49" s="2436">
        <v>3.55</v>
      </c>
      <c r="K49" s="2436">
        <v>5.07</v>
      </c>
      <c r="L49" s="2437">
        <v>4.2300000000000004</v>
      </c>
      <c r="N49" s="2426">
        <f t="shared" si="182"/>
        <v>4.6900000000000004E-2</v>
      </c>
      <c r="O49" s="2411">
        <f t="shared" si="182"/>
        <v>3.5499999999999997E-2</v>
      </c>
      <c r="P49" s="2411">
        <f t="shared" si="182"/>
        <v>5.0700000000000002E-2</v>
      </c>
      <c r="Q49" s="2411">
        <f t="shared" si="182"/>
        <v>4.2300000000000004E-2</v>
      </c>
      <c r="R49" s="2427"/>
      <c r="S49" s="2426"/>
      <c r="T49" s="2411"/>
      <c r="U49" s="2411"/>
      <c r="V49" s="2411"/>
    </row>
    <row r="50" spans="1:26" ht="13.5" thickBot="1">
      <c r="A50" s="2423" t="s">
        <v>1145</v>
      </c>
      <c r="B50" s="2424">
        <f t="shared" si="194"/>
        <v>232.06990378821649</v>
      </c>
      <c r="C50" s="2424">
        <f t="shared" si="194"/>
        <v>192.74878854286936</v>
      </c>
      <c r="D50" s="2424">
        <f t="shared" si="180"/>
        <v>192.74878854286936</v>
      </c>
      <c r="E50" s="2424">
        <f t="shared" si="195"/>
        <v>319.71247284992984</v>
      </c>
      <c r="F50" s="2424">
        <f t="shared" si="195"/>
        <v>175.67053622862409</v>
      </c>
      <c r="G50" s="3380">
        <v>2010</v>
      </c>
      <c r="H50" s="2425">
        <v>1</v>
      </c>
      <c r="I50" s="2425">
        <v>5.4</v>
      </c>
      <c r="J50" s="2425">
        <v>3.2</v>
      </c>
      <c r="K50" s="2425">
        <v>6.16</v>
      </c>
      <c r="L50" s="2431">
        <v>4.51</v>
      </c>
      <c r="N50" s="2426">
        <f t="shared" si="182"/>
        <v>5.4000000000000006E-2</v>
      </c>
      <c r="O50" s="2411">
        <f t="shared" si="182"/>
        <v>3.2000000000000001E-2</v>
      </c>
      <c r="P50" s="2411">
        <f t="shared" si="182"/>
        <v>6.1600000000000002E-2</v>
      </c>
      <c r="Q50" s="2411">
        <f t="shared" si="182"/>
        <v>4.5100000000000001E-2</v>
      </c>
      <c r="R50" s="2427"/>
      <c r="S50" s="2442">
        <f>B50/B51-1</f>
        <v>5.4863199037347599E-2</v>
      </c>
      <c r="T50" s="2443">
        <f>C50/C51-1</f>
        <v>3.0742184721226584E-2</v>
      </c>
      <c r="U50" s="2443">
        <f>E50/E51-1</f>
        <v>6.2167683886810154E-2</v>
      </c>
      <c r="V50" s="2443">
        <f>F50/F51-1</f>
        <v>4.5657953741810031E-2</v>
      </c>
      <c r="X50" s="2411"/>
      <c r="Y50" s="2411"/>
      <c r="Z50" s="2411"/>
    </row>
    <row r="51" spans="1:26" ht="13.5" thickBot="1">
      <c r="A51" s="2423" t="s">
        <v>1146</v>
      </c>
      <c r="B51" s="2438">
        <v>220</v>
      </c>
      <c r="C51" s="2438">
        <v>187</v>
      </c>
      <c r="D51" s="2438">
        <f t="shared" si="180"/>
        <v>187</v>
      </c>
      <c r="E51" s="2438">
        <v>301</v>
      </c>
      <c r="F51" s="2439">
        <v>168</v>
      </c>
      <c r="G51" s="3378">
        <v>2009</v>
      </c>
      <c r="H51" s="2444">
        <v>4</v>
      </c>
      <c r="I51" s="2444">
        <v>2.2999999999999998</v>
      </c>
      <c r="J51" s="2444">
        <v>1.04</v>
      </c>
      <c r="K51" s="2444">
        <v>2.84</v>
      </c>
      <c r="L51" s="2445">
        <v>0.67</v>
      </c>
      <c r="N51" s="2446">
        <f t="shared" si="182"/>
        <v>2.3E-2</v>
      </c>
      <c r="O51" s="2447">
        <f t="shared" si="182"/>
        <v>1.04E-2</v>
      </c>
      <c r="P51" s="2447">
        <f t="shared" si="182"/>
        <v>2.8399999999999998E-2</v>
      </c>
      <c r="Q51" s="2447">
        <f t="shared" si="182"/>
        <v>6.7000000000000002E-3</v>
      </c>
      <c r="R51" s="2427"/>
      <c r="S51" s="2440"/>
      <c r="T51" s="2441"/>
      <c r="U51" s="2441"/>
      <c r="V51" s="2441"/>
      <c r="X51" s="2441"/>
      <c r="Y51" s="2441"/>
      <c r="Z51" s="2441"/>
    </row>
    <row r="52" spans="1:26">
      <c r="A52" s="2423" t="s">
        <v>1147</v>
      </c>
      <c r="B52" s="2424">
        <f t="shared" ref="B52:C54" si="196">B51/(1+N51)</f>
        <v>215.05376344086022</v>
      </c>
      <c r="C52" s="2424">
        <f t="shared" si="196"/>
        <v>185.0752177355503</v>
      </c>
      <c r="D52" s="2424">
        <f t="shared" si="180"/>
        <v>185.0752177355503</v>
      </c>
      <c r="E52" s="2424">
        <f t="shared" ref="E52:F54" si="197">E51/(1+P51)</f>
        <v>292.68767016725008</v>
      </c>
      <c r="F52" s="2424">
        <f t="shared" si="197"/>
        <v>166.88189132810174</v>
      </c>
      <c r="G52" s="3379">
        <v>2009</v>
      </c>
      <c r="H52" s="2449">
        <v>3</v>
      </c>
      <c r="I52" s="2449">
        <v>2.1</v>
      </c>
      <c r="J52" s="2449">
        <v>1.86</v>
      </c>
      <c r="K52" s="2449">
        <v>2.29</v>
      </c>
      <c r="L52" s="2450">
        <v>0.85</v>
      </c>
      <c r="N52" s="2426">
        <f t="shared" si="182"/>
        <v>2.1000000000000001E-2</v>
      </c>
      <c r="O52" s="2451">
        <f t="shared" si="182"/>
        <v>1.8600000000000002E-2</v>
      </c>
      <c r="P52" s="2451">
        <f t="shared" si="182"/>
        <v>2.29E-2</v>
      </c>
      <c r="Q52" s="2451">
        <f t="shared" si="182"/>
        <v>8.5000000000000006E-3</v>
      </c>
      <c r="R52" s="2427"/>
      <c r="S52" s="2426"/>
      <c r="T52" s="2411"/>
      <c r="U52" s="2411"/>
      <c r="V52" s="2411"/>
    </row>
    <row r="53" spans="1:26">
      <c r="A53" s="2423" t="s">
        <v>1148</v>
      </c>
      <c r="B53" s="2424">
        <f t="shared" si="196"/>
        <v>210.630522469011</v>
      </c>
      <c r="C53" s="2424">
        <f t="shared" si="196"/>
        <v>181.69567812247232</v>
      </c>
      <c r="D53" s="2424">
        <f t="shared" si="180"/>
        <v>181.69567812247232</v>
      </c>
      <c r="E53" s="2424">
        <f t="shared" si="197"/>
        <v>286.13517466736738</v>
      </c>
      <c r="F53" s="2424">
        <f t="shared" si="197"/>
        <v>165.47535084591149</v>
      </c>
      <c r="G53" s="3379">
        <v>2009</v>
      </c>
      <c r="H53" s="2436">
        <v>2</v>
      </c>
      <c r="I53" s="2436">
        <v>0.86</v>
      </c>
      <c r="J53" s="2436">
        <v>-1.1299999999999999</v>
      </c>
      <c r="K53" s="2436">
        <v>1.79</v>
      </c>
      <c r="L53" s="2437">
        <v>-2.0699999999999998</v>
      </c>
      <c r="N53" s="2426">
        <f t="shared" si="182"/>
        <v>8.6E-3</v>
      </c>
      <c r="O53" s="2451">
        <f t="shared" si="182"/>
        <v>-1.1299999999999999E-2</v>
      </c>
      <c r="P53" s="2451">
        <f t="shared" si="182"/>
        <v>1.7899999999999999E-2</v>
      </c>
      <c r="Q53" s="2451">
        <f t="shared" si="182"/>
        <v>-2.07E-2</v>
      </c>
      <c r="R53" s="2427"/>
      <c r="S53" s="2426"/>
      <c r="T53" s="2411"/>
      <c r="U53" s="2411"/>
      <c r="V53" s="2411"/>
    </row>
    <row r="54" spans="1:26">
      <c r="A54" s="2423" t="s">
        <v>1149</v>
      </c>
      <c r="B54" s="2424">
        <f t="shared" si="196"/>
        <v>208.83454537875372</v>
      </c>
      <c r="C54" s="2424">
        <f t="shared" si="196"/>
        <v>183.77230517090351</v>
      </c>
      <c r="D54" s="2424">
        <f t="shared" si="180"/>
        <v>183.77230517090351</v>
      </c>
      <c r="E54" s="2424">
        <f t="shared" si="197"/>
        <v>281.10342338870947</v>
      </c>
      <c r="F54" s="2424">
        <f t="shared" si="197"/>
        <v>168.97309388942256</v>
      </c>
      <c r="G54" s="3380">
        <v>2009</v>
      </c>
      <c r="H54" s="2425">
        <v>1</v>
      </c>
      <c r="I54" s="2425">
        <v>-2.64</v>
      </c>
      <c r="J54" s="2425">
        <v>-2.5299999999999998</v>
      </c>
      <c r="K54" s="2425">
        <v>-3.02</v>
      </c>
      <c r="L54" s="2431">
        <v>1.52</v>
      </c>
      <c r="N54" s="2442">
        <f t="shared" si="182"/>
        <v>-2.64E-2</v>
      </c>
      <c r="O54" s="2443">
        <f t="shared" si="182"/>
        <v>-2.53E-2</v>
      </c>
      <c r="P54" s="2443">
        <f t="shared" si="182"/>
        <v>-3.0200000000000001E-2</v>
      </c>
      <c r="Q54" s="2443">
        <f t="shared" si="182"/>
        <v>1.52E-2</v>
      </c>
      <c r="R54" s="2427"/>
      <c r="S54" s="2442">
        <f>B54/B55-1</f>
        <v>-2.4137638417038754E-2</v>
      </c>
      <c r="T54" s="2443">
        <f>C54/C55-1</f>
        <v>-2.248773845264096E-2</v>
      </c>
      <c r="U54" s="2443">
        <f>E54/E55-1</f>
        <v>-2.7323794502735366E-2</v>
      </c>
      <c r="V54" s="2443">
        <f>F54/F55-1</f>
        <v>1.7910204153148035E-2</v>
      </c>
      <c r="X54" s="2411"/>
      <c r="Y54" s="2411"/>
      <c r="Z54" s="2411"/>
    </row>
    <row r="55" spans="1:26" ht="13.5" thickBot="1">
      <c r="A55" s="2423" t="s">
        <v>1150</v>
      </c>
      <c r="B55" s="2473">
        <v>214</v>
      </c>
      <c r="C55" s="2473">
        <v>188</v>
      </c>
      <c r="D55" s="2473">
        <f t="shared" si="180"/>
        <v>188</v>
      </c>
      <c r="E55" s="2473">
        <v>289</v>
      </c>
      <c r="F55" s="2474">
        <v>166</v>
      </c>
      <c r="G55" s="3378">
        <v>2008</v>
      </c>
      <c r="H55" s="2444">
        <v>4</v>
      </c>
      <c r="I55" s="2444">
        <v>1.73</v>
      </c>
      <c r="J55" s="2444">
        <v>0.03</v>
      </c>
      <c r="K55" s="2444">
        <v>2.59</v>
      </c>
      <c r="L55" s="2445">
        <v>-1.66</v>
      </c>
      <c r="N55" s="2426">
        <f t="shared" si="182"/>
        <v>1.7299999999999999E-2</v>
      </c>
      <c r="O55" s="2411">
        <f t="shared" si="182"/>
        <v>2.9999999999999997E-4</v>
      </c>
      <c r="P55" s="2411">
        <f t="shared" si="182"/>
        <v>2.5899999999999999E-2</v>
      </c>
      <c r="Q55" s="2411">
        <f t="shared" si="182"/>
        <v>-1.66E-2</v>
      </c>
      <c r="R55" s="2427"/>
      <c r="S55" s="2440"/>
      <c r="T55" s="2441"/>
      <c r="U55" s="2441"/>
      <c r="V55" s="2441"/>
      <c r="X55" s="2441"/>
      <c r="Y55" s="2441"/>
      <c r="Z55" s="2441"/>
    </row>
    <row r="56" spans="1:26">
      <c r="A56" s="2423" t="s">
        <v>1151</v>
      </c>
      <c r="B56" s="2424">
        <f t="shared" ref="B56:C58" si="198">B55/(1+N55)</f>
        <v>210.36075887152265</v>
      </c>
      <c r="C56" s="2424">
        <f t="shared" si="198"/>
        <v>187.94361691492554</v>
      </c>
      <c r="D56" s="2424">
        <f t="shared" si="180"/>
        <v>187.94361691492554</v>
      </c>
      <c r="E56" s="2424">
        <f t="shared" ref="E56:F58" si="199">E55/(1+P55)</f>
        <v>281.70386977288234</v>
      </c>
      <c r="F56" s="2424">
        <f t="shared" si="199"/>
        <v>168.80211511083994</v>
      </c>
      <c r="G56" s="3379">
        <v>2008</v>
      </c>
      <c r="H56" s="2449">
        <v>3</v>
      </c>
      <c r="I56" s="2449">
        <v>1.96</v>
      </c>
      <c r="J56" s="2449">
        <v>2.36</v>
      </c>
      <c r="K56" s="2449">
        <v>1.82</v>
      </c>
      <c r="L56" s="2450">
        <v>2.2200000000000002</v>
      </c>
      <c r="N56" s="2426">
        <f t="shared" si="182"/>
        <v>1.9599999999999999E-2</v>
      </c>
      <c r="O56" s="2411">
        <f t="shared" si="182"/>
        <v>2.3599999999999999E-2</v>
      </c>
      <c r="P56" s="2411">
        <f t="shared" si="182"/>
        <v>1.8200000000000001E-2</v>
      </c>
      <c r="Q56" s="2411">
        <f t="shared" si="182"/>
        <v>2.2200000000000001E-2</v>
      </c>
      <c r="R56" s="2427"/>
      <c r="S56" s="2426"/>
      <c r="T56" s="2411"/>
      <c r="U56" s="2411"/>
      <c r="V56" s="2411"/>
    </row>
    <row r="57" spans="1:26">
      <c r="A57" s="2423" t="s">
        <v>1152</v>
      </c>
      <c r="B57" s="2424">
        <f t="shared" si="198"/>
        <v>206.31694671589116</v>
      </c>
      <c r="C57" s="2424">
        <f t="shared" si="198"/>
        <v>183.61041121036101</v>
      </c>
      <c r="D57" s="2424">
        <f t="shared" si="180"/>
        <v>183.61041121036101</v>
      </c>
      <c r="E57" s="2424">
        <f t="shared" si="199"/>
        <v>276.66850301795557</v>
      </c>
      <c r="F57" s="2424">
        <f t="shared" si="199"/>
        <v>165.1360938278614</v>
      </c>
      <c r="G57" s="3379">
        <v>2008</v>
      </c>
      <c r="H57" s="2436">
        <v>2</v>
      </c>
      <c r="I57" s="2436">
        <v>4.93</v>
      </c>
      <c r="J57" s="2436">
        <v>7.38</v>
      </c>
      <c r="K57" s="2436">
        <v>3.98</v>
      </c>
      <c r="L57" s="2437">
        <v>6.86</v>
      </c>
      <c r="N57" s="2426">
        <f t="shared" si="182"/>
        <v>4.9299999999999997E-2</v>
      </c>
      <c r="O57" s="2411">
        <f t="shared" si="182"/>
        <v>7.3800000000000004E-2</v>
      </c>
      <c r="P57" s="2411">
        <f t="shared" si="182"/>
        <v>3.9800000000000002E-2</v>
      </c>
      <c r="Q57" s="2411">
        <f t="shared" si="182"/>
        <v>6.8600000000000008E-2</v>
      </c>
      <c r="R57" s="2427"/>
      <c r="S57" s="2426"/>
      <c r="T57" s="2411"/>
      <c r="U57" s="2411"/>
      <c r="V57" s="2411"/>
    </row>
    <row r="58" spans="1:26" s="2479" customFormat="1" ht="13.5" thickBot="1">
      <c r="A58" s="2423" t="s">
        <v>1153</v>
      </c>
      <c r="B58" s="2476">
        <f t="shared" si="198"/>
        <v>196.62341248059772</v>
      </c>
      <c r="C58" s="2476">
        <f t="shared" si="198"/>
        <v>170.99125648199012</v>
      </c>
      <c r="D58" s="2476">
        <f t="shared" si="180"/>
        <v>170.99125648199012</v>
      </c>
      <c r="E58" s="2476">
        <f t="shared" si="199"/>
        <v>266.07857570490052</v>
      </c>
      <c r="F58" s="2476">
        <f t="shared" si="199"/>
        <v>154.53499328828505</v>
      </c>
      <c r="G58" s="3380">
        <v>2008</v>
      </c>
      <c r="H58" s="2477">
        <v>1</v>
      </c>
      <c r="I58" s="2477">
        <v>4.1399999999999997</v>
      </c>
      <c r="J58" s="2477">
        <v>3.45</v>
      </c>
      <c r="K58" s="2477">
        <v>4.95</v>
      </c>
      <c r="L58" s="2478">
        <v>4.82</v>
      </c>
      <c r="N58" s="2480">
        <f t="shared" si="182"/>
        <v>4.1399999999999999E-2</v>
      </c>
      <c r="O58" s="2481">
        <f t="shared" si="182"/>
        <v>3.4500000000000003E-2</v>
      </c>
      <c r="P58" s="2481">
        <f t="shared" si="182"/>
        <v>4.9500000000000002E-2</v>
      </c>
      <c r="Q58" s="2481">
        <f t="shared" si="182"/>
        <v>4.82E-2</v>
      </c>
      <c r="R58" s="2482"/>
      <c r="S58" s="2480">
        <f>B58/B59-1</f>
        <v>4.5869215322328349E-2</v>
      </c>
      <c r="T58" s="2481">
        <f>C58/C59-1</f>
        <v>3.6310645345394743E-2</v>
      </c>
      <c r="U58" s="2481">
        <f>E58/E59-1</f>
        <v>4.7553447657088688E-2</v>
      </c>
      <c r="V58" s="2481">
        <f>F58/F59-1</f>
        <v>4.4155360055980086E-2</v>
      </c>
      <c r="X58" s="2481"/>
      <c r="Y58" s="2481"/>
      <c r="Z58" s="2481"/>
    </row>
    <row r="59" spans="1:26" ht="13.5" thickBot="1">
      <c r="A59" s="2423" t="s">
        <v>1154</v>
      </c>
      <c r="B59" s="2438">
        <v>188</v>
      </c>
      <c r="C59" s="2438">
        <v>165</v>
      </c>
      <c r="D59" s="2438">
        <f t="shared" si="180"/>
        <v>165</v>
      </c>
      <c r="E59" s="2438">
        <v>254</v>
      </c>
      <c r="F59" s="2439">
        <v>148</v>
      </c>
      <c r="G59" s="3378">
        <v>2007</v>
      </c>
      <c r="H59" s="2483">
        <v>4</v>
      </c>
      <c r="I59" s="2483">
        <v>5.51</v>
      </c>
      <c r="J59" s="2483">
        <v>4.8899999999999997</v>
      </c>
      <c r="K59" s="2483">
        <v>6.43</v>
      </c>
      <c r="L59" s="2484">
        <v>5.36</v>
      </c>
      <c r="N59" s="2485">
        <f t="shared" ref="N59:O62" si="200">B59/B60-1</f>
        <v>4.1339718365245526E-2</v>
      </c>
      <c r="O59" s="2486">
        <f t="shared" si="200"/>
        <v>4.0324492593776018E-2</v>
      </c>
      <c r="P59" s="2486">
        <f t="shared" ref="P59:Q62" si="201">E59/E60-1</f>
        <v>6.1625555347990968E-2</v>
      </c>
      <c r="Q59" s="2486">
        <f t="shared" si="201"/>
        <v>4.6757569250590603E-2</v>
      </c>
      <c r="R59" s="2427"/>
      <c r="S59" s="2440"/>
      <c r="T59" s="2441"/>
      <c r="U59" s="2441"/>
      <c r="V59" s="2441"/>
      <c r="X59" s="2441"/>
      <c r="Y59" s="2441"/>
      <c r="Z59" s="2441"/>
    </row>
    <row r="60" spans="1:26">
      <c r="A60" s="2423" t="s">
        <v>1155</v>
      </c>
      <c r="B60" s="2424">
        <f t="shared" ref="B60:C62" si="202">B61+(B$59-B$63)*I60/SUM(I$59:I$62)</f>
        <v>180.5366651097618</v>
      </c>
      <c r="C60" s="2424">
        <f t="shared" si="202"/>
        <v>158.60435967302453</v>
      </c>
      <c r="D60" s="2424">
        <f t="shared" si="180"/>
        <v>158.60435967302453</v>
      </c>
      <c r="E60" s="2424">
        <f t="shared" ref="E60:F62" si="203">E61+(E$59-E$63)*K60/SUM(K$59:K$62)</f>
        <v>239.25573260785075</v>
      </c>
      <c r="F60" s="2424">
        <f t="shared" si="203"/>
        <v>141.38899430740037</v>
      </c>
      <c r="G60" s="3379">
        <v>2007</v>
      </c>
      <c r="H60" s="2449">
        <v>3</v>
      </c>
      <c r="I60" s="2449">
        <v>8.65</v>
      </c>
      <c r="J60" s="2449">
        <v>8.06</v>
      </c>
      <c r="K60" s="2449">
        <v>9.94</v>
      </c>
      <c r="L60" s="2450">
        <v>5.8</v>
      </c>
      <c r="N60" s="2485">
        <f t="shared" si="200"/>
        <v>6.940217571740015E-2</v>
      </c>
      <c r="O60" s="2486">
        <f t="shared" si="200"/>
        <v>7.1197482471153428E-2</v>
      </c>
      <c r="P60" s="2486">
        <f t="shared" si="201"/>
        <v>0.10529679922579582</v>
      </c>
      <c r="Q60" s="2486">
        <f t="shared" si="201"/>
        <v>5.3292245059512133E-2</v>
      </c>
      <c r="R60" s="2427"/>
      <c r="S60" s="2426"/>
      <c r="T60" s="2411"/>
      <c r="U60" s="2411"/>
      <c r="V60" s="2411"/>
      <c r="X60" s="2487"/>
      <c r="Y60" s="2487"/>
      <c r="Z60" s="2487"/>
    </row>
    <row r="61" spans="1:26">
      <c r="A61" s="2423" t="s">
        <v>1156</v>
      </c>
      <c r="B61" s="2424">
        <f t="shared" si="202"/>
        <v>168.82017748715555</v>
      </c>
      <c r="C61" s="2424">
        <f t="shared" si="202"/>
        <v>148.06267029972753</v>
      </c>
      <c r="D61" s="2424">
        <f t="shared" si="180"/>
        <v>148.06267029972753</v>
      </c>
      <c r="E61" s="2424">
        <f t="shared" si="203"/>
        <v>216.46288379323747</v>
      </c>
      <c r="F61" s="2424">
        <f t="shared" si="203"/>
        <v>134.23529411764704</v>
      </c>
      <c r="G61" s="3379">
        <v>2007</v>
      </c>
      <c r="H61" s="2436">
        <v>2</v>
      </c>
      <c r="I61" s="2436">
        <v>3.67</v>
      </c>
      <c r="J61" s="2436">
        <v>2.3199999999999998</v>
      </c>
      <c r="K61" s="2436">
        <v>5.0199999999999996</v>
      </c>
      <c r="L61" s="2437">
        <v>6.71</v>
      </c>
      <c r="N61" s="2485">
        <f t="shared" si="200"/>
        <v>3.0339138143848032E-2</v>
      </c>
      <c r="O61" s="2486">
        <f t="shared" si="200"/>
        <v>2.0922341588790472E-2</v>
      </c>
      <c r="P61" s="2486">
        <f t="shared" si="201"/>
        <v>5.6164796592717003E-2</v>
      </c>
      <c r="Q61" s="2486">
        <f t="shared" si="201"/>
        <v>6.5704536723887319E-2</v>
      </c>
      <c r="R61" s="2427"/>
      <c r="S61" s="2426"/>
      <c r="T61" s="2411"/>
      <c r="U61" s="2411"/>
      <c r="V61" s="2411"/>
      <c r="X61" s="2487"/>
      <c r="Y61" s="2487"/>
      <c r="Z61" s="2487"/>
    </row>
    <row r="62" spans="1:26">
      <c r="A62" s="2423" t="s">
        <v>1157</v>
      </c>
      <c r="B62" s="2424">
        <f t="shared" si="202"/>
        <v>163.84913591779542</v>
      </c>
      <c r="C62" s="2424">
        <f t="shared" si="202"/>
        <v>145.0283378746594</v>
      </c>
      <c r="D62" s="2424">
        <f t="shared" si="180"/>
        <v>145.0283378746594</v>
      </c>
      <c r="E62" s="2424">
        <f t="shared" si="203"/>
        <v>204.95180722891567</v>
      </c>
      <c r="F62" s="2424">
        <f t="shared" si="203"/>
        <v>125.95920303605313</v>
      </c>
      <c r="G62" s="3380">
        <v>2007</v>
      </c>
      <c r="H62" s="2425">
        <v>1</v>
      </c>
      <c r="I62" s="2425">
        <v>3.58</v>
      </c>
      <c r="J62" s="2425">
        <v>3.08</v>
      </c>
      <c r="K62" s="2425">
        <v>4.34</v>
      </c>
      <c r="L62" s="2431">
        <v>3.21</v>
      </c>
      <c r="N62" s="2488">
        <f t="shared" si="200"/>
        <v>3.0497710174814063E-2</v>
      </c>
      <c r="O62" s="2489">
        <f t="shared" si="200"/>
        <v>2.8569772160704998E-2</v>
      </c>
      <c r="P62" s="2489">
        <f t="shared" si="201"/>
        <v>5.1034908866234296E-2</v>
      </c>
      <c r="Q62" s="2489">
        <f t="shared" si="201"/>
        <v>3.245248390207478E-2</v>
      </c>
      <c r="R62" s="2427"/>
      <c r="S62" s="2442">
        <f>B62/B63-1</f>
        <v>3.0497710174814063E-2</v>
      </c>
      <c r="T62" s="2443">
        <f>C62/C63-1</f>
        <v>2.8569772160704998E-2</v>
      </c>
      <c r="U62" s="2443">
        <f>E62/E63-1</f>
        <v>5.1034908866234296E-2</v>
      </c>
      <c r="V62" s="2443">
        <f>F62/F63-1</f>
        <v>3.245248390207478E-2</v>
      </c>
      <c r="X62" s="2487"/>
      <c r="Y62" s="2487"/>
      <c r="Z62" s="2487"/>
    </row>
    <row r="63" spans="1:26" ht="13.5" thickBot="1">
      <c r="A63" s="2423" t="s">
        <v>1158</v>
      </c>
      <c r="B63" s="2452">
        <v>159</v>
      </c>
      <c r="C63" s="2452">
        <v>141</v>
      </c>
      <c r="D63" s="2452">
        <f t="shared" si="180"/>
        <v>141</v>
      </c>
      <c r="E63" s="2452">
        <v>195</v>
      </c>
      <c r="F63" s="2453">
        <v>122</v>
      </c>
      <c r="G63" s="3378">
        <v>2006</v>
      </c>
      <c r="H63" s="2444">
        <v>4</v>
      </c>
      <c r="I63" s="2444">
        <v>3.79</v>
      </c>
      <c r="J63" s="2444">
        <v>2.21</v>
      </c>
      <c r="K63" s="2444">
        <v>5.65</v>
      </c>
      <c r="L63" s="2445">
        <v>5.41</v>
      </c>
      <c r="N63" s="2485">
        <f t="shared" ref="N63:O66" si="204">I63/SUM(I$63:I$66)*(B$63/B$67-1)</f>
        <v>7.245466462748526E-2</v>
      </c>
      <c r="O63" s="2486">
        <f t="shared" si="204"/>
        <v>2.3237230038062766E-2</v>
      </c>
      <c r="P63" s="2486">
        <f t="shared" ref="P63:Q66" si="205">K63/SUM(K$63:K$66)*(E$63/E$67-1)</f>
        <v>0.16146893866323722</v>
      </c>
      <c r="Q63" s="2486">
        <f t="shared" si="205"/>
        <v>5.0755230321793784E-2</v>
      </c>
      <c r="R63" s="2427"/>
      <c r="S63" s="2440"/>
      <c r="T63" s="2441"/>
      <c r="U63" s="2441"/>
      <c r="V63" s="2441"/>
      <c r="X63" s="2487"/>
      <c r="Y63" s="2487"/>
      <c r="Z63" s="2487"/>
    </row>
    <row r="64" spans="1:26">
      <c r="A64" s="2423" t="s">
        <v>1159</v>
      </c>
      <c r="B64" s="2424">
        <f t="shared" ref="B64:C66" si="206">B65+(B$63-B$67)*I64/SUM(I$63:I$66)</f>
        <v>149.00125628140702</v>
      </c>
      <c r="C64" s="2424">
        <f t="shared" si="206"/>
        <v>137.95592286501378</v>
      </c>
      <c r="D64" s="2424">
        <f t="shared" si="180"/>
        <v>137.95592286501378</v>
      </c>
      <c r="E64" s="2424">
        <f t="shared" ref="E64:F66" si="207">E65+(E$63-E$67)*K64/SUM(K$63:K$66)</f>
        <v>169.97231450719823</v>
      </c>
      <c r="F64" s="2424">
        <f t="shared" si="207"/>
        <v>116.21390374331551</v>
      </c>
      <c r="G64" s="3379">
        <v>2006</v>
      </c>
      <c r="H64" s="2449">
        <v>3</v>
      </c>
      <c r="I64" s="2449">
        <v>0.92</v>
      </c>
      <c r="J64" s="2449">
        <v>1.08</v>
      </c>
      <c r="K64" s="2449">
        <v>0.73</v>
      </c>
      <c r="L64" s="2450">
        <v>1.08</v>
      </c>
      <c r="N64" s="2485">
        <f t="shared" si="204"/>
        <v>1.7587939698492462E-2</v>
      </c>
      <c r="O64" s="2486">
        <f t="shared" si="204"/>
        <v>1.1355750425840628E-2</v>
      </c>
      <c r="P64" s="2486">
        <f t="shared" si="205"/>
        <v>2.0862358446754544E-2</v>
      </c>
      <c r="Q64" s="2486">
        <f t="shared" si="205"/>
        <v>1.0132282578103011E-2</v>
      </c>
      <c r="R64" s="2427"/>
      <c r="S64" s="2426"/>
      <c r="T64" s="2411"/>
      <c r="U64" s="2411"/>
      <c r="V64" s="2411"/>
      <c r="X64" s="2487"/>
      <c r="Y64" s="2487"/>
      <c r="Z64" s="2487"/>
    </row>
    <row r="65" spans="1:26">
      <c r="A65" s="2423" t="s">
        <v>1160</v>
      </c>
      <c r="B65" s="2424">
        <f t="shared" si="206"/>
        <v>146.57412060301507</v>
      </c>
      <c r="C65" s="2424">
        <f t="shared" si="206"/>
        <v>136.46831955922866</v>
      </c>
      <c r="D65" s="2424">
        <f t="shared" si="180"/>
        <v>136.46831955922866</v>
      </c>
      <c r="E65" s="2424">
        <f t="shared" si="207"/>
        <v>166.73864894795128</v>
      </c>
      <c r="F65" s="2424">
        <f t="shared" si="207"/>
        <v>115.05882352941177</v>
      </c>
      <c r="G65" s="3379">
        <v>2006</v>
      </c>
      <c r="H65" s="2436">
        <v>2</v>
      </c>
      <c r="I65" s="2436">
        <v>0.96</v>
      </c>
      <c r="J65" s="2436">
        <v>0.25</v>
      </c>
      <c r="K65" s="2436">
        <v>1.9</v>
      </c>
      <c r="L65" s="2437">
        <v>0.95</v>
      </c>
      <c r="N65" s="2485">
        <f t="shared" si="204"/>
        <v>1.8352632728861701E-2</v>
      </c>
      <c r="O65" s="2486">
        <f t="shared" si="204"/>
        <v>2.6286459319075526E-3</v>
      </c>
      <c r="P65" s="2486">
        <f t="shared" si="205"/>
        <v>5.4299289107991269E-2</v>
      </c>
      <c r="Q65" s="2486">
        <f t="shared" si="205"/>
        <v>8.9126559714794995E-3</v>
      </c>
      <c r="R65" s="2427"/>
      <c r="S65" s="2426"/>
      <c r="T65" s="2411"/>
      <c r="U65" s="2411"/>
      <c r="V65" s="2411"/>
      <c r="X65" s="2487"/>
      <c r="Y65" s="2487"/>
      <c r="Z65" s="2487"/>
    </row>
    <row r="66" spans="1:26">
      <c r="A66" s="2423" t="s">
        <v>1161</v>
      </c>
      <c r="B66" s="2424">
        <f t="shared" si="206"/>
        <v>144.04145728643215</v>
      </c>
      <c r="C66" s="2424">
        <f t="shared" si="206"/>
        <v>136.12396694214877</v>
      </c>
      <c r="D66" s="2424">
        <f t="shared" si="180"/>
        <v>136.12396694214877</v>
      </c>
      <c r="E66" s="2424">
        <f t="shared" si="207"/>
        <v>158.32225913621264</v>
      </c>
      <c r="F66" s="2424">
        <f t="shared" si="207"/>
        <v>114.04278074866311</v>
      </c>
      <c r="G66" s="3380">
        <v>2006</v>
      </c>
      <c r="H66" s="2425">
        <v>1</v>
      </c>
      <c r="I66" s="2425">
        <v>2.29</v>
      </c>
      <c r="J66" s="2425">
        <v>3.72</v>
      </c>
      <c r="K66" s="2425">
        <v>0.75</v>
      </c>
      <c r="L66" s="2431">
        <v>0.04</v>
      </c>
      <c r="N66" s="2488">
        <f t="shared" si="204"/>
        <v>4.3778675988638847E-2</v>
      </c>
      <c r="O66" s="2489">
        <f t="shared" si="204"/>
        <v>3.9114251466784385E-2</v>
      </c>
      <c r="P66" s="2489">
        <f t="shared" si="205"/>
        <v>2.1433929911049188E-2</v>
      </c>
      <c r="Q66" s="2489">
        <f t="shared" si="205"/>
        <v>3.7526972511492629E-4</v>
      </c>
      <c r="R66" s="2427"/>
      <c r="S66" s="2442">
        <f>B66/B67-1</f>
        <v>4.3778675988638716E-2</v>
      </c>
      <c r="T66" s="2443">
        <f>C66/C67-1</f>
        <v>3.91142514667846E-2</v>
      </c>
      <c r="U66" s="2443">
        <f>E66/E67-1</f>
        <v>2.143392991104931E-2</v>
      </c>
      <c r="V66" s="2443">
        <f>F66/F67-1</f>
        <v>3.7526972511492396E-4</v>
      </c>
      <c r="X66" s="2487"/>
      <c r="Y66" s="2487"/>
      <c r="Z66" s="2487"/>
    </row>
    <row r="67" spans="1:26" ht="13.5" thickBot="1">
      <c r="A67" s="2423" t="s">
        <v>1162</v>
      </c>
      <c r="B67" s="2452">
        <v>138</v>
      </c>
      <c r="C67" s="2452">
        <v>131</v>
      </c>
      <c r="D67" s="2452">
        <f t="shared" si="180"/>
        <v>131</v>
      </c>
      <c r="E67" s="2452">
        <v>155</v>
      </c>
      <c r="F67" s="2453">
        <v>114</v>
      </c>
      <c r="G67" s="3378">
        <v>2005</v>
      </c>
      <c r="H67" s="2444">
        <v>4</v>
      </c>
      <c r="I67" s="2444">
        <v>3.29</v>
      </c>
      <c r="J67" s="2444">
        <v>1.44</v>
      </c>
      <c r="K67" s="2444">
        <v>0.66</v>
      </c>
      <c r="L67" s="2445">
        <v>7.78</v>
      </c>
      <c r="N67" s="2485">
        <f t="shared" ref="N67:O70" si="208">I67/SUM(I$67:I$70)*(B$67/B$71-1)</f>
        <v>9.9404603216919935E-2</v>
      </c>
      <c r="O67" s="2486">
        <f t="shared" si="208"/>
        <v>4.7636550760861554E-2</v>
      </c>
      <c r="P67" s="2486">
        <f t="shared" ref="P67:Q70" si="209">K67/SUM(K$67:K$70)*(E$67/E$71-1)</f>
        <v>8.3756345177664976E-2</v>
      </c>
      <c r="Q67" s="2486">
        <f t="shared" si="209"/>
        <v>5.2148766661559584E-2</v>
      </c>
      <c r="R67" s="2427"/>
      <c r="S67" s="2440"/>
      <c r="T67" s="2441"/>
      <c r="U67" s="2441"/>
      <c r="V67" s="2441"/>
      <c r="X67" s="2487"/>
      <c r="Y67" s="2487"/>
      <c r="Z67" s="2487"/>
    </row>
    <row r="68" spans="1:26">
      <c r="A68" s="2423" t="s">
        <v>1163</v>
      </c>
      <c r="B68" s="2424">
        <f t="shared" ref="B68:C70" si="210">B69+(B$67-B$71)*I68/SUM(I$67:I$70)</f>
        <v>125.9720430107527</v>
      </c>
      <c r="C68" s="2424">
        <f t="shared" si="210"/>
        <v>125.1883408071749</v>
      </c>
      <c r="D68" s="2424">
        <f t="shared" si="180"/>
        <v>125.1883408071749</v>
      </c>
      <c r="E68" s="2424">
        <f t="shared" ref="E68:F70" si="211">E69+(E$67-E$71)*K68/SUM(K$67:K$70)</f>
        <v>144.61421319796952</v>
      </c>
      <c r="F68" s="2424">
        <f t="shared" si="211"/>
        <v>108.42008196721311</v>
      </c>
      <c r="G68" s="3379">
        <v>2005</v>
      </c>
      <c r="H68" s="2449">
        <v>3</v>
      </c>
      <c r="I68" s="2449">
        <v>0.46</v>
      </c>
      <c r="J68" s="2449">
        <v>0.32</v>
      </c>
      <c r="K68" s="2449">
        <v>0.42</v>
      </c>
      <c r="L68" s="2450">
        <v>0.64</v>
      </c>
      <c r="N68" s="2485">
        <f t="shared" si="208"/>
        <v>1.3898515951301874E-2</v>
      </c>
      <c r="O68" s="2486">
        <f t="shared" si="208"/>
        <v>1.0585900169080346E-2</v>
      </c>
      <c r="P68" s="2486">
        <f t="shared" si="209"/>
        <v>5.3299492385786795E-2</v>
      </c>
      <c r="Q68" s="2486">
        <f t="shared" si="209"/>
        <v>4.2898728359123568E-3</v>
      </c>
      <c r="R68" s="2427"/>
      <c r="S68" s="2426"/>
      <c r="T68" s="2411"/>
      <c r="U68" s="2411"/>
      <c r="V68" s="2411"/>
      <c r="X68" s="2487"/>
      <c r="Y68" s="2487"/>
      <c r="Z68" s="2487"/>
    </row>
    <row r="69" spans="1:26">
      <c r="A69" s="2423" t="s">
        <v>1164</v>
      </c>
      <c r="B69" s="2424">
        <f t="shared" si="210"/>
        <v>124.29032258064517</v>
      </c>
      <c r="C69" s="2424">
        <f t="shared" si="210"/>
        <v>123.8968609865471</v>
      </c>
      <c r="D69" s="2424">
        <f t="shared" si="180"/>
        <v>123.8968609865471</v>
      </c>
      <c r="E69" s="2424">
        <f t="shared" si="211"/>
        <v>138.00507614213197</v>
      </c>
      <c r="F69" s="2424">
        <f t="shared" si="211"/>
        <v>107.96106557377048</v>
      </c>
      <c r="G69" s="3379">
        <v>2005</v>
      </c>
      <c r="H69" s="2436">
        <v>2</v>
      </c>
      <c r="I69" s="2436">
        <v>0.47</v>
      </c>
      <c r="J69" s="2436">
        <v>0.1</v>
      </c>
      <c r="K69" s="2436">
        <v>0.52</v>
      </c>
      <c r="L69" s="2437">
        <v>0.79</v>
      </c>
      <c r="N69" s="2485">
        <f t="shared" si="208"/>
        <v>1.420065760241713E-2</v>
      </c>
      <c r="O69" s="2486">
        <f t="shared" si="208"/>
        <v>3.3080938028376083E-3</v>
      </c>
      <c r="P69" s="2486">
        <f t="shared" si="209"/>
        <v>6.598984771573603E-2</v>
      </c>
      <c r="Q69" s="2486">
        <f t="shared" si="209"/>
        <v>5.2953117818293153E-3</v>
      </c>
      <c r="R69" s="2427"/>
      <c r="S69" s="2426"/>
      <c r="T69" s="2411"/>
      <c r="U69" s="2411"/>
      <c r="V69" s="2411"/>
      <c r="X69" s="2487"/>
      <c r="Y69" s="2487"/>
      <c r="Z69" s="2487"/>
    </row>
    <row r="70" spans="1:26">
      <c r="A70" s="2423" t="s">
        <v>1165</v>
      </c>
      <c r="B70" s="2424">
        <f t="shared" si="210"/>
        <v>122.57204301075269</v>
      </c>
      <c r="C70" s="2424">
        <f t="shared" si="210"/>
        <v>123.4932735426009</v>
      </c>
      <c r="D70" s="2424">
        <f t="shared" si="180"/>
        <v>123.4932735426009</v>
      </c>
      <c r="E70" s="2424">
        <f t="shared" si="211"/>
        <v>129.82233502538071</v>
      </c>
      <c r="F70" s="2424">
        <f t="shared" si="211"/>
        <v>107.39446721311475</v>
      </c>
      <c r="G70" s="3380">
        <v>2005</v>
      </c>
      <c r="H70" s="2425">
        <v>1</v>
      </c>
      <c r="I70" s="2425">
        <v>0.43</v>
      </c>
      <c r="J70" s="2425">
        <v>0.37</v>
      </c>
      <c r="K70" s="2425">
        <v>0.37</v>
      </c>
      <c r="L70" s="2431">
        <v>0.55000000000000004</v>
      </c>
      <c r="N70" s="2488">
        <f t="shared" si="208"/>
        <v>1.2992090997956099E-2</v>
      </c>
      <c r="O70" s="2489">
        <f t="shared" si="208"/>
        <v>1.2239947070499151E-2</v>
      </c>
      <c r="P70" s="2489">
        <f t="shared" si="209"/>
        <v>4.6954314720812178E-2</v>
      </c>
      <c r="Q70" s="2489">
        <f t="shared" si="209"/>
        <v>3.6866094683621815E-3</v>
      </c>
      <c r="R70" s="2427"/>
      <c r="S70" s="2442">
        <f>B70/B71-1</f>
        <v>1.2992090997956174E-2</v>
      </c>
      <c r="T70" s="2443">
        <f>C70/C71-1</f>
        <v>1.2239947070499246E-2</v>
      </c>
      <c r="U70" s="2443">
        <f>E70/E71-1</f>
        <v>4.695431472081224E-2</v>
      </c>
      <c r="V70" s="2443">
        <f>F70/F71-1</f>
        <v>3.6866094683620787E-3</v>
      </c>
      <c r="X70" s="2487"/>
      <c r="Y70" s="2487"/>
      <c r="Z70" s="2487"/>
    </row>
    <row r="71" spans="1:26" ht="13.5" thickBot="1">
      <c r="A71" s="2423" t="s">
        <v>1166</v>
      </c>
      <c r="B71" s="2473">
        <v>121</v>
      </c>
      <c r="C71" s="2473">
        <v>122</v>
      </c>
      <c r="D71" s="2473">
        <f t="shared" si="180"/>
        <v>122</v>
      </c>
      <c r="E71" s="2473">
        <v>124</v>
      </c>
      <c r="F71" s="2474">
        <v>107</v>
      </c>
      <c r="G71" s="3378">
        <v>2004</v>
      </c>
      <c r="H71" s="2444">
        <v>4</v>
      </c>
      <c r="I71" s="2444">
        <v>0.33</v>
      </c>
      <c r="J71" s="2444">
        <v>0.5</v>
      </c>
      <c r="K71" s="2444">
        <v>0.5</v>
      </c>
      <c r="L71" s="2445">
        <v>0</v>
      </c>
      <c r="N71" s="2485">
        <f t="shared" ref="N71:O74" si="212">I71/SUM(I$71:I$74)*(B$71/B$75-1)</f>
        <v>1.3391770148526898E-2</v>
      </c>
      <c r="O71" s="2486">
        <f t="shared" si="212"/>
        <v>1.063264221158958E-2</v>
      </c>
      <c r="P71" s="2486">
        <f t="shared" ref="P71:Q74" si="213">K71/SUM(K$71:K$74)*(E$71/E$75-1)</f>
        <v>2.2244466688911134E-2</v>
      </c>
      <c r="Q71" s="2486">
        <f t="shared" si="213"/>
        <v>0</v>
      </c>
      <c r="R71" s="2427"/>
      <c r="S71" s="2440"/>
      <c r="T71" s="2441"/>
      <c r="U71" s="2441"/>
      <c r="V71" s="2441"/>
      <c r="X71" s="2487"/>
      <c r="Y71" s="2487"/>
      <c r="Z71" s="2487"/>
    </row>
    <row r="72" spans="1:26">
      <c r="A72" s="2423" t="s">
        <v>1167</v>
      </c>
      <c r="B72" s="2424">
        <f t="shared" ref="B72:C74" si="214">B73+(B$71-B$75)*I72/SUM(I$71:I$74)</f>
        <v>119.51351351351352</v>
      </c>
      <c r="C72" s="2424">
        <f t="shared" si="214"/>
        <v>120.7878787878788</v>
      </c>
      <c r="D72" s="2424">
        <f t="shared" si="180"/>
        <v>120.7878787878788</v>
      </c>
      <c r="E72" s="2424">
        <f t="shared" ref="E72:F74" si="215">E73+(E$71-E$75)*K72/SUM(K$71:K$74)</f>
        <v>121.5975975975976</v>
      </c>
      <c r="F72" s="2424">
        <f t="shared" si="215"/>
        <v>107</v>
      </c>
      <c r="G72" s="3379">
        <v>2004</v>
      </c>
      <c r="H72" s="2449">
        <v>3</v>
      </c>
      <c r="I72" s="2449">
        <v>0.56000000000000005</v>
      </c>
      <c r="J72" s="2449">
        <v>0.8</v>
      </c>
      <c r="K72" s="2449">
        <v>0.83</v>
      </c>
      <c r="L72" s="2450">
        <v>0.06</v>
      </c>
      <c r="N72" s="2485">
        <f t="shared" si="212"/>
        <v>2.2725428130833527E-2</v>
      </c>
      <c r="O72" s="2486">
        <f t="shared" si="212"/>
        <v>1.7012227538543329E-2</v>
      </c>
      <c r="P72" s="2486">
        <f t="shared" si="213"/>
        <v>3.6925814703592477E-2</v>
      </c>
      <c r="Q72" s="2486">
        <f t="shared" si="213"/>
        <v>2.8846153846153744E-2</v>
      </c>
      <c r="R72" s="2427"/>
      <c r="S72" s="2426"/>
      <c r="T72" s="2411"/>
      <c r="U72" s="2411"/>
      <c r="V72" s="2411"/>
      <c r="X72" s="2487"/>
      <c r="Y72" s="2487"/>
      <c r="Z72" s="2487"/>
    </row>
    <row r="73" spans="1:26">
      <c r="A73" s="2423" t="s">
        <v>1168</v>
      </c>
      <c r="B73" s="2424">
        <f t="shared" si="214"/>
        <v>116.99099099099099</v>
      </c>
      <c r="C73" s="2424">
        <f t="shared" si="214"/>
        <v>118.84848484848486</v>
      </c>
      <c r="D73" s="2424">
        <f t="shared" si="180"/>
        <v>118.84848484848486</v>
      </c>
      <c r="E73" s="2424">
        <f t="shared" si="215"/>
        <v>117.60960960960961</v>
      </c>
      <c r="F73" s="2424">
        <f t="shared" si="215"/>
        <v>104</v>
      </c>
      <c r="G73" s="3379">
        <v>2004</v>
      </c>
      <c r="H73" s="2436">
        <v>2</v>
      </c>
      <c r="I73" s="2436">
        <v>1</v>
      </c>
      <c r="J73" s="2436">
        <v>1.5</v>
      </c>
      <c r="K73" s="2436">
        <v>1.5</v>
      </c>
      <c r="L73" s="2437">
        <v>0</v>
      </c>
      <c r="N73" s="2485">
        <f t="shared" si="212"/>
        <v>4.0581121662202721E-2</v>
      </c>
      <c r="O73" s="2486">
        <f t="shared" si="212"/>
        <v>3.1897926634768738E-2</v>
      </c>
      <c r="P73" s="2486">
        <f t="shared" si="213"/>
        <v>6.6733400066733395E-2</v>
      </c>
      <c r="Q73" s="2486">
        <f t="shared" si="213"/>
        <v>0</v>
      </c>
      <c r="R73" s="2427"/>
      <c r="S73" s="2426"/>
      <c r="T73" s="2411"/>
      <c r="U73" s="2411"/>
      <c r="V73" s="2411"/>
      <c r="X73" s="2487"/>
      <c r="Y73" s="2487"/>
      <c r="Z73" s="2487"/>
    </row>
    <row r="74" spans="1:26" s="2479" customFormat="1" ht="13.5" thickBot="1">
      <c r="A74" s="2423" t="s">
        <v>1169</v>
      </c>
      <c r="B74" s="2476">
        <f t="shared" si="214"/>
        <v>112.48648648648648</v>
      </c>
      <c r="C74" s="2476">
        <f t="shared" si="214"/>
        <v>115.21212121212122</v>
      </c>
      <c r="D74" s="2476">
        <f t="shared" si="180"/>
        <v>115.21212121212122</v>
      </c>
      <c r="E74" s="2476">
        <f t="shared" si="215"/>
        <v>110.4024024024024</v>
      </c>
      <c r="F74" s="2476">
        <f t="shared" si="215"/>
        <v>104</v>
      </c>
      <c r="G74" s="3380">
        <v>2004</v>
      </c>
      <c r="H74" s="2477">
        <v>1</v>
      </c>
      <c r="I74" s="2477">
        <v>0.33</v>
      </c>
      <c r="J74" s="2477">
        <v>0.5</v>
      </c>
      <c r="K74" s="2477">
        <v>0.5</v>
      </c>
      <c r="L74" s="2478">
        <v>0</v>
      </c>
      <c r="N74" s="2490">
        <f t="shared" si="212"/>
        <v>1.3391770148526898E-2</v>
      </c>
      <c r="O74" s="2491">
        <f t="shared" si="212"/>
        <v>1.063264221158958E-2</v>
      </c>
      <c r="P74" s="2491">
        <f t="shared" si="213"/>
        <v>2.2244466688911134E-2</v>
      </c>
      <c r="Q74" s="2491">
        <f t="shared" si="213"/>
        <v>0</v>
      </c>
      <c r="R74" s="2482"/>
      <c r="S74" s="2480">
        <f>B74/B75-1</f>
        <v>1.3391770148526883E-2</v>
      </c>
      <c r="T74" s="2481">
        <f>C74/C75-1</f>
        <v>1.063264221158966E-2</v>
      </c>
      <c r="U74" s="2481">
        <f>E74/E75-1</f>
        <v>2.2244466688911224E-2</v>
      </c>
      <c r="V74" s="2481">
        <f>F74/F75-1</f>
        <v>0</v>
      </c>
      <c r="X74" s="2492"/>
      <c r="Y74" s="2492"/>
      <c r="Z74" s="2492"/>
    </row>
    <row r="75" spans="1:26" ht="13.5" thickBot="1">
      <c r="A75" s="2423" t="s">
        <v>1170</v>
      </c>
      <c r="B75" s="2493">
        <v>111</v>
      </c>
      <c r="C75" s="2493">
        <v>114</v>
      </c>
      <c r="D75" s="2493">
        <f t="shared" si="180"/>
        <v>114</v>
      </c>
      <c r="E75" s="2493">
        <v>108</v>
      </c>
      <c r="F75" s="2494">
        <v>104</v>
      </c>
      <c r="G75" s="3378">
        <v>2003</v>
      </c>
      <c r="H75" s="2483">
        <v>4</v>
      </c>
      <c r="I75" s="2495"/>
      <c r="J75" s="2495"/>
      <c r="K75" s="2495"/>
      <c r="L75" s="2495"/>
      <c r="N75" s="2496"/>
      <c r="O75" s="2495"/>
      <c r="P75" s="2495"/>
      <c r="Q75" s="2495"/>
      <c r="S75" s="2496"/>
      <c r="T75" s="2495"/>
      <c r="U75" s="2495"/>
      <c r="V75" s="2495"/>
      <c r="X75" s="2487"/>
      <c r="Y75" s="2487"/>
      <c r="Z75" s="2487"/>
    </row>
    <row r="76" spans="1:26">
      <c r="A76" s="2423" t="s">
        <v>1171</v>
      </c>
      <c r="B76" s="2497">
        <f t="shared" ref="B76:C78" si="216">B77+(B$75-B$79)/4</f>
        <v>109.75</v>
      </c>
      <c r="C76" s="2497">
        <f t="shared" si="216"/>
        <v>112.25</v>
      </c>
      <c r="D76" s="2497">
        <f t="shared" si="180"/>
        <v>112.25</v>
      </c>
      <c r="E76" s="2497">
        <f t="shared" ref="E76:F78" si="217">E77+(E$75-E$79)/4</f>
        <v>107.25</v>
      </c>
      <c r="F76" s="2497">
        <f t="shared" si="217"/>
        <v>103.5</v>
      </c>
      <c r="G76" s="3379">
        <v>2003</v>
      </c>
      <c r="H76" s="2449">
        <v>3</v>
      </c>
      <c r="I76" s="2495"/>
      <c r="J76" s="2495"/>
      <c r="K76" s="2495"/>
      <c r="L76" s="2495"/>
      <c r="X76" s="2487"/>
      <c r="Y76" s="2487"/>
      <c r="Z76" s="2487"/>
    </row>
    <row r="77" spans="1:26">
      <c r="A77" s="2423" t="s">
        <v>1172</v>
      </c>
      <c r="B77" s="2497">
        <f t="shared" si="216"/>
        <v>108.5</v>
      </c>
      <c r="C77" s="2497">
        <f t="shared" si="216"/>
        <v>110.5</v>
      </c>
      <c r="D77" s="2497">
        <f t="shared" si="180"/>
        <v>110.5</v>
      </c>
      <c r="E77" s="2497">
        <f t="shared" si="217"/>
        <v>106.5</v>
      </c>
      <c r="F77" s="2497">
        <f t="shared" si="217"/>
        <v>103</v>
      </c>
      <c r="G77" s="3379">
        <v>2003</v>
      </c>
      <c r="H77" s="2436">
        <v>2</v>
      </c>
      <c r="I77" s="2495"/>
      <c r="J77" s="2495"/>
      <c r="K77" s="2495"/>
      <c r="L77" s="2495"/>
      <c r="X77" s="2487"/>
      <c r="Y77" s="2487"/>
      <c r="Z77" s="2487"/>
    </row>
    <row r="78" spans="1:26" ht="13.5" thickBot="1">
      <c r="A78" s="2423" t="s">
        <v>1173</v>
      </c>
      <c r="B78" s="2497">
        <f t="shared" si="216"/>
        <v>107.25</v>
      </c>
      <c r="C78" s="2497">
        <f t="shared" si="216"/>
        <v>108.75</v>
      </c>
      <c r="D78" s="2497">
        <f t="shared" si="180"/>
        <v>108.75</v>
      </c>
      <c r="E78" s="2497">
        <f t="shared" si="217"/>
        <v>105.75</v>
      </c>
      <c r="F78" s="2497">
        <f t="shared" si="217"/>
        <v>102.5</v>
      </c>
      <c r="G78" s="3380">
        <v>2003</v>
      </c>
      <c r="H78" s="2498">
        <v>1</v>
      </c>
      <c r="I78" s="2495"/>
      <c r="J78" s="2495"/>
      <c r="K78" s="2495"/>
      <c r="L78" s="2495"/>
      <c r="S78" s="2426"/>
      <c r="T78" s="2411"/>
      <c r="U78" s="2411"/>
      <c r="X78" s="2487"/>
      <c r="Y78" s="2487"/>
      <c r="Z78" s="2487"/>
    </row>
    <row r="79" spans="1:26" ht="13.5" thickBot="1">
      <c r="A79" s="2423" t="s">
        <v>1174</v>
      </c>
      <c r="B79" s="2499">
        <v>106</v>
      </c>
      <c r="C79" s="2499">
        <v>107</v>
      </c>
      <c r="D79" s="2499">
        <f t="shared" si="180"/>
        <v>107</v>
      </c>
      <c r="E79" s="2499">
        <v>105</v>
      </c>
      <c r="F79" s="2500">
        <v>102</v>
      </c>
      <c r="G79" s="3378">
        <v>2002</v>
      </c>
      <c r="H79" s="2444">
        <v>4</v>
      </c>
      <c r="I79" s="2495"/>
      <c r="J79" s="2495"/>
      <c r="K79" s="2495"/>
      <c r="L79" s="2495"/>
      <c r="N79" s="2496"/>
      <c r="O79" s="2495"/>
      <c r="P79" s="2495"/>
      <c r="Q79" s="2495"/>
      <c r="S79" s="2496"/>
      <c r="T79" s="2495"/>
      <c r="U79" s="2495"/>
      <c r="V79" s="2495"/>
      <c r="X79" s="2487"/>
      <c r="Y79" s="2487"/>
      <c r="Z79" s="2487"/>
    </row>
    <row r="80" spans="1:26">
      <c r="A80" s="2423" t="s">
        <v>1175</v>
      </c>
      <c r="B80" s="2497">
        <f t="shared" ref="B80:C82" si="218">B81+(B$79-B$83)/4</f>
        <v>105</v>
      </c>
      <c r="C80" s="2497">
        <f t="shared" si="218"/>
        <v>106</v>
      </c>
      <c r="D80" s="2497">
        <f t="shared" si="180"/>
        <v>106</v>
      </c>
      <c r="E80" s="2497">
        <f t="shared" ref="E80:F82" si="219">E81+(E$79-E$83)/4</f>
        <v>104.5</v>
      </c>
      <c r="F80" s="2497">
        <f t="shared" si="219"/>
        <v>101.5</v>
      </c>
      <c r="G80" s="3379">
        <v>2002</v>
      </c>
      <c r="H80" s="2449">
        <v>3</v>
      </c>
      <c r="I80" s="2495"/>
      <c r="J80" s="2495"/>
      <c r="K80" s="2495"/>
      <c r="L80" s="2495"/>
      <c r="X80" s="2487"/>
      <c r="Y80" s="2487"/>
      <c r="Z80" s="2487"/>
    </row>
    <row r="81" spans="1:26">
      <c r="A81" s="2423" t="s">
        <v>1176</v>
      </c>
      <c r="B81" s="2497">
        <f t="shared" si="218"/>
        <v>104</v>
      </c>
      <c r="C81" s="2497">
        <f t="shared" si="218"/>
        <v>105</v>
      </c>
      <c r="D81" s="2497">
        <f t="shared" si="180"/>
        <v>105</v>
      </c>
      <c r="E81" s="2497">
        <f t="shared" si="219"/>
        <v>104</v>
      </c>
      <c r="F81" s="2497">
        <f t="shared" si="219"/>
        <v>101</v>
      </c>
      <c r="G81" s="3379">
        <v>2002</v>
      </c>
      <c r="H81" s="2436">
        <v>2</v>
      </c>
      <c r="I81" s="2495"/>
      <c r="J81" s="2495"/>
      <c r="K81" s="2495"/>
      <c r="L81" s="2495"/>
      <c r="X81" s="2487"/>
      <c r="Y81" s="2487"/>
      <c r="Z81" s="2487"/>
    </row>
    <row r="82" spans="1:26" s="2460" customFormat="1" ht="13.5" thickBot="1">
      <c r="A82" s="2456" t="s">
        <v>1177</v>
      </c>
      <c r="B82" s="2463">
        <f t="shared" si="218"/>
        <v>103</v>
      </c>
      <c r="C82" s="2463">
        <f t="shared" si="218"/>
        <v>104</v>
      </c>
      <c r="D82" s="2463">
        <f t="shared" si="180"/>
        <v>104</v>
      </c>
      <c r="E82" s="2463">
        <f t="shared" si="219"/>
        <v>103.5</v>
      </c>
      <c r="F82" s="2463">
        <f t="shared" si="219"/>
        <v>100.5</v>
      </c>
      <c r="G82" s="3380">
        <v>2002</v>
      </c>
      <c r="H82" s="2501">
        <v>1</v>
      </c>
      <c r="I82" s="2502"/>
      <c r="J82" s="2502"/>
      <c r="K82" s="2502"/>
      <c r="L82" s="2502"/>
      <c r="N82" s="2503"/>
      <c r="S82" s="2503"/>
      <c r="X82" s="2504"/>
      <c r="Y82" s="2504"/>
      <c r="Z82" s="2504"/>
    </row>
    <row r="83" spans="1:26" ht="13.5" thickBot="1">
      <c r="B83" s="2505">
        <v>102</v>
      </c>
      <c r="C83" s="2506">
        <v>103</v>
      </c>
      <c r="D83" s="2506">
        <f t="shared" si="180"/>
        <v>103</v>
      </c>
      <c r="E83" s="2506">
        <v>103</v>
      </c>
      <c r="F83" s="2507">
        <v>100</v>
      </c>
      <c r="I83" s="2495"/>
      <c r="J83" s="2495"/>
      <c r="K83" s="2495"/>
      <c r="L83" s="2495"/>
      <c r="N83" s="2496"/>
      <c r="O83" s="2495"/>
      <c r="P83" s="2495"/>
      <c r="Q83" s="2495"/>
      <c r="S83" s="2496"/>
      <c r="T83" s="2495"/>
      <c r="U83" s="2495"/>
      <c r="V83" s="2495"/>
      <c r="X83" s="2441"/>
      <c r="Y83" s="2441"/>
      <c r="Z83" s="2441"/>
    </row>
    <row r="85" spans="1:26" s="2509" customFormat="1">
      <c r="A85" s="2508" t="s">
        <v>1178</v>
      </c>
      <c r="G85" s="2510"/>
      <c r="N85" s="2510"/>
      <c r="S85" s="2510"/>
    </row>
    <row r="86" spans="1:26" s="2509" customFormat="1">
      <c r="A86" s="2509" t="s">
        <v>1179</v>
      </c>
      <c r="G86" s="2510"/>
      <c r="N86" s="2510"/>
      <c r="S86" s="2510"/>
    </row>
    <row r="87" spans="1:26" s="2509" customFormat="1">
      <c r="A87" s="2509" t="s">
        <v>1180</v>
      </c>
      <c r="G87" s="2510"/>
      <c r="I87" s="2511"/>
      <c r="J87" s="2511"/>
      <c r="K87" s="2511"/>
      <c r="L87" s="2511"/>
      <c r="N87" s="2512"/>
      <c r="O87" s="2511"/>
      <c r="P87" s="2511"/>
      <c r="Q87" s="2511"/>
      <c r="S87" s="2512"/>
      <c r="T87" s="2511"/>
      <c r="U87" s="2511"/>
      <c r="V87" s="2511"/>
    </row>
    <row r="88" spans="1:26" s="2509" customFormat="1">
      <c r="A88" s="2509" t="s">
        <v>1181</v>
      </c>
      <c r="G88" s="2510"/>
      <c r="N88" s="2510"/>
      <c r="S88" s="2510"/>
    </row>
    <row r="95" spans="1:26" ht="13.5" thickBot="1"/>
    <row r="96" spans="1:26">
      <c r="G96" s="2410"/>
      <c r="S96" s="2513" t="s">
        <v>1182</v>
      </c>
      <c r="T96" s="2514" t="s">
        <v>1183</v>
      </c>
      <c r="U96" s="2514" t="s">
        <v>1184</v>
      </c>
      <c r="V96" s="2514" t="s">
        <v>1185</v>
      </c>
    </row>
    <row r="97" spans="7:22">
      <c r="G97" s="2410"/>
      <c r="N97" s="2440"/>
      <c r="O97" s="2441"/>
      <c r="P97" s="2441"/>
      <c r="Q97" s="2441"/>
      <c r="S97" s="2515">
        <v>2006</v>
      </c>
      <c r="T97" s="2516">
        <v>15.1</v>
      </c>
      <c r="U97" s="2516">
        <v>7.43</v>
      </c>
      <c r="V97" s="2516">
        <v>26.26</v>
      </c>
    </row>
    <row r="98" spans="7:22">
      <c r="G98" s="2410"/>
      <c r="N98" s="2440"/>
      <c r="O98" s="2441"/>
      <c r="P98" s="2441"/>
      <c r="Q98" s="2441"/>
      <c r="S98" s="2517">
        <v>2005</v>
      </c>
      <c r="T98" s="2518">
        <v>13.9</v>
      </c>
      <c r="U98" s="2518">
        <v>7.49</v>
      </c>
      <c r="V98" s="2518">
        <v>24.92</v>
      </c>
    </row>
    <row r="99" spans="7:22">
      <c r="G99" s="2410"/>
      <c r="N99" s="2440"/>
      <c r="O99" s="2441"/>
      <c r="P99" s="2441"/>
      <c r="Q99" s="2441"/>
      <c r="S99" s="2515">
        <v>2004</v>
      </c>
      <c r="T99" s="2516">
        <v>9.48</v>
      </c>
      <c r="U99" s="2516">
        <v>7.2</v>
      </c>
      <c r="V99" s="2516">
        <v>14.68</v>
      </c>
    </row>
    <row r="100" spans="7:22">
      <c r="G100" s="2410"/>
      <c r="N100" s="2440"/>
      <c r="O100" s="2441"/>
      <c r="P100" s="2441"/>
      <c r="Q100" s="2441"/>
      <c r="S100" s="2517">
        <v>2003</v>
      </c>
      <c r="T100" s="2518">
        <v>4.5</v>
      </c>
      <c r="U100" s="2518">
        <v>6.12</v>
      </c>
      <c r="V100" s="2518">
        <v>2.34</v>
      </c>
    </row>
    <row r="101" spans="7:22" ht="13.5" thickBot="1">
      <c r="G101" s="2410"/>
      <c r="N101" s="2440"/>
      <c r="O101" s="2441"/>
      <c r="P101" s="2441"/>
      <c r="Q101" s="2441"/>
      <c r="S101" s="2519">
        <v>2002</v>
      </c>
      <c r="T101" s="2520">
        <v>3.59</v>
      </c>
      <c r="U101" s="2520">
        <v>4.54</v>
      </c>
      <c r="V101" s="2520">
        <v>2.5499999999999998</v>
      </c>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E21" sqref="E21"/>
      <selection pane="bottomLeft" activeCell="E21" sqref="E21"/>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392" t="s">
        <v>2825</v>
      </c>
      <c r="D1" s="3393"/>
      <c r="E1" s="3393"/>
      <c r="F1" s="3393"/>
      <c r="G1" s="3393"/>
      <c r="H1" s="3393"/>
      <c r="I1" s="3393"/>
      <c r="J1" s="3393"/>
      <c r="K1" s="3393"/>
      <c r="L1" s="3393"/>
      <c r="M1" s="3393"/>
      <c r="N1" s="3393"/>
      <c r="O1" s="3393"/>
      <c r="P1" s="3393"/>
      <c r="Q1" s="3393"/>
      <c r="R1" s="3393"/>
      <c r="S1" s="3394"/>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2828</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2829</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2830</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4"/>
      <c r="F19" s="1524"/>
      <c r="G19" s="1524"/>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389" t="s">
        <v>33</v>
      </c>
      <c r="D22" s="3390"/>
      <c r="E22" s="3390"/>
      <c r="F22" s="3390"/>
      <c r="G22" s="3390"/>
      <c r="H22" s="3390"/>
      <c r="I22" s="3390"/>
      <c r="J22" s="3390"/>
      <c r="K22" s="3390"/>
      <c r="L22" s="3390"/>
      <c r="M22" s="3390"/>
      <c r="N22" s="3390"/>
      <c r="O22" s="3390"/>
      <c r="P22" s="3390"/>
      <c r="Q22" s="3391"/>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1">
        <v>1</v>
      </c>
      <c r="D24" s="3042"/>
      <c r="E24" s="3041">
        <v>1</v>
      </c>
      <c r="F24" s="3042"/>
      <c r="G24" s="3041">
        <v>1</v>
      </c>
      <c r="H24" s="3042"/>
      <c r="I24" s="3041">
        <v>1</v>
      </c>
      <c r="J24" s="3042"/>
      <c r="K24" s="3041">
        <v>1</v>
      </c>
      <c r="L24" s="3042"/>
      <c r="M24" s="3041">
        <v>1</v>
      </c>
      <c r="N24" s="3042"/>
      <c r="O24" s="3041">
        <v>1</v>
      </c>
      <c r="P24" s="3042"/>
      <c r="Q24" s="304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5"/>
      <c r="C2" s="3065"/>
      <c r="D2" s="3065"/>
      <c r="E2" s="3065"/>
    </row>
    <row r="3" spans="1:5" ht="18">
      <c r="A3" s="3066" t="str">
        <f>IF(项目基本情况!B9="房地产市场价值","估价结果一览表（市场价值不需“结果表-1”）","估价结果一览表")</f>
        <v>估价结果一览表</v>
      </c>
      <c r="B3" s="3066"/>
      <c r="C3" s="3066"/>
      <c r="D3" s="3066"/>
      <c r="E3" s="3066"/>
    </row>
    <row r="4" spans="1:5" ht="19.5" thickBot="1">
      <c r="A4" s="1678"/>
      <c r="B4" s="3064" t="s">
        <v>1595</v>
      </c>
      <c r="C4" s="3064"/>
      <c r="D4" s="3064"/>
      <c r="E4" s="1678"/>
    </row>
    <row r="5" spans="1:5" ht="16.5" thickTop="1">
      <c r="A5" s="1676"/>
      <c r="B5" s="3062" t="s">
        <v>1587</v>
      </c>
      <c r="C5" s="1679" t="s">
        <v>1588</v>
      </c>
      <c r="D5" s="959" t="e">
        <f ca="1">结果表!H101</f>
        <v>#REF!</v>
      </c>
      <c r="E5" s="1676"/>
    </row>
    <row r="6" spans="1:5" ht="15.75">
      <c r="A6" s="1676"/>
      <c r="B6" s="3062"/>
      <c r="C6" s="1679" t="s">
        <v>1589</v>
      </c>
      <c r="D6" s="959" t="e">
        <f ca="1">NUMBERSTRING(INT(D5*10000),2)&amp;"元整"</f>
        <v>#REF!</v>
      </c>
      <c r="E6" s="1676"/>
    </row>
    <row r="7" spans="1:5" ht="15.75">
      <c r="A7" s="1676"/>
      <c r="B7" s="3067"/>
      <c r="C7" s="1680" t="s">
        <v>1590</v>
      </c>
      <c r="D7" s="960" t="e">
        <f ca="1">结果表!H102</f>
        <v>#REF!</v>
      </c>
      <c r="E7" s="1676"/>
    </row>
    <row r="8" spans="1:5" ht="15.75">
      <c r="A8" s="1676"/>
      <c r="B8" s="3068" t="str">
        <f>结果表!E103</f>
        <v>2.估价师知悉的法定优先受偿款</v>
      </c>
      <c r="C8" s="1681" t="s">
        <v>1591</v>
      </c>
      <c r="D8" s="960">
        <f>结果表!H103</f>
        <v>0</v>
      </c>
      <c r="E8" s="1676"/>
    </row>
    <row r="9" spans="1:5" ht="15.75">
      <c r="A9" s="1676"/>
      <c r="B9" s="3070"/>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61" t="str">
        <f>结果表!E107</f>
        <v>3.房地产抵押价值</v>
      </c>
      <c r="C13" s="1684" t="s">
        <v>1588</v>
      </c>
      <c r="D13" s="962" t="e">
        <f ca="1">结果表!H107</f>
        <v>#REF!</v>
      </c>
      <c r="E13" s="1676"/>
    </row>
    <row r="14" spans="1:5" ht="15.75">
      <c r="A14" s="1676"/>
      <c r="B14" s="3062"/>
      <c r="C14" s="1679" t="s">
        <v>1589</v>
      </c>
      <c r="D14" s="959" t="e">
        <f ca="1">NUMBERSTRING(INT(D13*10000),2)&amp;"元整"</f>
        <v>#REF!</v>
      </c>
      <c r="E14" s="1676"/>
    </row>
    <row r="15" spans="1:5" ht="15">
      <c r="A15" s="1676"/>
      <c r="B15" s="3067"/>
      <c r="C15" s="1680" t="s">
        <v>1599</v>
      </c>
      <c r="D15" s="968" t="e">
        <f ca="1">结果表!H108</f>
        <v>#REF!</v>
      </c>
      <c r="E15" s="1676"/>
    </row>
    <row r="16" spans="1:5" ht="15">
      <c r="A16" s="1676"/>
      <c r="B16" s="3068" t="str">
        <f>结果表!E109</f>
        <v>——</v>
      </c>
      <c r="C16" s="1684" t="s">
        <v>1600</v>
      </c>
      <c r="D16" s="1685" t="str">
        <f>结果表!H109</f>
        <v>——</v>
      </c>
      <c r="E16" s="1676"/>
    </row>
    <row r="17" spans="1:5" ht="15.75">
      <c r="A17" s="1676"/>
      <c r="B17" s="3069"/>
      <c r="C17" s="1679" t="s">
        <v>1601</v>
      </c>
      <c r="D17" s="959" t="e">
        <f>NUMBERSTRING(INT(D16*10000),2)&amp;"元整"</f>
        <v>#VALUE!</v>
      </c>
      <c r="E17" s="1676"/>
    </row>
    <row r="18" spans="1:5" ht="15">
      <c r="A18" s="1676"/>
      <c r="B18" s="3070"/>
      <c r="C18" s="1680" t="s">
        <v>1590</v>
      </c>
      <c r="D18" s="968" t="str">
        <f>结果表!H110</f>
        <v>——</v>
      </c>
      <c r="E18" s="1676"/>
    </row>
    <row r="19" spans="1:5" ht="15.75">
      <c r="A19" s="1676"/>
      <c r="B19" s="3061" t="str">
        <f>结果表!E111</f>
        <v>——</v>
      </c>
      <c r="C19" s="1684" t="s">
        <v>1588</v>
      </c>
      <c r="D19" s="960" t="str">
        <f>结果表!H111</f>
        <v>——</v>
      </c>
      <c r="E19" s="1676"/>
    </row>
    <row r="20" spans="1:5" ht="15.75">
      <c r="A20" s="1676"/>
      <c r="B20" s="3062"/>
      <c r="C20" s="1679" t="s">
        <v>1601</v>
      </c>
      <c r="D20" s="959" t="e">
        <f>NUMBERSTRING(INT(D19*10000),2)&amp;"元整"</f>
        <v>#VALUE!</v>
      </c>
      <c r="E20" s="1676"/>
    </row>
    <row r="21" spans="1:5" ht="15.75" thickBot="1">
      <c r="A21" s="1676"/>
      <c r="B21" s="3063"/>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37843</v>
      </c>
      <c r="C2" s="2" t="s">
        <v>133</v>
      </c>
      <c r="D2" s="205"/>
      <c r="E2" s="205"/>
      <c r="F2" s="205"/>
      <c r="G2" s="205"/>
    </row>
    <row r="3" spans="1:7" s="206" customFormat="1" ht="18" customHeight="1" thickBot="1">
      <c r="A3" s="209" t="s">
        <v>85</v>
      </c>
      <c r="B3" s="210">
        <f ca="1">ROUND(B2*10000/'数据-汇总表'!E3,0)</f>
        <v>11800</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0</v>
      </c>
      <c r="D10" s="954">
        <f>'数据-汇总表'!E6</f>
        <v>32069.72</v>
      </c>
      <c r="E10" s="231">
        <f>'数据-取费表'!B28</f>
        <v>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641</v>
      </c>
      <c r="D19" s="958">
        <f>'数据-汇总表'!E3</f>
        <v>32069.72</v>
      </c>
      <c r="E19" s="217">
        <f>'数据-取费表'!B31</f>
        <v>200</v>
      </c>
      <c r="F19" s="237"/>
      <c r="G19" s="1" t="s">
        <v>1042</v>
      </c>
    </row>
    <row r="20" spans="1:7" s="220" customFormat="1" ht="13.5" customHeight="1">
      <c r="A20" s="885" t="s">
        <v>1025</v>
      </c>
      <c r="B20" s="216" t="s">
        <v>104</v>
      </c>
      <c r="C20" s="238">
        <f>ROUND((C5+C19)*F20,0)</f>
        <v>531</v>
      </c>
      <c r="D20" s="238"/>
      <c r="E20" s="238"/>
      <c r="F20" s="239">
        <f>'数据-取费表'!B37</f>
        <v>2.5000000000000001E-2</v>
      </c>
      <c r="G20" s="1199" t="s">
        <v>1036</v>
      </c>
    </row>
    <row r="21" spans="1:7" s="220" customFormat="1" ht="13.5" customHeight="1">
      <c r="A21" s="885" t="s">
        <v>1027</v>
      </c>
      <c r="B21" s="216" t="s">
        <v>105</v>
      </c>
      <c r="C21" s="241">
        <f>F21</f>
        <v>2.5000000000000001E-2</v>
      </c>
      <c r="D21" s="242" t="s">
        <v>126</v>
      </c>
      <c r="E21" s="238"/>
      <c r="F21" s="239">
        <f>'数据-取费表'!B38</f>
        <v>2.5000000000000001E-2</v>
      </c>
      <c r="G21" s="240" t="s">
        <v>106</v>
      </c>
    </row>
    <row r="22" spans="1:7" s="220" customFormat="1" ht="13.5" customHeight="1">
      <c r="A22" s="885" t="s">
        <v>786</v>
      </c>
      <c r="B22" s="216" t="s">
        <v>107</v>
      </c>
      <c r="C22" s="1264">
        <f ca="1">ROUND(SUM(C23:C25),0)</f>
        <v>1418</v>
      </c>
      <c r="D22" s="241">
        <f ca="1">C26</f>
        <v>8.0000000000000004E-4</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1359</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42</v>
      </c>
      <c r="D24" s="244"/>
      <c r="E24" s="244"/>
      <c r="F24" s="245"/>
      <c r="G24" s="246" t="s">
        <v>109</v>
      </c>
    </row>
    <row r="25" spans="1:7" s="220" customFormat="1" ht="24">
      <c r="A25" s="888" t="s">
        <v>793</v>
      </c>
      <c r="B25" s="221" t="s">
        <v>1026</v>
      </c>
      <c r="C25" s="1265">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1743</v>
      </c>
      <c r="D27" s="241">
        <f>C29</f>
        <v>2E-3</v>
      </c>
      <c r="E27" s="242" t="s">
        <v>126</v>
      </c>
      <c r="F27" s="252">
        <f>'数据-取费表'!Q16</f>
        <v>0.08</v>
      </c>
      <c r="G27" s="253" t="s">
        <v>1037</v>
      </c>
    </row>
    <row r="28" spans="1:7" s="220" customFormat="1" ht="13.5" customHeight="1">
      <c r="A28" s="888" t="s">
        <v>794</v>
      </c>
      <c r="B28" s="254" t="s">
        <v>1030</v>
      </c>
      <c r="C28" s="255">
        <f>ROUND((C5+C19+C20)*F27*'数据-取费表'!B21/'数据-取费表'!B20,0)</f>
        <v>1743</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27145</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10025</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8980</v>
      </c>
      <c r="D34" s="223"/>
      <c r="E34" s="226"/>
      <c r="F34" s="263">
        <f>IF('数据-取费表'!B24=0,1,'数据-取费表'!N16)</f>
        <v>1</v>
      </c>
      <c r="G34" s="225" t="s">
        <v>116</v>
      </c>
    </row>
    <row r="35" spans="1:7" ht="13.5" customHeight="1">
      <c r="A35" s="888" t="s">
        <v>796</v>
      </c>
      <c r="B35" s="221" t="s">
        <v>60</v>
      </c>
      <c r="C35" s="226">
        <f>ROUND(C34*F35,0)</f>
        <v>269</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641</v>
      </c>
      <c r="D37" s="223">
        <f>'数据-汇总表'!E3</f>
        <v>32069.72</v>
      </c>
      <c r="E37" s="255">
        <f>'数据-取费表'!B35</f>
        <v>200</v>
      </c>
      <c r="F37" s="265"/>
      <c r="G37" s="267" t="s">
        <v>119</v>
      </c>
    </row>
    <row r="38" spans="1:7" ht="13.5" customHeight="1">
      <c r="A38" s="888" t="s">
        <v>799</v>
      </c>
      <c r="B38" s="221" t="s">
        <v>63</v>
      </c>
      <c r="C38" s="226">
        <f>ROUND(C34*F38,0)</f>
        <v>135</v>
      </c>
      <c r="D38" s="226"/>
      <c r="E38" s="226"/>
      <c r="F38" s="265">
        <f>'数据-取费表'!B36</f>
        <v>1.4999999999999999E-2</v>
      </c>
      <c r="G38" s="225" t="s">
        <v>117</v>
      </c>
    </row>
    <row r="39" spans="1:7" s="220" customFormat="1" ht="13.5" customHeight="1">
      <c r="A39" s="885" t="s">
        <v>783</v>
      </c>
      <c r="B39" s="216" t="s">
        <v>104</v>
      </c>
      <c r="C39" s="238">
        <f>ROUND(C33*F20,0)</f>
        <v>251</v>
      </c>
      <c r="D39" s="238"/>
      <c r="E39" s="238"/>
      <c r="F39" s="239"/>
      <c r="G39" s="1199" t="s">
        <v>1039</v>
      </c>
    </row>
    <row r="40" spans="1:7" s="220" customFormat="1" ht="13.5" customHeight="1">
      <c r="A40" s="885" t="s">
        <v>784</v>
      </c>
      <c r="B40" s="216" t="s">
        <v>105</v>
      </c>
      <c r="C40" s="268">
        <f>F21</f>
        <v>2.5000000000000001E-2</v>
      </c>
      <c r="D40" s="242" t="s">
        <v>129</v>
      </c>
      <c r="E40" s="238"/>
      <c r="F40" s="239"/>
      <c r="G40" s="240" t="s">
        <v>120</v>
      </c>
    </row>
    <row r="41" spans="1:7" s="220" customFormat="1" ht="13.5" customHeight="1">
      <c r="A41" s="885" t="s">
        <v>785</v>
      </c>
      <c r="B41" s="216" t="s">
        <v>107</v>
      </c>
      <c r="C41" s="238">
        <f ca="1">ROUND(SUM(C42:C43),0)</f>
        <v>333</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325</v>
      </c>
      <c r="D42" s="244"/>
      <c r="E42" s="244"/>
      <c r="F42" s="245"/>
      <c r="G42" s="3249" t="s">
        <v>121</v>
      </c>
    </row>
    <row r="43" spans="1:7" ht="13.5" customHeight="1">
      <c r="A43" s="888" t="s">
        <v>792</v>
      </c>
      <c r="B43" s="221" t="s">
        <v>1032</v>
      </c>
      <c r="C43" s="244">
        <f ca="1">ROUND(IF('数据-取费表'!B22&lt;=1,C39*F22*'数据-取费表'!B21/2,C39*(POWER((1+F22),'数据-取费表'!B21/2)-1)),0)</f>
        <v>8</v>
      </c>
      <c r="D43" s="244"/>
      <c r="E43" s="244"/>
      <c r="F43" s="245"/>
      <c r="G43" s="3250"/>
    </row>
    <row r="44" spans="1:7" ht="13.5" customHeight="1">
      <c r="A44" s="888" t="s">
        <v>793</v>
      </c>
      <c r="B44" s="221" t="s">
        <v>1034</v>
      </c>
      <c r="C44" s="244">
        <f ca="1">ROUND(IF('数据-取费表'!B22&lt;=1,C40*F22*'数据-取费表'!B21/2,C40*(POWER((1+F22),'数据-取费表'!B21/2)-1)),4)</f>
        <v>8.0000000000000004E-4</v>
      </c>
      <c r="D44" s="244"/>
      <c r="E44" s="244"/>
      <c r="F44" s="245"/>
      <c r="G44" s="3251"/>
    </row>
    <row r="45" spans="1:7" s="220" customFormat="1" ht="13.5" customHeight="1">
      <c r="A45" s="885" t="s">
        <v>786</v>
      </c>
      <c r="B45" s="250" t="s">
        <v>112</v>
      </c>
      <c r="C45" s="251">
        <f>C46</f>
        <v>822</v>
      </c>
      <c r="D45" s="241">
        <f>C47</f>
        <v>2E-3</v>
      </c>
      <c r="E45" s="242" t="s">
        <v>129</v>
      </c>
      <c r="F45" s="252"/>
      <c r="G45" s="253" t="s">
        <v>1040</v>
      </c>
    </row>
    <row r="46" spans="1:7" s="220" customFormat="1" ht="13.5" customHeight="1">
      <c r="A46" s="888" t="s">
        <v>794</v>
      </c>
      <c r="B46" s="254" t="s">
        <v>1033</v>
      </c>
      <c r="C46" s="255">
        <f>ROUND((C33+C39)*F27,0)</f>
        <v>822</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12440</v>
      </c>
      <c r="D49" s="238"/>
      <c r="E49" s="238"/>
      <c r="F49" s="270"/>
      <c r="G49" s="240" t="s">
        <v>1041</v>
      </c>
    </row>
    <row r="50" spans="1:7" s="264" customFormat="1" ht="24">
      <c r="A50" s="885" t="s">
        <v>789</v>
      </c>
      <c r="B50" s="216" t="s">
        <v>124</v>
      </c>
      <c r="C50" s="238"/>
      <c r="D50" s="238"/>
      <c r="E50" s="238"/>
      <c r="F50" s="270">
        <f>IF('数据-取费表'!B24=0,'数据-取费表'!N16,1)</f>
        <v>0.86</v>
      </c>
      <c r="G50" s="253" t="s">
        <v>125</v>
      </c>
    </row>
    <row r="51" spans="1:7" ht="16.5" customHeight="1">
      <c r="A51" s="885" t="s">
        <v>790</v>
      </c>
      <c r="B51" s="216" t="s">
        <v>132</v>
      </c>
      <c r="C51" s="238">
        <f ca="1">ROUND(C49*F50,0)</f>
        <v>10698</v>
      </c>
      <c r="D51" s="238"/>
      <c r="E51" s="238"/>
      <c r="F51" s="270"/>
      <c r="G51" s="240" t="s">
        <v>64</v>
      </c>
    </row>
    <row r="52" spans="1:7" s="214" customFormat="1" ht="16.5" thickBot="1">
      <c r="A52" s="271" t="s">
        <v>65</v>
      </c>
      <c r="B52" s="272"/>
      <c r="C52" s="273">
        <f ca="1">C31+C51</f>
        <v>37843</v>
      </c>
      <c r="D52" s="272"/>
      <c r="E52" s="272"/>
      <c r="F52" s="272"/>
      <c r="G52" s="274"/>
    </row>
    <row r="55" spans="1:7" ht="15">
      <c r="B55" s="276" t="s">
        <v>66</v>
      </c>
      <c r="C55" s="277"/>
    </row>
    <row r="56" spans="1:7">
      <c r="B56" s="279" t="s">
        <v>67</v>
      </c>
      <c r="C56" s="280">
        <f ca="1">ROUND(C51/C52,3)</f>
        <v>0.28299999999999997</v>
      </c>
    </row>
    <row r="57" spans="1:7">
      <c r="B57" s="279" t="s">
        <v>68</v>
      </c>
      <c r="C57" s="281">
        <f ca="1">1-C56</f>
        <v>0.71700000000000008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5" t="s">
        <v>156</v>
      </c>
      <c r="B1" s="3395"/>
      <c r="C1" s="3395"/>
      <c r="D1" s="3395"/>
      <c r="E1" s="3395"/>
      <c r="F1" s="339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6" t="s">
        <v>169</v>
      </c>
      <c r="B2" s="3396"/>
      <c r="C2" s="3396"/>
      <c r="D2" s="3396"/>
      <c r="E2" s="3396"/>
      <c r="F2" s="339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97"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98"/>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5" t="s">
        <v>839</v>
      </c>
      <c r="B1" s="3395"/>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44371</v>
      </c>
      <c r="D1" s="1470" t="s">
        <v>1268</v>
      </c>
      <c r="E1" s="1465">
        <f>'数据-取费表'!B22</f>
        <v>1.5</v>
      </c>
      <c r="F1" s="1470" t="s">
        <v>1269</v>
      </c>
      <c r="G1" s="1466">
        <f ca="1">INDIRECT("d"&amp;$K$1)/100</f>
        <v>3.85E-2</v>
      </c>
      <c r="H1" s="1470" t="s">
        <v>1299</v>
      </c>
      <c r="I1" s="1466">
        <f ca="1">F4/100</f>
        <v>1.4999999999999999E-2</v>
      </c>
      <c r="J1" s="1471">
        <f>IF(C1&gt;C13,0,MATCH(C1,C$13:C$105,-1))+IF(SUMIF(C13:C105,C1,D13:D105)=0,13,12)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2">
        <v>43941</v>
      </c>
      <c r="D13" s="3053">
        <v>3.85</v>
      </c>
      <c r="E13" s="3053">
        <v>3.85</v>
      </c>
      <c r="F13" s="3053">
        <v>3.85</v>
      </c>
      <c r="G13" s="3053">
        <v>3.85</v>
      </c>
      <c r="H13" s="3053">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8"/>
      <c r="C14" s="3049">
        <v>43881</v>
      </c>
      <c r="D14" s="3048">
        <v>4.05</v>
      </c>
      <c r="E14" s="3048">
        <v>4.05</v>
      </c>
      <c r="F14" s="3048">
        <v>4.05</v>
      </c>
      <c r="G14" s="3048">
        <v>4.05</v>
      </c>
      <c r="H14" s="3048">
        <v>4.75</v>
      </c>
      <c r="I14" s="3048"/>
      <c r="J14" s="3048"/>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8"/>
      <c r="C15" s="3049">
        <v>43789</v>
      </c>
      <c r="D15" s="3048">
        <v>4.1500000000000004</v>
      </c>
      <c r="E15" s="3048">
        <v>4.1500000000000004</v>
      </c>
      <c r="F15" s="3048">
        <v>4.1500000000000004</v>
      </c>
      <c r="G15" s="3048">
        <v>4.1500000000000004</v>
      </c>
      <c r="H15" s="3048">
        <v>4.8</v>
      </c>
      <c r="I15" s="3048"/>
      <c r="J15" s="3048"/>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8"/>
      <c r="C16" s="3049">
        <v>43728</v>
      </c>
      <c r="D16" s="3048">
        <v>4.2</v>
      </c>
      <c r="E16" s="3048">
        <v>4.2</v>
      </c>
      <c r="F16" s="3048">
        <v>4.2</v>
      </c>
      <c r="G16" s="3048">
        <v>4.2</v>
      </c>
      <c r="H16" s="3048">
        <v>4.8499999999999996</v>
      </c>
      <c r="I16" s="3048"/>
      <c r="J16" s="3048"/>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7" t="s">
        <v>3060</v>
      </c>
      <c r="C17" s="3050">
        <v>43697</v>
      </c>
      <c r="D17" s="3051">
        <v>4.25</v>
      </c>
      <c r="E17" s="3051">
        <v>4.25</v>
      </c>
      <c r="F17" s="3051">
        <v>4.25</v>
      </c>
      <c r="G17" s="3051">
        <v>4.25</v>
      </c>
      <c r="H17" s="3051">
        <v>4.8499999999999996</v>
      </c>
      <c r="I17" s="3051"/>
      <c r="J17" s="3051"/>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9" customFormat="1" ht="15">
      <c r="A18" s="3054"/>
      <c r="B18" s="3055"/>
      <c r="C18" s="3056">
        <v>42301</v>
      </c>
      <c r="D18" s="3057">
        <v>4.3499999999999996</v>
      </c>
      <c r="E18" s="3057">
        <v>4.3499999999999996</v>
      </c>
      <c r="F18" s="3057">
        <v>4.75</v>
      </c>
      <c r="G18" s="3057">
        <v>4.75</v>
      </c>
      <c r="H18" s="3057">
        <v>4.9000000000000004</v>
      </c>
      <c r="I18" s="3057"/>
      <c r="J18" s="3057"/>
      <c r="K18" s="1446"/>
      <c r="L18" s="3057"/>
      <c r="M18" s="3056">
        <v>41965</v>
      </c>
      <c r="N18" s="3057">
        <v>0.35</v>
      </c>
      <c r="O18" s="3057">
        <v>2.35</v>
      </c>
      <c r="P18" s="3057">
        <v>2.5499999999999998</v>
      </c>
      <c r="Q18" s="3057">
        <v>2.75</v>
      </c>
      <c r="R18" s="3057">
        <v>3.35</v>
      </c>
      <c r="S18" s="3057">
        <v>4</v>
      </c>
      <c r="T18" s="3057">
        <v>4.75</v>
      </c>
      <c r="U18" s="3058">
        <v>2.35</v>
      </c>
      <c r="V18" s="3058">
        <v>2.5499999999999998</v>
      </c>
      <c r="W18" s="3058">
        <v>2.75</v>
      </c>
      <c r="X18" s="3057"/>
      <c r="Y18" s="3058">
        <v>0.8</v>
      </c>
      <c r="Z18" s="3058">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1"/>
  <sheetViews>
    <sheetView topLeftCell="A37" workbookViewId="0">
      <selection activeCell="C68" sqref="C68"/>
    </sheetView>
  </sheetViews>
  <sheetFormatPr defaultRowHeight="13.5"/>
  <cols>
    <col min="1" max="1" width="24.5" style="3407" customWidth="1"/>
    <col min="2" max="16384" width="9" style="3407"/>
  </cols>
  <sheetData>
    <row r="1" spans="1:17">
      <c r="A1" s="3406" t="s">
        <v>3081</v>
      </c>
      <c r="B1" s="3406" t="s">
        <v>3082</v>
      </c>
      <c r="C1" s="3406" t="s">
        <v>3083</v>
      </c>
      <c r="D1" s="3406" t="s">
        <v>3084</v>
      </c>
      <c r="E1" s="3406" t="s">
        <v>3085</v>
      </c>
      <c r="F1" s="3406" t="s">
        <v>3086</v>
      </c>
      <c r="G1" s="3406" t="s">
        <v>3087</v>
      </c>
      <c r="H1" s="3406" t="s">
        <v>3088</v>
      </c>
      <c r="I1" s="3406" t="s">
        <v>3089</v>
      </c>
      <c r="J1" s="3406" t="s">
        <v>3090</v>
      </c>
      <c r="K1" s="3406" t="s">
        <v>3091</v>
      </c>
      <c r="L1" s="3406" t="s">
        <v>3092</v>
      </c>
      <c r="M1" s="3406" t="s">
        <v>3093</v>
      </c>
      <c r="N1" s="3406" t="s">
        <v>3094</v>
      </c>
      <c r="O1" s="3406" t="s">
        <v>3095</v>
      </c>
      <c r="P1" s="3406" t="s">
        <v>3096</v>
      </c>
      <c r="Q1" s="3406" t="s">
        <v>3097</v>
      </c>
    </row>
    <row r="2" spans="1:17">
      <c r="A2" s="3406" t="s">
        <v>3150</v>
      </c>
      <c r="B2" s="3406" t="s">
        <v>3099</v>
      </c>
      <c r="C2" s="3406" t="s">
        <v>3145</v>
      </c>
      <c r="D2" s="3406">
        <v>2875</v>
      </c>
      <c r="E2" s="3406" t="s">
        <v>1298</v>
      </c>
      <c r="F2" s="3406" t="s">
        <v>1298</v>
      </c>
      <c r="G2" s="3406" t="s">
        <v>3102</v>
      </c>
      <c r="H2" s="3406" t="s">
        <v>3151</v>
      </c>
      <c r="I2" s="3406">
        <v>0</v>
      </c>
      <c r="J2" s="3406" t="s">
        <v>3152</v>
      </c>
      <c r="K2" s="3406" t="s">
        <v>3152</v>
      </c>
      <c r="L2" s="3406">
        <v>1530</v>
      </c>
      <c r="M2" s="3406">
        <v>1530</v>
      </c>
      <c r="N2" s="3406" t="s">
        <v>1298</v>
      </c>
      <c r="O2" s="3406">
        <v>0</v>
      </c>
      <c r="P2" s="3406" t="s">
        <v>3153</v>
      </c>
      <c r="Q2" s="3406" t="s">
        <v>3154</v>
      </c>
    </row>
    <row r="3" spans="1:17">
      <c r="A3" s="3406" t="s">
        <v>3159</v>
      </c>
      <c r="B3" s="3406" t="s">
        <v>3099</v>
      </c>
      <c r="C3" s="3406" t="s">
        <v>3145</v>
      </c>
      <c r="D3" s="3406">
        <v>6204.2</v>
      </c>
      <c r="E3" s="3406" t="s">
        <v>1298</v>
      </c>
      <c r="F3" s="3406" t="s">
        <v>1298</v>
      </c>
      <c r="G3" s="3406" t="s">
        <v>3102</v>
      </c>
      <c r="H3" s="3406" t="s">
        <v>3160</v>
      </c>
      <c r="I3" s="3406">
        <v>0</v>
      </c>
      <c r="J3" s="3406" t="s">
        <v>3156</v>
      </c>
      <c r="K3" s="3406" t="s">
        <v>3156</v>
      </c>
      <c r="L3" s="3406">
        <v>3760</v>
      </c>
      <c r="M3" s="3406">
        <v>3760</v>
      </c>
      <c r="N3" s="3406" t="s">
        <v>1298</v>
      </c>
      <c r="O3" s="3406">
        <v>0</v>
      </c>
      <c r="P3" s="3406" t="s">
        <v>3153</v>
      </c>
      <c r="Q3" s="3406" t="s">
        <v>3134</v>
      </c>
    </row>
    <row r="4" spans="1:17">
      <c r="A4" s="3406" t="s">
        <v>3211</v>
      </c>
      <c r="B4" s="3406" t="s">
        <v>3099</v>
      </c>
      <c r="C4" s="3406" t="s">
        <v>3173</v>
      </c>
      <c r="D4" s="3406">
        <v>4897.5</v>
      </c>
      <c r="E4" s="3406" t="s">
        <v>1298</v>
      </c>
      <c r="F4" s="3406" t="s">
        <v>1298</v>
      </c>
      <c r="G4" s="3406" t="s">
        <v>3102</v>
      </c>
      <c r="H4" s="3406" t="s">
        <v>3212</v>
      </c>
      <c r="I4" s="3406">
        <v>0</v>
      </c>
      <c r="J4" s="3406" t="s">
        <v>3213</v>
      </c>
      <c r="K4" s="3406" t="s">
        <v>3213</v>
      </c>
      <c r="L4" s="3406">
        <v>360</v>
      </c>
      <c r="M4" s="3406">
        <v>360</v>
      </c>
      <c r="N4" s="3406" t="s">
        <v>1298</v>
      </c>
      <c r="O4" s="3406">
        <v>0</v>
      </c>
      <c r="P4" s="3406" t="s">
        <v>3214</v>
      </c>
      <c r="Q4" s="3406" t="s">
        <v>3105</v>
      </c>
    </row>
    <row r="5" spans="1:17">
      <c r="A5" s="3406" t="s">
        <v>3262</v>
      </c>
      <c r="B5" s="3406" t="s">
        <v>3099</v>
      </c>
      <c r="C5" s="3406" t="s">
        <v>3145</v>
      </c>
      <c r="D5" s="3406">
        <v>3649</v>
      </c>
      <c r="E5" s="3406">
        <v>729.82</v>
      </c>
      <c r="F5" s="3406" t="s">
        <v>3263</v>
      </c>
      <c r="G5" s="3406" t="s">
        <v>3102</v>
      </c>
      <c r="H5" s="3406" t="s">
        <v>3160</v>
      </c>
      <c r="I5" s="3406">
        <v>0</v>
      </c>
      <c r="J5" s="3406" t="s">
        <v>3258</v>
      </c>
      <c r="K5" s="3406" t="s">
        <v>3258</v>
      </c>
      <c r="L5" s="3406">
        <v>1800</v>
      </c>
      <c r="M5" s="3406">
        <v>8600</v>
      </c>
      <c r="N5" s="3406">
        <v>117837.27</v>
      </c>
      <c r="O5" s="3406">
        <v>377.78</v>
      </c>
      <c r="P5" s="3406" t="s">
        <v>3264</v>
      </c>
      <c r="Q5" s="3406" t="s">
        <v>3129</v>
      </c>
    </row>
    <row r="6" spans="1:17">
      <c r="A6" s="3406" t="s">
        <v>3317</v>
      </c>
      <c r="B6" s="3406" t="s">
        <v>3099</v>
      </c>
      <c r="C6" s="3406" t="s">
        <v>3145</v>
      </c>
      <c r="D6" s="3406">
        <v>3150</v>
      </c>
      <c r="E6" s="3406">
        <v>1260</v>
      </c>
      <c r="F6" s="3406" t="s">
        <v>3318</v>
      </c>
      <c r="G6" s="3406" t="s">
        <v>3102</v>
      </c>
      <c r="H6" s="3406" t="s">
        <v>3319</v>
      </c>
      <c r="I6" s="3406">
        <v>0</v>
      </c>
      <c r="J6" s="3406" t="s">
        <v>3302</v>
      </c>
      <c r="K6" s="3406" t="s">
        <v>3302</v>
      </c>
      <c r="L6" s="3406">
        <v>1840</v>
      </c>
      <c r="M6" s="3406">
        <v>5100</v>
      </c>
      <c r="N6" s="3406">
        <v>40476.19</v>
      </c>
      <c r="O6" s="3406">
        <v>177.17</v>
      </c>
      <c r="P6" s="3406" t="s">
        <v>3320</v>
      </c>
      <c r="Q6" s="3406" t="s">
        <v>3154</v>
      </c>
    </row>
    <row r="7" spans="1:17">
      <c r="A7" s="3406" t="s">
        <v>3138</v>
      </c>
      <c r="B7" s="3406" t="s">
        <v>3099</v>
      </c>
      <c r="C7" s="3406" t="s">
        <v>3123</v>
      </c>
      <c r="D7" s="3406">
        <v>61808.800000000003</v>
      </c>
      <c r="E7" s="3406">
        <v>123617.60000000001</v>
      </c>
      <c r="F7" s="3406" t="s">
        <v>3110</v>
      </c>
      <c r="G7" s="3406" t="s">
        <v>3102</v>
      </c>
      <c r="H7" s="3406" t="s">
        <v>3125</v>
      </c>
      <c r="I7" s="3406" t="s">
        <v>3126</v>
      </c>
      <c r="J7" s="3406" t="s">
        <v>3127</v>
      </c>
      <c r="K7" s="3406" t="s">
        <v>3127</v>
      </c>
      <c r="L7" s="3406">
        <v>115960</v>
      </c>
      <c r="M7" s="3406">
        <v>124000</v>
      </c>
      <c r="N7" s="3406">
        <v>10030.93</v>
      </c>
      <c r="O7" s="3406">
        <v>6.93</v>
      </c>
      <c r="P7" s="3406" t="s">
        <v>3139</v>
      </c>
      <c r="Q7" s="3406" t="s">
        <v>3140</v>
      </c>
    </row>
    <row r="8" spans="1:17">
      <c r="A8" s="3406" t="s">
        <v>3310</v>
      </c>
      <c r="B8" s="3406" t="s">
        <v>3099</v>
      </c>
      <c r="C8" s="3406" t="s">
        <v>3131</v>
      </c>
      <c r="D8" s="3406">
        <v>78660.5</v>
      </c>
      <c r="E8" s="3406">
        <v>150412.9</v>
      </c>
      <c r="F8" s="3406" t="s">
        <v>3311</v>
      </c>
      <c r="G8" s="3406" t="s">
        <v>3102</v>
      </c>
      <c r="H8" s="3406" t="s">
        <v>3312</v>
      </c>
      <c r="I8" s="3406">
        <v>0</v>
      </c>
      <c r="J8" s="3406" t="s">
        <v>3302</v>
      </c>
      <c r="K8" s="3406" t="s">
        <v>3302</v>
      </c>
      <c r="L8" s="3406">
        <v>140450</v>
      </c>
      <c r="M8" s="3406">
        <v>140450</v>
      </c>
      <c r="N8" s="3406">
        <v>9337.6200000000008</v>
      </c>
      <c r="O8" s="3406">
        <v>0</v>
      </c>
      <c r="P8" s="3406" t="s">
        <v>3313</v>
      </c>
      <c r="Q8" s="3406" t="s">
        <v>3134</v>
      </c>
    </row>
    <row r="9" spans="1:17">
      <c r="A9" s="3406" t="s">
        <v>3122</v>
      </c>
      <c r="B9" s="3406" t="s">
        <v>3099</v>
      </c>
      <c r="C9" s="3406" t="s">
        <v>3123</v>
      </c>
      <c r="D9" s="3406">
        <v>92663.7</v>
      </c>
      <c r="E9" s="3406">
        <v>126596.59</v>
      </c>
      <c r="F9" s="3406" t="s">
        <v>3124</v>
      </c>
      <c r="G9" s="3406" t="s">
        <v>3102</v>
      </c>
      <c r="H9" s="3406" t="s">
        <v>3125</v>
      </c>
      <c r="I9" s="3406" t="s">
        <v>3126</v>
      </c>
      <c r="J9" s="3406" t="s">
        <v>3127</v>
      </c>
      <c r="K9" s="3406" t="s">
        <v>3127</v>
      </c>
      <c r="L9" s="3406">
        <v>97430</v>
      </c>
      <c r="M9" s="3406">
        <v>111400</v>
      </c>
      <c r="N9" s="3406">
        <v>8799.61</v>
      </c>
      <c r="O9" s="3406">
        <v>14.34</v>
      </c>
      <c r="P9" s="3406" t="s">
        <v>3128</v>
      </c>
      <c r="Q9" s="3406" t="s">
        <v>3129</v>
      </c>
    </row>
    <row r="10" spans="1:17">
      <c r="A10" s="3406" t="s">
        <v>3324</v>
      </c>
      <c r="B10" s="3406" t="s">
        <v>3099</v>
      </c>
      <c r="C10" s="3406" t="s">
        <v>3123</v>
      </c>
      <c r="D10" s="3406">
        <v>72182.3</v>
      </c>
      <c r="E10" s="3406">
        <v>79684</v>
      </c>
      <c r="F10" s="3406" t="s">
        <v>3325</v>
      </c>
      <c r="G10" s="3406" t="s">
        <v>3102</v>
      </c>
      <c r="H10" s="3406" t="s">
        <v>3125</v>
      </c>
      <c r="I10" s="3406">
        <v>0</v>
      </c>
      <c r="J10" s="3406" t="s">
        <v>3326</v>
      </c>
      <c r="K10" s="3406" t="s">
        <v>3326</v>
      </c>
      <c r="L10" s="3406">
        <v>66867</v>
      </c>
      <c r="M10" s="3406">
        <v>66867</v>
      </c>
      <c r="N10" s="3406">
        <v>8391.52</v>
      </c>
      <c r="O10" s="3406">
        <v>0</v>
      </c>
      <c r="P10" s="3406" t="s">
        <v>3327</v>
      </c>
      <c r="Q10" s="3406" t="s">
        <v>3184</v>
      </c>
    </row>
    <row r="11" spans="1:17">
      <c r="A11" s="3406" t="s">
        <v>3304</v>
      </c>
      <c r="B11" s="3406" t="s">
        <v>3099</v>
      </c>
      <c r="C11" s="3406" t="s">
        <v>3131</v>
      </c>
      <c r="D11" s="3406">
        <v>171668.2</v>
      </c>
      <c r="E11" s="3406">
        <v>214430.85</v>
      </c>
      <c r="F11" s="3406" t="s">
        <v>3305</v>
      </c>
      <c r="G11" s="3406" t="s">
        <v>3102</v>
      </c>
      <c r="H11" s="3406" t="s">
        <v>3306</v>
      </c>
      <c r="I11" s="3406">
        <v>0</v>
      </c>
      <c r="J11" s="3406" t="s">
        <v>3302</v>
      </c>
      <c r="K11" s="3406" t="s">
        <v>3302</v>
      </c>
      <c r="L11" s="3406">
        <v>157800</v>
      </c>
      <c r="M11" s="3406">
        <v>157800</v>
      </c>
      <c r="N11" s="3406">
        <v>7359.02</v>
      </c>
      <c r="O11" s="3406">
        <v>0</v>
      </c>
      <c r="P11" s="3406" t="s">
        <v>3289</v>
      </c>
      <c r="Q11" s="3406" t="s">
        <v>3134</v>
      </c>
    </row>
    <row r="12" spans="1:17">
      <c r="A12" s="3406" t="s">
        <v>3278</v>
      </c>
      <c r="B12" s="3406" t="s">
        <v>3099</v>
      </c>
      <c r="C12" s="3406" t="s">
        <v>3131</v>
      </c>
      <c r="D12" s="3406">
        <v>116425.8</v>
      </c>
      <c r="E12" s="3406">
        <v>178392.4</v>
      </c>
      <c r="F12" s="3406" t="s">
        <v>3279</v>
      </c>
      <c r="G12" s="3406" t="s">
        <v>3102</v>
      </c>
      <c r="H12" s="3406" t="s">
        <v>3280</v>
      </c>
      <c r="I12" s="3406">
        <v>0</v>
      </c>
      <c r="J12" s="3406" t="s">
        <v>3273</v>
      </c>
      <c r="K12" s="3406" t="s">
        <v>3273</v>
      </c>
      <c r="L12" s="3406">
        <v>120980</v>
      </c>
      <c r="M12" s="3406">
        <v>120980</v>
      </c>
      <c r="N12" s="3406">
        <v>6781.68</v>
      </c>
      <c r="O12" s="3406">
        <v>0</v>
      </c>
      <c r="P12" s="3406" t="s">
        <v>3281</v>
      </c>
      <c r="Q12" s="3406" t="s">
        <v>3140</v>
      </c>
    </row>
    <row r="13" spans="1:17">
      <c r="A13" s="3406" t="s">
        <v>3141</v>
      </c>
      <c r="B13" s="3406" t="s">
        <v>3099</v>
      </c>
      <c r="C13" s="3406" t="s">
        <v>3131</v>
      </c>
      <c r="D13" s="3406">
        <v>120938</v>
      </c>
      <c r="E13" s="3406">
        <v>294615.61</v>
      </c>
      <c r="F13" s="3406" t="s">
        <v>3142</v>
      </c>
      <c r="G13" s="3406" t="s">
        <v>3102</v>
      </c>
      <c r="H13" s="3406" t="s">
        <v>3136</v>
      </c>
      <c r="I13" s="3406" t="s">
        <v>3126</v>
      </c>
      <c r="J13" s="3406" t="s">
        <v>3127</v>
      </c>
      <c r="K13" s="3406" t="s">
        <v>3127</v>
      </c>
      <c r="L13" s="3406">
        <v>161900</v>
      </c>
      <c r="M13" s="3406">
        <v>193000</v>
      </c>
      <c r="N13" s="3406">
        <v>6550.9</v>
      </c>
      <c r="O13" s="3406">
        <v>19.21</v>
      </c>
      <c r="P13" s="3406" t="s">
        <v>3143</v>
      </c>
      <c r="Q13" s="3406" t="s">
        <v>3129</v>
      </c>
    </row>
    <row r="14" spans="1:17">
      <c r="A14" s="3406" t="s">
        <v>3282</v>
      </c>
      <c r="B14" s="3406" t="s">
        <v>3099</v>
      </c>
      <c r="C14" s="3406" t="s">
        <v>3123</v>
      </c>
      <c r="D14" s="3406">
        <v>39250.800000000003</v>
      </c>
      <c r="E14" s="3406">
        <v>66727.38</v>
      </c>
      <c r="F14" s="3406" t="s">
        <v>3283</v>
      </c>
      <c r="G14" s="3406" t="s">
        <v>3102</v>
      </c>
      <c r="H14" s="3406" t="s">
        <v>3125</v>
      </c>
      <c r="I14" s="3406">
        <v>0</v>
      </c>
      <c r="J14" s="3406" t="s">
        <v>3284</v>
      </c>
      <c r="K14" s="3406" t="s">
        <v>3284</v>
      </c>
      <c r="L14" s="3406">
        <v>43440</v>
      </c>
      <c r="M14" s="3406">
        <v>43440</v>
      </c>
      <c r="N14" s="3406">
        <v>6510.06</v>
      </c>
      <c r="O14" s="3406">
        <v>0</v>
      </c>
      <c r="P14" s="3406" t="s">
        <v>3285</v>
      </c>
      <c r="Q14" s="3406" t="s">
        <v>3129</v>
      </c>
    </row>
    <row r="15" spans="1:17">
      <c r="A15" s="3406" t="s">
        <v>3180</v>
      </c>
      <c r="B15" s="3406" t="s">
        <v>3099</v>
      </c>
      <c r="C15" s="3406" t="s">
        <v>3131</v>
      </c>
      <c r="D15" s="3406">
        <v>202759.6</v>
      </c>
      <c r="E15" s="3406">
        <v>299590</v>
      </c>
      <c r="F15" s="3406" t="s">
        <v>3181</v>
      </c>
      <c r="G15" s="3406" t="s">
        <v>3102</v>
      </c>
      <c r="H15" s="3406" t="s">
        <v>3182</v>
      </c>
      <c r="I15" s="3406">
        <v>0</v>
      </c>
      <c r="J15" s="3406" t="s">
        <v>3178</v>
      </c>
      <c r="K15" s="3406" t="s">
        <v>3178</v>
      </c>
      <c r="L15" s="3406">
        <v>151210</v>
      </c>
      <c r="M15" s="3406">
        <v>151210</v>
      </c>
      <c r="N15" s="3406">
        <v>5047.22</v>
      </c>
      <c r="O15" s="3406">
        <v>0</v>
      </c>
      <c r="P15" s="3406" t="s">
        <v>3183</v>
      </c>
      <c r="Q15" s="3406" t="s">
        <v>3184</v>
      </c>
    </row>
    <row r="16" spans="1:17">
      <c r="A16" s="3406" t="s">
        <v>3256</v>
      </c>
      <c r="B16" s="3406" t="s">
        <v>3099</v>
      </c>
      <c r="C16" s="3406" t="s">
        <v>3123</v>
      </c>
      <c r="D16" s="3406">
        <v>12873.6</v>
      </c>
      <c r="E16" s="3406">
        <v>14160.96</v>
      </c>
      <c r="F16" s="3406" t="s">
        <v>3257</v>
      </c>
      <c r="G16" s="3406" t="s">
        <v>3102</v>
      </c>
      <c r="H16" s="3406" t="s">
        <v>3125</v>
      </c>
      <c r="I16" s="3406">
        <v>0</v>
      </c>
      <c r="J16" s="3406" t="s">
        <v>3258</v>
      </c>
      <c r="K16" s="3406" t="s">
        <v>3258</v>
      </c>
      <c r="L16" s="3406">
        <v>5990</v>
      </c>
      <c r="M16" s="3406">
        <v>7100</v>
      </c>
      <c r="N16" s="3406">
        <v>5013.7700000000004</v>
      </c>
      <c r="O16" s="3406">
        <v>18.53</v>
      </c>
      <c r="P16" s="3406" t="s">
        <v>3259</v>
      </c>
      <c r="Q16" s="3406" t="s">
        <v>3140</v>
      </c>
    </row>
    <row r="17" spans="1:17">
      <c r="A17" s="3406" t="s">
        <v>3260</v>
      </c>
      <c r="B17" s="3406" t="s">
        <v>3099</v>
      </c>
      <c r="C17" s="3406" t="s">
        <v>3123</v>
      </c>
      <c r="D17" s="3406">
        <v>14032.3</v>
      </c>
      <c r="E17" s="3406">
        <v>15435.53</v>
      </c>
      <c r="F17" s="3406" t="s">
        <v>3257</v>
      </c>
      <c r="G17" s="3406" t="s">
        <v>3102</v>
      </c>
      <c r="H17" s="3406" t="s">
        <v>3125</v>
      </c>
      <c r="I17" s="3406">
        <v>0</v>
      </c>
      <c r="J17" s="3406" t="s">
        <v>3258</v>
      </c>
      <c r="K17" s="3406" t="s">
        <v>3258</v>
      </c>
      <c r="L17" s="3406">
        <v>6530</v>
      </c>
      <c r="M17" s="3406">
        <v>7600</v>
      </c>
      <c r="N17" s="3406">
        <v>4923.71</v>
      </c>
      <c r="O17" s="3406">
        <v>16.39</v>
      </c>
      <c r="P17" s="3406" t="s">
        <v>3261</v>
      </c>
      <c r="Q17" s="3406" t="s">
        <v>3140</v>
      </c>
    </row>
    <row r="18" spans="1:17">
      <c r="A18" s="3406" t="s">
        <v>3161</v>
      </c>
      <c r="B18" s="3406" t="s">
        <v>3099</v>
      </c>
      <c r="C18" s="3406" t="s">
        <v>3123</v>
      </c>
      <c r="D18" s="3406">
        <v>76865.5</v>
      </c>
      <c r="E18" s="3406">
        <v>115290</v>
      </c>
      <c r="F18" s="3406" t="s">
        <v>3124</v>
      </c>
      <c r="G18" s="3406" t="s">
        <v>3102</v>
      </c>
      <c r="H18" s="3406" t="s">
        <v>3125</v>
      </c>
      <c r="I18" s="3406">
        <v>0</v>
      </c>
      <c r="J18" s="3406" t="s">
        <v>3209</v>
      </c>
      <c r="K18" s="3406" t="s">
        <v>3209</v>
      </c>
      <c r="L18" s="3406">
        <v>49140</v>
      </c>
      <c r="M18" s="3406">
        <v>56100</v>
      </c>
      <c r="N18" s="3406">
        <v>4865.9799999999996</v>
      </c>
      <c r="O18" s="3406">
        <v>14.16</v>
      </c>
      <c r="P18" s="3406" t="s">
        <v>3210</v>
      </c>
      <c r="Q18" s="3406" t="s">
        <v>3154</v>
      </c>
    </row>
    <row r="19" spans="1:17">
      <c r="A19" s="3406" t="s">
        <v>3336</v>
      </c>
      <c r="B19" s="3406" t="s">
        <v>3099</v>
      </c>
      <c r="C19" s="3406" t="s">
        <v>3131</v>
      </c>
      <c r="D19" s="3406">
        <v>53107.6</v>
      </c>
      <c r="E19" s="3406">
        <v>58400</v>
      </c>
      <c r="F19" s="3406" t="s">
        <v>3257</v>
      </c>
      <c r="G19" s="3406" t="s">
        <v>3102</v>
      </c>
      <c r="H19" s="3406" t="s">
        <v>3192</v>
      </c>
      <c r="I19" s="3406">
        <v>0</v>
      </c>
      <c r="J19" s="3406" t="s">
        <v>3339</v>
      </c>
      <c r="K19" s="3406" t="s">
        <v>3339</v>
      </c>
      <c r="L19" s="3406">
        <v>28140</v>
      </c>
      <c r="M19" s="3406">
        <v>28140</v>
      </c>
      <c r="N19" s="3406">
        <v>4818.4799999999996</v>
      </c>
      <c r="O19" s="3406">
        <v>0</v>
      </c>
      <c r="P19" s="3406" t="s">
        <v>3340</v>
      </c>
      <c r="Q19" s="3406" t="s">
        <v>3129</v>
      </c>
    </row>
    <row r="20" spans="1:17">
      <c r="A20" s="3406" t="s">
        <v>3336</v>
      </c>
      <c r="B20" s="3406" t="s">
        <v>3099</v>
      </c>
      <c r="C20" s="3406" t="s">
        <v>3131</v>
      </c>
      <c r="D20" s="3406">
        <v>174754.3</v>
      </c>
      <c r="E20" s="3406">
        <v>193200</v>
      </c>
      <c r="F20" s="3406" t="s">
        <v>3257</v>
      </c>
      <c r="G20" s="3406" t="s">
        <v>3102</v>
      </c>
      <c r="H20" s="3406" t="s">
        <v>3192</v>
      </c>
      <c r="I20" s="3406">
        <v>0</v>
      </c>
      <c r="J20" s="3406" t="s">
        <v>3339</v>
      </c>
      <c r="K20" s="3406" t="s">
        <v>3339</v>
      </c>
      <c r="L20" s="3406">
        <v>92730</v>
      </c>
      <c r="M20" s="3406">
        <v>92730</v>
      </c>
      <c r="N20" s="3406">
        <v>4799.68</v>
      </c>
      <c r="O20" s="3406">
        <v>0</v>
      </c>
      <c r="P20" s="3406" t="s">
        <v>3340</v>
      </c>
      <c r="Q20" s="3406" t="s">
        <v>3129</v>
      </c>
    </row>
    <row r="21" spans="1:17">
      <c r="A21" s="3406" t="s">
        <v>3336</v>
      </c>
      <c r="B21" s="3406" t="s">
        <v>3099</v>
      </c>
      <c r="C21" s="3406" t="s">
        <v>3131</v>
      </c>
      <c r="D21" s="3406">
        <v>143969.1</v>
      </c>
      <c r="E21" s="3406">
        <v>165565</v>
      </c>
      <c r="F21" s="3406" t="s">
        <v>3344</v>
      </c>
      <c r="G21" s="3406" t="s">
        <v>3102</v>
      </c>
      <c r="H21" s="3406" t="s">
        <v>3192</v>
      </c>
      <c r="I21" s="3406">
        <v>0</v>
      </c>
      <c r="J21" s="3406" t="s">
        <v>3339</v>
      </c>
      <c r="K21" s="3406" t="s">
        <v>3339</v>
      </c>
      <c r="L21" s="3406">
        <v>79020</v>
      </c>
      <c r="M21" s="3406">
        <v>79020</v>
      </c>
      <c r="N21" s="3406">
        <v>4772.75</v>
      </c>
      <c r="O21" s="3406">
        <v>0</v>
      </c>
      <c r="P21" s="3406" t="s">
        <v>3340</v>
      </c>
      <c r="Q21" s="3406" t="s">
        <v>3129</v>
      </c>
    </row>
    <row r="22" spans="1:17">
      <c r="A22" s="3406" t="s">
        <v>3336</v>
      </c>
      <c r="B22" s="3406" t="s">
        <v>3099</v>
      </c>
      <c r="C22" s="3406" t="s">
        <v>3131</v>
      </c>
      <c r="D22" s="3406">
        <v>177504.3</v>
      </c>
      <c r="E22" s="3406">
        <v>204130</v>
      </c>
      <c r="F22" s="3406" t="s">
        <v>3344</v>
      </c>
      <c r="G22" s="3406" t="s">
        <v>3102</v>
      </c>
      <c r="H22" s="3406" t="s">
        <v>3192</v>
      </c>
      <c r="I22" s="3406">
        <v>0</v>
      </c>
      <c r="J22" s="3406" t="s">
        <v>3339</v>
      </c>
      <c r="K22" s="3406" t="s">
        <v>3339</v>
      </c>
      <c r="L22" s="3406">
        <v>97420</v>
      </c>
      <c r="M22" s="3406">
        <v>97420</v>
      </c>
      <c r="N22" s="3406">
        <v>4772.4399999999996</v>
      </c>
      <c r="O22" s="3406">
        <v>0</v>
      </c>
      <c r="P22" s="3406" t="s">
        <v>3340</v>
      </c>
      <c r="Q22" s="3406" t="s">
        <v>3129</v>
      </c>
    </row>
    <row r="23" spans="1:17">
      <c r="A23" s="3406" t="s">
        <v>3130</v>
      </c>
      <c r="B23" s="3406" t="s">
        <v>3099</v>
      </c>
      <c r="C23" s="3406" t="s">
        <v>3131</v>
      </c>
      <c r="D23" s="3406">
        <v>34902.400000000001</v>
      </c>
      <c r="E23" s="3406">
        <v>55843.839999999997</v>
      </c>
      <c r="F23" s="3406" t="s">
        <v>3132</v>
      </c>
      <c r="G23" s="3406" t="s">
        <v>3102</v>
      </c>
      <c r="H23" s="3406" t="s">
        <v>3125</v>
      </c>
      <c r="I23" s="3406" t="s">
        <v>3126</v>
      </c>
      <c r="J23" s="3406" t="s">
        <v>3127</v>
      </c>
      <c r="K23" s="3406" t="s">
        <v>3127</v>
      </c>
      <c r="L23" s="3406">
        <v>26290</v>
      </c>
      <c r="M23" s="3406">
        <v>26290</v>
      </c>
      <c r="N23" s="3406">
        <v>4707.7700000000004</v>
      </c>
      <c r="O23" s="3406">
        <v>0</v>
      </c>
      <c r="P23" s="3406" t="s">
        <v>3133</v>
      </c>
      <c r="Q23" s="3406" t="s">
        <v>3134</v>
      </c>
    </row>
    <row r="24" spans="1:17">
      <c r="A24" s="3406" t="s">
        <v>3161</v>
      </c>
      <c r="B24" s="3406" t="s">
        <v>3099</v>
      </c>
      <c r="C24" s="3406" t="s">
        <v>3131</v>
      </c>
      <c r="D24" s="3406">
        <v>70556.7</v>
      </c>
      <c r="E24" s="3406">
        <v>112890</v>
      </c>
      <c r="F24" s="3406" t="s">
        <v>3240</v>
      </c>
      <c r="G24" s="3406" t="s">
        <v>3102</v>
      </c>
      <c r="H24" s="3406" t="s">
        <v>3192</v>
      </c>
      <c r="I24" s="3406">
        <v>0</v>
      </c>
      <c r="J24" s="3406" t="s">
        <v>3288</v>
      </c>
      <c r="K24" s="3406" t="s">
        <v>3288</v>
      </c>
      <c r="L24" s="3406">
        <v>40770</v>
      </c>
      <c r="M24" s="3406">
        <v>40770</v>
      </c>
      <c r="N24" s="3406">
        <v>3611.48</v>
      </c>
      <c r="O24" s="3406">
        <v>0</v>
      </c>
      <c r="P24" s="3406" t="s">
        <v>3296</v>
      </c>
      <c r="Q24" s="3406" t="s">
        <v>3154</v>
      </c>
    </row>
    <row r="25" spans="1:17">
      <c r="A25" s="3406" t="s">
        <v>3239</v>
      </c>
      <c r="B25" s="3406" t="s">
        <v>3099</v>
      </c>
      <c r="C25" s="3406" t="s">
        <v>3123</v>
      </c>
      <c r="D25" s="3406">
        <v>60474.3</v>
      </c>
      <c r="E25" s="3406">
        <v>96758.88</v>
      </c>
      <c r="F25" s="3406" t="s">
        <v>3240</v>
      </c>
      <c r="G25" s="3406" t="s">
        <v>3102</v>
      </c>
      <c r="H25" s="3406" t="s">
        <v>3125</v>
      </c>
      <c r="I25" s="3406">
        <v>0</v>
      </c>
      <c r="J25" s="3406" t="s">
        <v>3237</v>
      </c>
      <c r="K25" s="3406" t="s">
        <v>3237</v>
      </c>
      <c r="L25" s="3406">
        <v>34746</v>
      </c>
      <c r="M25" s="3406">
        <v>34746</v>
      </c>
      <c r="N25" s="3406">
        <v>3590.98</v>
      </c>
      <c r="O25" s="3406">
        <v>0</v>
      </c>
      <c r="P25" s="3406" t="s">
        <v>3241</v>
      </c>
      <c r="Q25" s="3406" t="s">
        <v>3134</v>
      </c>
    </row>
    <row r="26" spans="1:17">
      <c r="A26" s="1407" t="s">
        <v>3310</v>
      </c>
      <c r="B26" s="1407" t="s">
        <v>3099</v>
      </c>
      <c r="C26" s="1407" t="s">
        <v>3100</v>
      </c>
      <c r="D26" s="1407">
        <v>10065.1</v>
      </c>
      <c r="E26" s="1407">
        <v>25162.75</v>
      </c>
      <c r="F26" s="1407" t="s">
        <v>3494</v>
      </c>
      <c r="G26" s="1407" t="s">
        <v>3102</v>
      </c>
      <c r="H26" s="1407" t="s">
        <v>3100</v>
      </c>
      <c r="I26" s="1407">
        <v>0</v>
      </c>
      <c r="J26" s="1407" t="s">
        <v>3489</v>
      </c>
      <c r="K26" s="1407" t="s">
        <v>3489</v>
      </c>
      <c r="L26" s="1407">
        <v>8600</v>
      </c>
      <c r="M26" s="1407">
        <v>8600</v>
      </c>
      <c r="N26" s="1407">
        <v>3417.75</v>
      </c>
      <c r="O26" s="1407">
        <v>0</v>
      </c>
      <c r="P26" s="1407" t="s">
        <v>3495</v>
      </c>
      <c r="Q26" s="1407" t="s">
        <v>3105</v>
      </c>
    </row>
    <row r="27" spans="1:17">
      <c r="A27" s="3406" t="s">
        <v>3271</v>
      </c>
      <c r="B27" s="3406" t="s">
        <v>3099</v>
      </c>
      <c r="C27" s="3406" t="s">
        <v>3123</v>
      </c>
      <c r="D27" s="3406">
        <v>43938.5</v>
      </c>
      <c r="E27" s="3406">
        <v>57120.05</v>
      </c>
      <c r="F27" s="3406" t="s">
        <v>3272</v>
      </c>
      <c r="G27" s="3406" t="s">
        <v>3102</v>
      </c>
      <c r="H27" s="3406" t="s">
        <v>3125</v>
      </c>
      <c r="I27" s="3406">
        <v>0</v>
      </c>
      <c r="J27" s="3406" t="s">
        <v>3273</v>
      </c>
      <c r="K27" s="3406" t="s">
        <v>3273</v>
      </c>
      <c r="L27" s="3406">
        <v>18470</v>
      </c>
      <c r="M27" s="3406">
        <v>18470</v>
      </c>
      <c r="N27" s="3406">
        <v>3233.53</v>
      </c>
      <c r="O27" s="3406">
        <v>0</v>
      </c>
      <c r="P27" s="3406" t="s">
        <v>3274</v>
      </c>
      <c r="Q27" s="3406" t="s">
        <v>3154</v>
      </c>
    </row>
    <row r="28" spans="1:17">
      <c r="A28" s="3406" t="s">
        <v>3290</v>
      </c>
      <c r="B28" s="3406" t="s">
        <v>3099</v>
      </c>
      <c r="C28" s="3406" t="s">
        <v>3131</v>
      </c>
      <c r="D28" s="3406">
        <v>47367.199999999997</v>
      </c>
      <c r="E28" s="3406">
        <v>71050.8</v>
      </c>
      <c r="F28" s="3406" t="s">
        <v>3291</v>
      </c>
      <c r="G28" s="3406" t="s">
        <v>3102</v>
      </c>
      <c r="H28" s="3406" t="s">
        <v>3292</v>
      </c>
      <c r="I28" s="3406">
        <v>0</v>
      </c>
      <c r="J28" s="3406" t="s">
        <v>3288</v>
      </c>
      <c r="K28" s="3406" t="s">
        <v>3288</v>
      </c>
      <c r="L28" s="3406">
        <v>21330</v>
      </c>
      <c r="M28" s="3406">
        <v>21330</v>
      </c>
      <c r="N28" s="3406">
        <v>3002.07</v>
      </c>
      <c r="O28" s="3406">
        <v>0</v>
      </c>
      <c r="P28" s="3406" t="s">
        <v>3293</v>
      </c>
      <c r="Q28" s="3406" t="s">
        <v>3134</v>
      </c>
    </row>
    <row r="29" spans="1:17">
      <c r="A29" s="3406" t="s">
        <v>3297</v>
      </c>
      <c r="B29" s="3406" t="s">
        <v>3099</v>
      </c>
      <c r="C29" s="3406" t="s">
        <v>3131</v>
      </c>
      <c r="D29" s="3406">
        <v>54490.1</v>
      </c>
      <c r="E29" s="3406">
        <v>78066.03</v>
      </c>
      <c r="F29" s="3406" t="s">
        <v>3298</v>
      </c>
      <c r="G29" s="3406" t="s">
        <v>3102</v>
      </c>
      <c r="H29" s="3406" t="s">
        <v>3299</v>
      </c>
      <c r="I29" s="3406">
        <v>0</v>
      </c>
      <c r="J29" s="3406" t="s">
        <v>3288</v>
      </c>
      <c r="K29" s="3406" t="s">
        <v>3288</v>
      </c>
      <c r="L29" s="3406">
        <v>22890</v>
      </c>
      <c r="M29" s="3406">
        <v>22890</v>
      </c>
      <c r="N29" s="3406">
        <v>2932.13</v>
      </c>
      <c r="O29" s="3406">
        <v>0</v>
      </c>
      <c r="P29" s="3406" t="s">
        <v>3293</v>
      </c>
      <c r="Q29" s="3406" t="s">
        <v>3134</v>
      </c>
    </row>
    <row r="30" spans="1:17">
      <c r="A30" s="3406" t="s">
        <v>3336</v>
      </c>
      <c r="B30" s="3406" t="s">
        <v>3099</v>
      </c>
      <c r="C30" s="3406" t="s">
        <v>3123</v>
      </c>
      <c r="D30" s="3406">
        <v>33973.9</v>
      </c>
      <c r="E30" s="3406">
        <v>84992</v>
      </c>
      <c r="F30" s="3406" t="s">
        <v>3246</v>
      </c>
      <c r="G30" s="3406" t="s">
        <v>3102</v>
      </c>
      <c r="H30" s="3406" t="s">
        <v>3125</v>
      </c>
      <c r="I30" s="3406">
        <v>0</v>
      </c>
      <c r="J30" s="3406" t="s">
        <v>3349</v>
      </c>
      <c r="K30" s="3406" t="s">
        <v>3349</v>
      </c>
      <c r="L30" s="3406">
        <v>24160</v>
      </c>
      <c r="M30" s="3406">
        <v>24160</v>
      </c>
      <c r="N30" s="3406">
        <v>2842.61</v>
      </c>
      <c r="O30" s="3406">
        <v>0</v>
      </c>
      <c r="P30" s="3406" t="s">
        <v>3340</v>
      </c>
      <c r="Q30" s="3406" t="s">
        <v>3154</v>
      </c>
    </row>
    <row r="31" spans="1:17">
      <c r="A31" s="3406" t="s">
        <v>3336</v>
      </c>
      <c r="B31" s="3406" t="s">
        <v>3099</v>
      </c>
      <c r="C31" s="3406" t="s">
        <v>3123</v>
      </c>
      <c r="D31" s="3406">
        <v>34626</v>
      </c>
      <c r="E31" s="3406">
        <v>86566</v>
      </c>
      <c r="F31" s="3406" t="s">
        <v>3246</v>
      </c>
      <c r="G31" s="3406" t="s">
        <v>3102</v>
      </c>
      <c r="H31" s="3406" t="s">
        <v>3125</v>
      </c>
      <c r="I31" s="3406">
        <v>0</v>
      </c>
      <c r="J31" s="3406" t="s">
        <v>3349</v>
      </c>
      <c r="K31" s="3406" t="s">
        <v>3349</v>
      </c>
      <c r="L31" s="3406">
        <v>24600</v>
      </c>
      <c r="M31" s="3406">
        <v>24600</v>
      </c>
      <c r="N31" s="3406">
        <v>2841.76</v>
      </c>
      <c r="O31" s="3406">
        <v>0</v>
      </c>
      <c r="P31" s="3406" t="s">
        <v>3340</v>
      </c>
      <c r="Q31" s="3406" t="s">
        <v>3154</v>
      </c>
    </row>
    <row r="32" spans="1:17">
      <c r="A32" s="3406" t="s">
        <v>3336</v>
      </c>
      <c r="B32" s="3406" t="s">
        <v>3099</v>
      </c>
      <c r="C32" s="3406" t="s">
        <v>3123</v>
      </c>
      <c r="D32" s="3406">
        <v>25413.599999999999</v>
      </c>
      <c r="E32" s="3406">
        <v>63535</v>
      </c>
      <c r="F32" s="3406" t="s">
        <v>3246</v>
      </c>
      <c r="G32" s="3406" t="s">
        <v>3102</v>
      </c>
      <c r="H32" s="3406" t="s">
        <v>3125</v>
      </c>
      <c r="I32" s="3406">
        <v>0</v>
      </c>
      <c r="J32" s="3406" t="s">
        <v>3349</v>
      </c>
      <c r="K32" s="3406" t="s">
        <v>3349</v>
      </c>
      <c r="L32" s="3406">
        <v>18050</v>
      </c>
      <c r="M32" s="3406">
        <v>18050</v>
      </c>
      <c r="N32" s="3406">
        <v>2840.94</v>
      </c>
      <c r="O32" s="3406">
        <v>0</v>
      </c>
      <c r="P32" s="3406" t="s">
        <v>3340</v>
      </c>
      <c r="Q32" s="3406" t="s">
        <v>3154</v>
      </c>
    </row>
    <row r="33" spans="1:17">
      <c r="A33" s="3406" t="s">
        <v>3336</v>
      </c>
      <c r="B33" s="3406" t="s">
        <v>3099</v>
      </c>
      <c r="C33" s="3406" t="s">
        <v>3123</v>
      </c>
      <c r="D33" s="3406">
        <v>36720.9</v>
      </c>
      <c r="E33" s="3406">
        <v>91803</v>
      </c>
      <c r="F33" s="3406" t="s">
        <v>3246</v>
      </c>
      <c r="G33" s="3406" t="s">
        <v>3102</v>
      </c>
      <c r="H33" s="3406" t="s">
        <v>3125</v>
      </c>
      <c r="I33" s="3406">
        <v>0</v>
      </c>
      <c r="J33" s="3406" t="s">
        <v>3349</v>
      </c>
      <c r="K33" s="3406" t="s">
        <v>3349</v>
      </c>
      <c r="L33" s="3406">
        <v>26080</v>
      </c>
      <c r="M33" s="3406">
        <v>26080</v>
      </c>
      <c r="N33" s="3406">
        <v>2840.86</v>
      </c>
      <c r="O33" s="3406">
        <v>0</v>
      </c>
      <c r="P33" s="3406" t="s">
        <v>3340</v>
      </c>
      <c r="Q33" s="3406" t="s">
        <v>3154</v>
      </c>
    </row>
    <row r="34" spans="1:17">
      <c r="A34" s="3406" t="s">
        <v>3135</v>
      </c>
      <c r="B34" s="3406" t="s">
        <v>3099</v>
      </c>
      <c r="C34" s="3406" t="s">
        <v>3131</v>
      </c>
      <c r="D34" s="3406">
        <v>119614.8</v>
      </c>
      <c r="E34" s="3406">
        <v>179422.2</v>
      </c>
      <c r="F34" s="3406" t="s">
        <v>3124</v>
      </c>
      <c r="G34" s="3406" t="s">
        <v>3102</v>
      </c>
      <c r="H34" s="3406" t="s">
        <v>3136</v>
      </c>
      <c r="I34" s="3406" t="s">
        <v>3126</v>
      </c>
      <c r="J34" s="3406" t="s">
        <v>3127</v>
      </c>
      <c r="K34" s="3406" t="s">
        <v>3127</v>
      </c>
      <c r="L34" s="3406">
        <v>50600</v>
      </c>
      <c r="M34" s="3406">
        <v>50600</v>
      </c>
      <c r="N34" s="3406">
        <v>2820.15</v>
      </c>
      <c r="O34" s="3406">
        <v>0</v>
      </c>
      <c r="P34" s="3406" t="s">
        <v>3137</v>
      </c>
      <c r="Q34" s="3406" t="s">
        <v>3134</v>
      </c>
    </row>
    <row r="35" spans="1:17">
      <c r="A35" s="3406" t="s">
        <v>3234</v>
      </c>
      <c r="B35" s="3406" t="s">
        <v>3099</v>
      </c>
      <c r="C35" s="3406" t="s">
        <v>3131</v>
      </c>
      <c r="D35" s="3406">
        <v>148310.70000000001</v>
      </c>
      <c r="E35" s="3406">
        <v>318119.28999999998</v>
      </c>
      <c r="F35" s="3406" t="s">
        <v>3235</v>
      </c>
      <c r="G35" s="3406" t="s">
        <v>3102</v>
      </c>
      <c r="H35" s="3406" t="s">
        <v>3236</v>
      </c>
      <c r="I35" s="3406">
        <v>0</v>
      </c>
      <c r="J35" s="3406" t="s">
        <v>3237</v>
      </c>
      <c r="K35" s="3406" t="s">
        <v>3237</v>
      </c>
      <c r="L35" s="3406">
        <v>86315</v>
      </c>
      <c r="M35" s="3406">
        <v>86315</v>
      </c>
      <c r="N35" s="3406">
        <v>2713.28</v>
      </c>
      <c r="O35" s="3406">
        <v>0</v>
      </c>
      <c r="P35" s="3406" t="s">
        <v>3238</v>
      </c>
      <c r="Q35" s="3406" t="s">
        <v>3140</v>
      </c>
    </row>
    <row r="36" spans="1:17">
      <c r="A36" s="3406" t="s">
        <v>3265</v>
      </c>
      <c r="B36" s="3406" t="s">
        <v>3099</v>
      </c>
      <c r="C36" s="3406" t="s">
        <v>3145</v>
      </c>
      <c r="D36" s="3406">
        <v>2000.5</v>
      </c>
      <c r="E36" s="3406">
        <v>4001</v>
      </c>
      <c r="F36" s="3406" t="s">
        <v>3266</v>
      </c>
      <c r="G36" s="3406" t="s">
        <v>3102</v>
      </c>
      <c r="H36" s="3406" t="s">
        <v>3267</v>
      </c>
      <c r="I36" s="3406">
        <v>0</v>
      </c>
      <c r="J36" s="3406" t="s">
        <v>3258</v>
      </c>
      <c r="K36" s="3406" t="s">
        <v>3258</v>
      </c>
      <c r="L36" s="3406">
        <v>1080</v>
      </c>
      <c r="M36" s="3406">
        <v>1080</v>
      </c>
      <c r="N36" s="3406">
        <v>2699.32</v>
      </c>
      <c r="O36" s="3406">
        <v>0</v>
      </c>
      <c r="P36" s="3406" t="s">
        <v>3268</v>
      </c>
      <c r="Q36" s="3406" t="s">
        <v>3140</v>
      </c>
    </row>
    <row r="37" spans="1:17">
      <c r="A37" s="3406" t="s">
        <v>3262</v>
      </c>
      <c r="B37" s="3406" t="s">
        <v>3099</v>
      </c>
      <c r="C37" s="3406" t="s">
        <v>3145</v>
      </c>
      <c r="D37" s="3406">
        <v>38375.5</v>
      </c>
      <c r="E37" s="3406">
        <v>95938.75</v>
      </c>
      <c r="F37" s="3406" t="s">
        <v>3294</v>
      </c>
      <c r="G37" s="3406" t="s">
        <v>3102</v>
      </c>
      <c r="H37" s="3406" t="s">
        <v>3267</v>
      </c>
      <c r="I37" s="3406">
        <v>0</v>
      </c>
      <c r="J37" s="3406" t="s">
        <v>3288</v>
      </c>
      <c r="K37" s="3406" t="s">
        <v>3288</v>
      </c>
      <c r="L37" s="3406">
        <v>25670</v>
      </c>
      <c r="M37" s="3406">
        <v>25670</v>
      </c>
      <c r="N37" s="3406">
        <v>2675.67</v>
      </c>
      <c r="O37" s="3406">
        <v>0</v>
      </c>
      <c r="P37" s="3406" t="s">
        <v>3295</v>
      </c>
      <c r="Q37" s="3406" t="s">
        <v>3129</v>
      </c>
    </row>
    <row r="38" spans="1:17">
      <c r="A38" s="3406" t="s">
        <v>3336</v>
      </c>
      <c r="B38" s="3406" t="s">
        <v>3099</v>
      </c>
      <c r="C38" s="3406" t="s">
        <v>3131</v>
      </c>
      <c r="D38" s="3406">
        <v>31810.1</v>
      </c>
      <c r="E38" s="3406">
        <v>79526</v>
      </c>
      <c r="F38" s="3406" t="s">
        <v>3246</v>
      </c>
      <c r="G38" s="3406" t="s">
        <v>3102</v>
      </c>
      <c r="H38" s="3406" t="s">
        <v>3192</v>
      </c>
      <c r="I38" s="3406">
        <v>0</v>
      </c>
      <c r="J38" s="3406" t="s">
        <v>3349</v>
      </c>
      <c r="K38" s="3406" t="s">
        <v>3349</v>
      </c>
      <c r="L38" s="3406">
        <v>21170</v>
      </c>
      <c r="M38" s="3406">
        <v>21170</v>
      </c>
      <c r="N38" s="3406">
        <v>2662.01</v>
      </c>
      <c r="O38" s="3406">
        <v>0</v>
      </c>
      <c r="P38" s="3406" t="s">
        <v>3340</v>
      </c>
      <c r="Q38" s="3406" t="s">
        <v>3154</v>
      </c>
    </row>
    <row r="39" spans="1:17">
      <c r="A39" s="3406" t="s">
        <v>3190</v>
      </c>
      <c r="B39" s="3406" t="s">
        <v>3099</v>
      </c>
      <c r="C39" s="3406" t="s">
        <v>3131</v>
      </c>
      <c r="D39" s="3406">
        <v>198661.1</v>
      </c>
      <c r="E39" s="3406">
        <v>288691.20000000001</v>
      </c>
      <c r="F39" s="3406" t="s">
        <v>3191</v>
      </c>
      <c r="G39" s="3406" t="s">
        <v>3102</v>
      </c>
      <c r="H39" s="3406" t="s">
        <v>3192</v>
      </c>
      <c r="I39" s="3406">
        <v>0</v>
      </c>
      <c r="J39" s="3406" t="s">
        <v>3185</v>
      </c>
      <c r="K39" s="3406" t="s">
        <v>3185</v>
      </c>
      <c r="L39" s="3406">
        <v>73890</v>
      </c>
      <c r="M39" s="3406">
        <v>73890</v>
      </c>
      <c r="N39" s="3406">
        <v>2559.48</v>
      </c>
      <c r="O39" s="3406">
        <v>0</v>
      </c>
      <c r="P39" s="3406" t="s">
        <v>3193</v>
      </c>
      <c r="Q39" s="3406" t="s">
        <v>3134</v>
      </c>
    </row>
    <row r="40" spans="1:17">
      <c r="A40" s="3406" t="s">
        <v>3234</v>
      </c>
      <c r="B40" s="3406" t="s">
        <v>3099</v>
      </c>
      <c r="C40" s="3406" t="s">
        <v>3131</v>
      </c>
      <c r="D40" s="3406">
        <v>175153.7</v>
      </c>
      <c r="E40" s="3406">
        <v>286866</v>
      </c>
      <c r="F40" s="3406" t="s">
        <v>3249</v>
      </c>
      <c r="G40" s="3406" t="s">
        <v>3102</v>
      </c>
      <c r="H40" s="3406" t="s">
        <v>3250</v>
      </c>
      <c r="I40" s="3406">
        <v>0</v>
      </c>
      <c r="J40" s="3406" t="s">
        <v>3237</v>
      </c>
      <c r="K40" s="3406" t="s">
        <v>3237</v>
      </c>
      <c r="L40" s="3406">
        <v>60860</v>
      </c>
      <c r="M40" s="3406">
        <v>60860</v>
      </c>
      <c r="N40" s="3406">
        <v>2121.5500000000002</v>
      </c>
      <c r="O40" s="3406">
        <v>0</v>
      </c>
      <c r="P40" s="3406" t="s">
        <v>3238</v>
      </c>
      <c r="Q40" s="3406" t="s">
        <v>3140</v>
      </c>
    </row>
    <row r="41" spans="1:17">
      <c r="A41" s="3406" t="s">
        <v>3106</v>
      </c>
      <c r="B41" s="3406" t="s">
        <v>3099</v>
      </c>
      <c r="C41" s="3406" t="s">
        <v>3100</v>
      </c>
      <c r="D41" s="3406">
        <v>20899.400000000001</v>
      </c>
      <c r="E41" s="3406">
        <v>20899.400000000001</v>
      </c>
      <c r="F41" s="3406" t="s">
        <v>3101</v>
      </c>
      <c r="G41" s="3406" t="s">
        <v>3102</v>
      </c>
      <c r="H41" s="3406" t="s">
        <v>3100</v>
      </c>
      <c r="I41" s="3406">
        <v>0</v>
      </c>
      <c r="J41" s="3406" t="s">
        <v>3200</v>
      </c>
      <c r="K41" s="3406" t="s">
        <v>3200</v>
      </c>
      <c r="L41" s="3406">
        <v>4150</v>
      </c>
      <c r="M41" s="3406">
        <v>4150</v>
      </c>
      <c r="N41" s="3406">
        <v>1985.7</v>
      </c>
      <c r="O41" s="3406">
        <v>0</v>
      </c>
      <c r="P41" s="3406" t="s">
        <v>3205</v>
      </c>
      <c r="Q41" s="3406" t="s">
        <v>3105</v>
      </c>
    </row>
    <row r="42" spans="1:17">
      <c r="A42" s="3406" t="s">
        <v>3397</v>
      </c>
      <c r="B42" s="3406" t="s">
        <v>3099</v>
      </c>
      <c r="C42" s="3406" t="s">
        <v>3100</v>
      </c>
      <c r="D42" s="3406">
        <v>68267.7</v>
      </c>
      <c r="E42" s="3406">
        <v>23893.7</v>
      </c>
      <c r="F42" s="3406" t="s">
        <v>3398</v>
      </c>
      <c r="G42" s="3406" t="s">
        <v>3102</v>
      </c>
      <c r="H42" s="3406" t="s">
        <v>3111</v>
      </c>
      <c r="I42" s="3406">
        <v>0</v>
      </c>
      <c r="J42" s="3406" t="s">
        <v>3399</v>
      </c>
      <c r="K42" s="3406" t="s">
        <v>3399</v>
      </c>
      <c r="L42" s="3406">
        <v>4680</v>
      </c>
      <c r="M42" s="3406">
        <v>4680</v>
      </c>
      <c r="N42" s="3406">
        <v>1958.68</v>
      </c>
      <c r="O42" s="3406">
        <v>0</v>
      </c>
      <c r="P42" s="3406" t="s">
        <v>3400</v>
      </c>
      <c r="Q42" s="3406" t="s">
        <v>3105</v>
      </c>
    </row>
    <row r="43" spans="1:17">
      <c r="A43" s="3406" t="s">
        <v>3202</v>
      </c>
      <c r="B43" s="3406" t="s">
        <v>3099</v>
      </c>
      <c r="C43" s="3406" t="s">
        <v>3100</v>
      </c>
      <c r="D43" s="3406">
        <v>42839</v>
      </c>
      <c r="E43" s="3406">
        <v>25703.4</v>
      </c>
      <c r="F43" s="3406" t="s">
        <v>3203</v>
      </c>
      <c r="G43" s="3406" t="s">
        <v>3102</v>
      </c>
      <c r="H43" s="3406" t="s">
        <v>3170</v>
      </c>
      <c r="I43" s="3406">
        <v>0</v>
      </c>
      <c r="J43" s="3406" t="s">
        <v>3200</v>
      </c>
      <c r="K43" s="3406" t="s">
        <v>3200</v>
      </c>
      <c r="L43" s="3406">
        <v>5010</v>
      </c>
      <c r="M43" s="3406">
        <v>5010</v>
      </c>
      <c r="N43" s="3406">
        <v>1949.16</v>
      </c>
      <c r="O43" s="3406">
        <v>0</v>
      </c>
      <c r="P43" s="3406" t="s">
        <v>3204</v>
      </c>
      <c r="Q43" s="3406" t="s">
        <v>3105</v>
      </c>
    </row>
    <row r="44" spans="1:17">
      <c r="A44" s="3406" t="s">
        <v>3336</v>
      </c>
      <c r="B44" s="3406" t="s">
        <v>3099</v>
      </c>
      <c r="C44" s="3406" t="s">
        <v>3145</v>
      </c>
      <c r="D44" s="3406">
        <v>13784.6</v>
      </c>
      <c r="E44" s="3406">
        <v>13784.9</v>
      </c>
      <c r="F44" s="3406" t="s">
        <v>3224</v>
      </c>
      <c r="G44" s="3406" t="s">
        <v>3102</v>
      </c>
      <c r="H44" s="3406" t="s">
        <v>3345</v>
      </c>
      <c r="I44" s="3406">
        <v>0</v>
      </c>
      <c r="J44" s="3406" t="s">
        <v>3339</v>
      </c>
      <c r="K44" s="3406" t="s">
        <v>3339</v>
      </c>
      <c r="L44" s="3406">
        <v>2610</v>
      </c>
      <c r="M44" s="3406">
        <v>2610</v>
      </c>
      <c r="N44" s="3406">
        <v>1893.38</v>
      </c>
      <c r="O44" s="3406">
        <v>0</v>
      </c>
      <c r="P44" s="3406" t="s">
        <v>3340</v>
      </c>
      <c r="Q44" s="3406" t="s">
        <v>3129</v>
      </c>
    </row>
    <row r="45" spans="1:17">
      <c r="A45" s="3406" t="s">
        <v>3336</v>
      </c>
      <c r="B45" s="3406" t="s">
        <v>3099</v>
      </c>
      <c r="C45" s="3406" t="s">
        <v>3145</v>
      </c>
      <c r="D45" s="3406">
        <v>15103.3</v>
      </c>
      <c r="E45" s="3406">
        <v>15103.9</v>
      </c>
      <c r="F45" s="3406" t="s">
        <v>3224</v>
      </c>
      <c r="G45" s="3406" t="s">
        <v>3102</v>
      </c>
      <c r="H45" s="3406" t="s">
        <v>3345</v>
      </c>
      <c r="I45" s="3406">
        <v>0</v>
      </c>
      <c r="J45" s="3406" t="s">
        <v>3339</v>
      </c>
      <c r="K45" s="3406" t="s">
        <v>3339</v>
      </c>
      <c r="L45" s="3406">
        <v>2850</v>
      </c>
      <c r="M45" s="3406">
        <v>2850</v>
      </c>
      <c r="N45" s="3406">
        <v>1886.93</v>
      </c>
      <c r="O45" s="3406">
        <v>0</v>
      </c>
      <c r="P45" s="3406" t="s">
        <v>3340</v>
      </c>
      <c r="Q45" s="3406" t="s">
        <v>3129</v>
      </c>
    </row>
    <row r="46" spans="1:17">
      <c r="A46" s="3406" t="s">
        <v>3350</v>
      </c>
      <c r="B46" s="3406" t="s">
        <v>3099</v>
      </c>
      <c r="C46" s="3406" t="s">
        <v>3145</v>
      </c>
      <c r="D46" s="3406">
        <v>8025</v>
      </c>
      <c r="E46" s="3406">
        <v>13642.5</v>
      </c>
      <c r="F46" s="3406" t="s">
        <v>3351</v>
      </c>
      <c r="G46" s="3406" t="s">
        <v>3102</v>
      </c>
      <c r="H46" s="3406" t="s">
        <v>3352</v>
      </c>
      <c r="I46" s="3406">
        <v>0</v>
      </c>
      <c r="J46" s="3406" t="s">
        <v>3349</v>
      </c>
      <c r="K46" s="3406" t="s">
        <v>3349</v>
      </c>
      <c r="L46" s="3406">
        <v>2090</v>
      </c>
      <c r="M46" s="3406">
        <v>2090</v>
      </c>
      <c r="N46" s="3406">
        <v>1531.98</v>
      </c>
      <c r="O46" s="3406">
        <v>0</v>
      </c>
      <c r="P46" s="3406" t="s">
        <v>3353</v>
      </c>
      <c r="Q46" s="3406" t="s">
        <v>3154</v>
      </c>
    </row>
    <row r="47" spans="1:17">
      <c r="A47" s="1407" t="s">
        <v>3472</v>
      </c>
      <c r="B47" s="1407" t="s">
        <v>3099</v>
      </c>
      <c r="C47" s="1407" t="s">
        <v>3100</v>
      </c>
      <c r="D47" s="1407">
        <v>10010.700000000001</v>
      </c>
      <c r="E47" s="1407">
        <v>8008.56</v>
      </c>
      <c r="F47" s="1407" t="s">
        <v>3473</v>
      </c>
      <c r="G47" s="1407" t="s">
        <v>3102</v>
      </c>
      <c r="H47" s="1407" t="s">
        <v>3170</v>
      </c>
      <c r="I47" s="1407">
        <v>0</v>
      </c>
      <c r="J47" s="1407" t="s">
        <v>3474</v>
      </c>
      <c r="K47" s="1407" t="s">
        <v>3474</v>
      </c>
      <c r="L47" s="1407">
        <v>1190</v>
      </c>
      <c r="M47" s="1407">
        <v>1190</v>
      </c>
      <c r="N47" s="1407">
        <v>1485.91</v>
      </c>
      <c r="O47" s="1407">
        <v>0</v>
      </c>
      <c r="P47" s="1407" t="s">
        <v>3475</v>
      </c>
      <c r="Q47" s="1407" t="s">
        <v>3105</v>
      </c>
    </row>
    <row r="48" spans="1:17">
      <c r="A48" s="3406" t="s">
        <v>3336</v>
      </c>
      <c r="B48" s="3406" t="s">
        <v>3099</v>
      </c>
      <c r="C48" s="3406" t="s">
        <v>3131</v>
      </c>
      <c r="D48" s="3406">
        <v>32997.300000000003</v>
      </c>
      <c r="E48" s="3406">
        <v>174940</v>
      </c>
      <c r="F48" s="3406" t="s">
        <v>3337</v>
      </c>
      <c r="G48" s="3406" t="s">
        <v>3102</v>
      </c>
      <c r="H48" s="3406" t="s">
        <v>3338</v>
      </c>
      <c r="I48" s="3406">
        <v>0</v>
      </c>
      <c r="J48" s="3406" t="s">
        <v>3339</v>
      </c>
      <c r="K48" s="3406" t="s">
        <v>3339</v>
      </c>
      <c r="L48" s="3406">
        <v>24080</v>
      </c>
      <c r="M48" s="3406">
        <v>24080</v>
      </c>
      <c r="N48" s="3406">
        <v>1376.47</v>
      </c>
      <c r="O48" s="3406">
        <v>0</v>
      </c>
      <c r="P48" s="3406" t="s">
        <v>3340</v>
      </c>
      <c r="Q48" s="3406" t="s">
        <v>3154</v>
      </c>
    </row>
    <row r="49" spans="1:17">
      <c r="A49" s="1407" t="s">
        <v>3310</v>
      </c>
      <c r="B49" s="1407" t="s">
        <v>3099</v>
      </c>
      <c r="C49" s="1407" t="s">
        <v>3100</v>
      </c>
      <c r="D49" s="1407">
        <v>202531.3</v>
      </c>
      <c r="E49" s="1407">
        <v>303796.95</v>
      </c>
      <c r="F49" s="1407" t="s">
        <v>3499</v>
      </c>
      <c r="G49" s="1407" t="s">
        <v>3102</v>
      </c>
      <c r="H49" s="1407" t="s">
        <v>3100</v>
      </c>
      <c r="I49" s="1407">
        <v>0</v>
      </c>
      <c r="J49" s="1407" t="s">
        <v>3500</v>
      </c>
      <c r="K49" s="1407" t="s">
        <v>3500</v>
      </c>
      <c r="L49" s="1407">
        <v>39880</v>
      </c>
      <c r="M49" s="1407">
        <v>39880</v>
      </c>
      <c r="N49" s="1407">
        <v>1312.72</v>
      </c>
      <c r="O49" s="1407">
        <v>0</v>
      </c>
      <c r="P49" s="1407" t="s">
        <v>3501</v>
      </c>
      <c r="Q49" s="1407" t="s">
        <v>3105</v>
      </c>
    </row>
    <row r="50" spans="1:17">
      <c r="A50" s="3406" t="s">
        <v>3144</v>
      </c>
      <c r="B50" s="3406" t="s">
        <v>3099</v>
      </c>
      <c r="C50" s="3406" t="s">
        <v>3145</v>
      </c>
      <c r="D50" s="3406">
        <v>13805.5</v>
      </c>
      <c r="E50" s="3406">
        <v>41416.5</v>
      </c>
      <c r="F50" s="3406" t="s">
        <v>3146</v>
      </c>
      <c r="G50" s="3406" t="s">
        <v>3102</v>
      </c>
      <c r="H50" s="3406" t="s">
        <v>3147</v>
      </c>
      <c r="I50" s="3406">
        <v>0</v>
      </c>
      <c r="J50" s="3406" t="s">
        <v>3148</v>
      </c>
      <c r="K50" s="3406" t="s">
        <v>3148</v>
      </c>
      <c r="L50" s="3406">
        <v>5120</v>
      </c>
      <c r="M50" s="3406">
        <v>5120</v>
      </c>
      <c r="N50" s="3406">
        <v>1236.22</v>
      </c>
      <c r="O50" s="3406">
        <v>0</v>
      </c>
      <c r="P50" s="3406" t="s">
        <v>3149</v>
      </c>
      <c r="Q50" s="3406" t="s">
        <v>3134</v>
      </c>
    </row>
    <row r="51" spans="1:17">
      <c r="A51" s="3406" t="s">
        <v>3227</v>
      </c>
      <c r="B51" s="3406" t="s">
        <v>3099</v>
      </c>
      <c r="C51" s="3406" t="s">
        <v>3100</v>
      </c>
      <c r="D51" s="3406">
        <v>25067.4</v>
      </c>
      <c r="E51" s="3406">
        <v>15040.44</v>
      </c>
      <c r="F51" s="3406" t="s">
        <v>3228</v>
      </c>
      <c r="G51" s="3406" t="s">
        <v>3102</v>
      </c>
      <c r="H51" s="3406" t="s">
        <v>3100</v>
      </c>
      <c r="I51" s="3406">
        <v>0</v>
      </c>
      <c r="J51" s="3406" t="s">
        <v>3229</v>
      </c>
      <c r="K51" s="3406" t="s">
        <v>3229</v>
      </c>
      <c r="L51" s="3406">
        <v>1630</v>
      </c>
      <c r="M51" s="3406">
        <v>1630</v>
      </c>
      <c r="N51" s="3406">
        <v>1083.74</v>
      </c>
      <c r="O51" s="3406">
        <v>0</v>
      </c>
      <c r="P51" s="3406" t="s">
        <v>3230</v>
      </c>
      <c r="Q51" s="3406" t="s">
        <v>3105</v>
      </c>
    </row>
    <row r="52" spans="1:17">
      <c r="A52" s="3406" t="s">
        <v>3168</v>
      </c>
      <c r="B52" s="3406" t="s">
        <v>3099</v>
      </c>
      <c r="C52" s="3406" t="s">
        <v>3100</v>
      </c>
      <c r="D52" s="3406">
        <v>24978</v>
      </c>
      <c r="E52" s="3406">
        <v>14986.8</v>
      </c>
      <c r="F52" s="3406" t="s">
        <v>3228</v>
      </c>
      <c r="G52" s="3406" t="s">
        <v>3102</v>
      </c>
      <c r="H52" s="3406" t="s">
        <v>3100</v>
      </c>
      <c r="I52" s="3406">
        <v>0</v>
      </c>
      <c r="J52" s="3406" t="s">
        <v>3431</v>
      </c>
      <c r="K52" s="3406" t="s">
        <v>3431</v>
      </c>
      <c r="L52" s="3406">
        <v>1380</v>
      </c>
      <c r="M52" s="3406">
        <v>1380</v>
      </c>
      <c r="N52" s="3406">
        <v>920.8</v>
      </c>
      <c r="O52" s="3406">
        <v>0</v>
      </c>
      <c r="P52" s="3406" t="s">
        <v>3432</v>
      </c>
      <c r="Q52" s="3406" t="s">
        <v>3105</v>
      </c>
    </row>
    <row r="53" spans="1:17">
      <c r="A53" s="3406" t="s">
        <v>3336</v>
      </c>
      <c r="B53" s="3406" t="s">
        <v>3099</v>
      </c>
      <c r="C53" s="3406" t="s">
        <v>3173</v>
      </c>
      <c r="D53" s="3406">
        <v>4560</v>
      </c>
      <c r="E53" s="3406">
        <v>3192</v>
      </c>
      <c r="F53" s="3406" t="s">
        <v>3341</v>
      </c>
      <c r="G53" s="3406" t="s">
        <v>3102</v>
      </c>
      <c r="H53" s="3406" t="s">
        <v>3342</v>
      </c>
      <c r="I53" s="3406">
        <v>0</v>
      </c>
      <c r="J53" s="3406" t="s">
        <v>3339</v>
      </c>
      <c r="K53" s="3406" t="s">
        <v>3339</v>
      </c>
      <c r="L53" s="3406">
        <v>280</v>
      </c>
      <c r="M53" s="3406">
        <v>280</v>
      </c>
      <c r="N53" s="3406">
        <v>877.19</v>
      </c>
      <c r="O53" s="3406">
        <v>0</v>
      </c>
      <c r="P53" s="3406" t="s">
        <v>3340</v>
      </c>
      <c r="Q53" s="3406" t="s">
        <v>3105</v>
      </c>
    </row>
    <row r="54" spans="1:17">
      <c r="A54" s="3406" t="s">
        <v>3336</v>
      </c>
      <c r="B54" s="3406" t="s">
        <v>3099</v>
      </c>
      <c r="C54" s="3406" t="s">
        <v>3173</v>
      </c>
      <c r="D54" s="3406">
        <v>5753.9</v>
      </c>
      <c r="E54" s="3406">
        <v>4027</v>
      </c>
      <c r="F54" s="3406" t="s">
        <v>3341</v>
      </c>
      <c r="G54" s="3406" t="s">
        <v>3102</v>
      </c>
      <c r="H54" s="3406" t="s">
        <v>3342</v>
      </c>
      <c r="I54" s="3406">
        <v>0</v>
      </c>
      <c r="J54" s="3406" t="s">
        <v>3339</v>
      </c>
      <c r="K54" s="3406" t="s">
        <v>3339</v>
      </c>
      <c r="L54" s="3406">
        <v>340</v>
      </c>
      <c r="M54" s="3406">
        <v>340</v>
      </c>
      <c r="N54" s="3406">
        <v>844.29</v>
      </c>
      <c r="O54" s="3406">
        <v>0</v>
      </c>
      <c r="P54" s="3406" t="s">
        <v>3340</v>
      </c>
      <c r="Q54" s="3406" t="s">
        <v>3105</v>
      </c>
    </row>
    <row r="55" spans="1:17">
      <c r="A55" s="3405" t="s">
        <v>3354</v>
      </c>
      <c r="B55" s="3406" t="s">
        <v>3099</v>
      </c>
      <c r="C55" s="3406" t="s">
        <v>3100</v>
      </c>
      <c r="D55" s="3406">
        <v>32819.1</v>
      </c>
      <c r="E55" s="3406">
        <v>22973.37</v>
      </c>
      <c r="F55" s="3406" t="s">
        <v>3308</v>
      </c>
      <c r="G55" s="3406" t="s">
        <v>3102</v>
      </c>
      <c r="H55" s="3406" t="s">
        <v>3100</v>
      </c>
      <c r="I55" s="3406">
        <v>0</v>
      </c>
      <c r="J55" s="3406" t="s">
        <v>3339</v>
      </c>
      <c r="K55" s="3406" t="s">
        <v>3339</v>
      </c>
      <c r="L55" s="3406">
        <v>1860</v>
      </c>
      <c r="M55" s="3406">
        <v>1860</v>
      </c>
      <c r="N55" s="3406">
        <v>809.62</v>
      </c>
      <c r="O55" s="3406">
        <v>0</v>
      </c>
      <c r="P55" s="3406" t="s">
        <v>3343</v>
      </c>
      <c r="Q55" s="3406" t="s">
        <v>3105</v>
      </c>
    </row>
    <row r="56" spans="1:17">
      <c r="A56" s="3406" t="s">
        <v>3406</v>
      </c>
      <c r="B56" s="3406" t="s">
        <v>3099</v>
      </c>
      <c r="C56" s="3406" t="s">
        <v>3100</v>
      </c>
      <c r="D56" s="3406">
        <v>21000.9</v>
      </c>
      <c r="E56" s="3406">
        <v>14700.63</v>
      </c>
      <c r="F56" s="3406" t="s">
        <v>3308</v>
      </c>
      <c r="G56" s="3406" t="s">
        <v>3102</v>
      </c>
      <c r="H56" s="3406" t="s">
        <v>3100</v>
      </c>
      <c r="I56" s="3406">
        <v>0</v>
      </c>
      <c r="J56" s="3406" t="s">
        <v>3401</v>
      </c>
      <c r="K56" s="3406" t="s">
        <v>3401</v>
      </c>
      <c r="L56" s="3406">
        <v>1190</v>
      </c>
      <c r="M56" s="3406">
        <v>1190</v>
      </c>
      <c r="N56" s="3406">
        <v>809.49</v>
      </c>
      <c r="O56" s="3406">
        <v>0</v>
      </c>
      <c r="P56" s="3406" t="s">
        <v>3407</v>
      </c>
      <c r="Q56" s="3406" t="s">
        <v>3105</v>
      </c>
    </row>
    <row r="57" spans="1:17">
      <c r="A57" s="1407" t="s">
        <v>3498</v>
      </c>
      <c r="B57" s="1407" t="s">
        <v>3099</v>
      </c>
      <c r="C57" s="1407" t="s">
        <v>3100</v>
      </c>
      <c r="D57" s="1407">
        <v>25819</v>
      </c>
      <c r="E57" s="1407">
        <v>18073.3</v>
      </c>
      <c r="F57" s="1407" t="s">
        <v>3308</v>
      </c>
      <c r="G57" s="1407" t="s">
        <v>3102</v>
      </c>
      <c r="H57" s="1407" t="s">
        <v>3100</v>
      </c>
      <c r="I57" s="1407">
        <v>0</v>
      </c>
      <c r="J57" s="1407" t="s">
        <v>3497</v>
      </c>
      <c r="K57" s="1407" t="s">
        <v>3497</v>
      </c>
      <c r="L57" s="1407">
        <v>1460</v>
      </c>
      <c r="M57" s="1407">
        <v>1460</v>
      </c>
      <c r="N57" s="1407">
        <v>807.82</v>
      </c>
      <c r="O57" s="1407">
        <v>0</v>
      </c>
      <c r="P57" s="1407" t="s">
        <v>3316</v>
      </c>
      <c r="Q57" s="1407" t="s">
        <v>3105</v>
      </c>
    </row>
    <row r="58" spans="1:17" s="3402" customFormat="1">
      <c r="A58" s="3401" t="s">
        <v>3496</v>
      </c>
      <c r="B58" s="3401" t="s">
        <v>3099</v>
      </c>
      <c r="C58" s="3401" t="s">
        <v>3100</v>
      </c>
      <c r="D58" s="3401">
        <v>62112</v>
      </c>
      <c r="E58" s="3401">
        <v>43478.400000000001</v>
      </c>
      <c r="F58" s="3401" t="s">
        <v>3308</v>
      </c>
      <c r="G58" s="3401" t="s">
        <v>3102</v>
      </c>
      <c r="H58" s="3401" t="s">
        <v>3100</v>
      </c>
      <c r="I58" s="3401">
        <v>0</v>
      </c>
      <c r="J58" s="3401" t="s">
        <v>3497</v>
      </c>
      <c r="K58" s="3401" t="s">
        <v>3497</v>
      </c>
      <c r="L58" s="3401">
        <v>3510</v>
      </c>
      <c r="M58" s="3401">
        <v>3510</v>
      </c>
      <c r="N58" s="3401">
        <v>807.29</v>
      </c>
      <c r="O58" s="3401">
        <v>0</v>
      </c>
      <c r="P58" s="3401" t="s">
        <v>3316</v>
      </c>
      <c r="Q58" s="3401" t="s">
        <v>3105</v>
      </c>
    </row>
    <row r="59" spans="1:17">
      <c r="A59" s="1407" t="s">
        <v>3538</v>
      </c>
      <c r="B59" s="1407" t="s">
        <v>3099</v>
      </c>
      <c r="C59" s="1407" t="s">
        <v>3100</v>
      </c>
      <c r="D59" s="1407">
        <v>100002.5</v>
      </c>
      <c r="E59" s="1407">
        <v>70001.75</v>
      </c>
      <c r="F59" s="1407" t="s">
        <v>3308</v>
      </c>
      <c r="G59" s="1407" t="s">
        <v>3102</v>
      </c>
      <c r="H59" s="1407" t="s">
        <v>3100</v>
      </c>
      <c r="I59" s="1407">
        <v>0</v>
      </c>
      <c r="J59" s="1407" t="s">
        <v>3533</v>
      </c>
      <c r="K59" s="1407" t="s">
        <v>3533</v>
      </c>
      <c r="L59" s="1407">
        <v>5650</v>
      </c>
      <c r="M59" s="1407">
        <v>5650</v>
      </c>
      <c r="N59" s="1407">
        <v>807.12</v>
      </c>
      <c r="O59" s="1407">
        <v>0</v>
      </c>
      <c r="P59" s="1407" t="s">
        <v>3539</v>
      </c>
      <c r="Q59" s="1407" t="s">
        <v>3105</v>
      </c>
    </row>
    <row r="60" spans="1:17" s="3404" customFormat="1">
      <c r="A60" s="3403" t="s">
        <v>3459</v>
      </c>
      <c r="B60" s="3403" t="s">
        <v>3099</v>
      </c>
      <c r="C60" s="3403" t="s">
        <v>3100</v>
      </c>
      <c r="D60" s="3403">
        <v>57398</v>
      </c>
      <c r="E60" s="3403">
        <v>40178.6</v>
      </c>
      <c r="F60" s="3403" t="s">
        <v>3308</v>
      </c>
      <c r="G60" s="3403" t="s">
        <v>3102</v>
      </c>
      <c r="H60" s="3403" t="s">
        <v>3100</v>
      </c>
      <c r="I60" s="3403">
        <v>0</v>
      </c>
      <c r="J60" s="3403" t="s">
        <v>3460</v>
      </c>
      <c r="K60" s="3403" t="s">
        <v>3460</v>
      </c>
      <c r="L60" s="3403">
        <v>3240</v>
      </c>
      <c r="M60" s="3403">
        <v>3240</v>
      </c>
      <c r="N60" s="3403">
        <v>806.39</v>
      </c>
      <c r="O60" s="3403">
        <v>0</v>
      </c>
      <c r="P60" s="3403" t="s">
        <v>3461</v>
      </c>
      <c r="Q60" s="3403" t="s">
        <v>3105</v>
      </c>
    </row>
    <row r="61" spans="1:17" s="3404" customFormat="1">
      <c r="A61" s="3403" t="s">
        <v>3462</v>
      </c>
      <c r="B61" s="3403" t="s">
        <v>3099</v>
      </c>
      <c r="C61" s="3403" t="s">
        <v>3100</v>
      </c>
      <c r="D61" s="3403">
        <v>14000.5</v>
      </c>
      <c r="E61" s="3403">
        <v>9800.35</v>
      </c>
      <c r="F61" s="3403" t="s">
        <v>3308</v>
      </c>
      <c r="G61" s="3403" t="s">
        <v>3102</v>
      </c>
      <c r="H61" s="3403" t="s">
        <v>3100</v>
      </c>
      <c r="I61" s="3403">
        <v>0</v>
      </c>
      <c r="J61" s="3403" t="s">
        <v>3463</v>
      </c>
      <c r="K61" s="3403" t="s">
        <v>3463</v>
      </c>
      <c r="L61" s="3403">
        <v>790</v>
      </c>
      <c r="M61" s="3403">
        <v>790</v>
      </c>
      <c r="N61" s="3403">
        <v>806.09</v>
      </c>
      <c r="O61" s="3403">
        <v>0</v>
      </c>
      <c r="P61" s="3403" t="s">
        <v>3464</v>
      </c>
      <c r="Q61" s="3403" t="s">
        <v>3105</v>
      </c>
    </row>
    <row r="62" spans="1:17">
      <c r="A62" s="3406" t="s">
        <v>3360</v>
      </c>
      <c r="B62" s="3406" t="s">
        <v>3099</v>
      </c>
      <c r="C62" s="3406" t="s">
        <v>3100</v>
      </c>
      <c r="D62" s="3406">
        <v>74618.600000000006</v>
      </c>
      <c r="E62" s="3406">
        <v>52233.02</v>
      </c>
      <c r="F62" s="3406" t="s">
        <v>3308</v>
      </c>
      <c r="G62" s="3406" t="s">
        <v>3102</v>
      </c>
      <c r="H62" s="3406" t="s">
        <v>3100</v>
      </c>
      <c r="I62" s="3406">
        <v>0</v>
      </c>
      <c r="J62" s="3406" t="s">
        <v>3356</v>
      </c>
      <c r="K62" s="3406" t="s">
        <v>3356</v>
      </c>
      <c r="L62" s="3406">
        <v>4210</v>
      </c>
      <c r="M62" s="3406">
        <v>4210</v>
      </c>
      <c r="N62" s="3406">
        <v>806</v>
      </c>
      <c r="O62" s="3406">
        <v>0</v>
      </c>
      <c r="P62" s="3406" t="s">
        <v>3361</v>
      </c>
      <c r="Q62" s="3406" t="s">
        <v>3105</v>
      </c>
    </row>
    <row r="63" spans="1:17">
      <c r="A63" s="3406" t="s">
        <v>3402</v>
      </c>
      <c r="B63" s="3406" t="s">
        <v>3099</v>
      </c>
      <c r="C63" s="3406" t="s">
        <v>3100</v>
      </c>
      <c r="D63" s="3406">
        <v>15069.5</v>
      </c>
      <c r="E63" s="3406">
        <v>10548.65</v>
      </c>
      <c r="F63" s="3406" t="s">
        <v>3308</v>
      </c>
      <c r="G63" s="3406" t="s">
        <v>3102</v>
      </c>
      <c r="H63" s="3406" t="s">
        <v>3100</v>
      </c>
      <c r="I63" s="3406">
        <v>0</v>
      </c>
      <c r="J63" s="3406" t="s">
        <v>3401</v>
      </c>
      <c r="K63" s="3406" t="s">
        <v>3401</v>
      </c>
      <c r="L63" s="3406">
        <v>850</v>
      </c>
      <c r="M63" s="3406">
        <v>850</v>
      </c>
      <c r="N63" s="3406">
        <v>805.78</v>
      </c>
      <c r="O63" s="3406">
        <v>0</v>
      </c>
      <c r="P63" s="3406" t="s">
        <v>3403</v>
      </c>
      <c r="Q63" s="3406" t="s">
        <v>3105</v>
      </c>
    </row>
    <row r="64" spans="1:17">
      <c r="A64" s="3406" t="s">
        <v>3445</v>
      </c>
      <c r="B64" s="3406" t="s">
        <v>3099</v>
      </c>
      <c r="C64" s="3406" t="s">
        <v>3100</v>
      </c>
      <c r="D64" s="3406">
        <v>44001.1</v>
      </c>
      <c r="E64" s="3406">
        <v>30800.77</v>
      </c>
      <c r="F64" s="3406" t="s">
        <v>3308</v>
      </c>
      <c r="G64" s="3406" t="s">
        <v>3102</v>
      </c>
      <c r="H64" s="3406" t="s">
        <v>3100</v>
      </c>
      <c r="I64" s="3406">
        <v>0</v>
      </c>
      <c r="J64" s="3406" t="s">
        <v>3446</v>
      </c>
      <c r="K64" s="3406" t="s">
        <v>3446</v>
      </c>
      <c r="L64" s="3406">
        <v>2480</v>
      </c>
      <c r="M64" s="3406">
        <v>2480</v>
      </c>
      <c r="N64" s="3406">
        <v>805.16</v>
      </c>
      <c r="O64" s="3406">
        <v>0</v>
      </c>
      <c r="P64" s="3406" t="s">
        <v>3447</v>
      </c>
      <c r="Q64" s="3406" t="s">
        <v>3105</v>
      </c>
    </row>
    <row r="65" spans="1:17" s="3402" customFormat="1">
      <c r="A65" s="3401" t="s">
        <v>3413</v>
      </c>
      <c r="B65" s="3401" t="s">
        <v>3099</v>
      </c>
      <c r="C65" s="3401" t="s">
        <v>3100</v>
      </c>
      <c r="D65" s="3401">
        <v>140092.29999999999</v>
      </c>
      <c r="E65" s="3401">
        <v>98064.61</v>
      </c>
      <c r="F65" s="3401" t="s">
        <v>3308</v>
      </c>
      <c r="G65" s="3401" t="s">
        <v>3102</v>
      </c>
      <c r="H65" s="3401" t="s">
        <v>3100</v>
      </c>
      <c r="I65" s="3401">
        <v>0</v>
      </c>
      <c r="J65" s="3401" t="s">
        <v>3411</v>
      </c>
      <c r="K65" s="3401" t="s">
        <v>3411</v>
      </c>
      <c r="L65" s="3401">
        <v>7880</v>
      </c>
      <c r="M65" s="3401">
        <v>7880</v>
      </c>
      <c r="N65" s="3401">
        <v>803.54</v>
      </c>
      <c r="O65" s="3401">
        <v>0</v>
      </c>
      <c r="P65" s="3401" t="s">
        <v>3316</v>
      </c>
      <c r="Q65" s="3401" t="s">
        <v>3105</v>
      </c>
    </row>
    <row r="66" spans="1:17" s="3402" customFormat="1">
      <c r="A66" s="3401" t="s">
        <v>3520</v>
      </c>
      <c r="B66" s="3401" t="s">
        <v>3099</v>
      </c>
      <c r="C66" s="3401" t="s">
        <v>3100</v>
      </c>
      <c r="D66" s="3401">
        <v>148809.79999999999</v>
      </c>
      <c r="E66" s="3401">
        <v>104166.9</v>
      </c>
      <c r="F66" s="3401" t="s">
        <v>3308</v>
      </c>
      <c r="G66" s="3401" t="s">
        <v>3102</v>
      </c>
      <c r="H66" s="3401" t="s">
        <v>3100</v>
      </c>
      <c r="I66" s="3401">
        <v>0</v>
      </c>
      <c r="J66" s="3401" t="s">
        <v>3518</v>
      </c>
      <c r="K66" s="3401" t="s">
        <v>3518</v>
      </c>
      <c r="L66" s="3401">
        <v>8190</v>
      </c>
      <c r="M66" s="3401">
        <v>8190</v>
      </c>
      <c r="N66" s="3401">
        <v>786.24</v>
      </c>
      <c r="O66" s="3401">
        <v>0</v>
      </c>
      <c r="P66" s="3401" t="s">
        <v>3521</v>
      </c>
      <c r="Q66" s="3401" t="s">
        <v>3105</v>
      </c>
    </row>
    <row r="67" spans="1:17">
      <c r="A67" s="3406" t="s">
        <v>3307</v>
      </c>
      <c r="B67" s="3406" t="s">
        <v>3099</v>
      </c>
      <c r="C67" s="3406" t="s">
        <v>3100</v>
      </c>
      <c r="D67" s="3406">
        <v>39990</v>
      </c>
      <c r="E67" s="3406">
        <v>27993</v>
      </c>
      <c r="F67" s="3406" t="s">
        <v>3308</v>
      </c>
      <c r="G67" s="3406" t="s">
        <v>3102</v>
      </c>
      <c r="H67" s="3406" t="s">
        <v>3100</v>
      </c>
      <c r="I67" s="3406">
        <v>0</v>
      </c>
      <c r="J67" s="3406" t="s">
        <v>3302</v>
      </c>
      <c r="K67" s="3406" t="s">
        <v>3302</v>
      </c>
      <c r="L67" s="3406">
        <v>2200</v>
      </c>
      <c r="M67" s="3406">
        <v>2200</v>
      </c>
      <c r="N67" s="3406">
        <v>785.9</v>
      </c>
      <c r="O67" s="3406">
        <v>0</v>
      </c>
      <c r="P67" s="3406" t="s">
        <v>3309</v>
      </c>
      <c r="Q67" s="3406" t="s">
        <v>3105</v>
      </c>
    </row>
    <row r="68" spans="1:17">
      <c r="A68" s="3405" t="s">
        <v>3248</v>
      </c>
      <c r="B68" s="3406" t="s">
        <v>3099</v>
      </c>
      <c r="C68" s="3406" t="s">
        <v>3100</v>
      </c>
      <c r="D68" s="3406">
        <v>45436.3</v>
      </c>
      <c r="E68" s="3406">
        <v>90872.6</v>
      </c>
      <c r="F68" s="3406" t="s">
        <v>3101</v>
      </c>
      <c r="G68" s="3406" t="s">
        <v>3102</v>
      </c>
      <c r="H68" s="3406" t="s">
        <v>3100</v>
      </c>
      <c r="I68" s="3406">
        <v>0</v>
      </c>
      <c r="J68" s="3406" t="s">
        <v>3162</v>
      </c>
      <c r="K68" s="3406" t="s">
        <v>3162</v>
      </c>
      <c r="L68" s="3406">
        <v>7080</v>
      </c>
      <c r="M68" s="3406">
        <v>7080</v>
      </c>
      <c r="N68" s="3406">
        <v>779.11</v>
      </c>
      <c r="O68" s="3406">
        <v>0</v>
      </c>
      <c r="P68" s="3406" t="s">
        <v>3167</v>
      </c>
      <c r="Q68" s="3406" t="s">
        <v>3105</v>
      </c>
    </row>
    <row r="69" spans="1:17">
      <c r="A69" s="3406" t="s">
        <v>3219</v>
      </c>
      <c r="B69" s="3406" t="s">
        <v>3099</v>
      </c>
      <c r="C69" s="3406" t="s">
        <v>3100</v>
      </c>
      <c r="D69" s="3406">
        <v>21057.9</v>
      </c>
      <c r="E69" s="3406">
        <v>35798.43</v>
      </c>
      <c r="F69" s="3406" t="s">
        <v>3220</v>
      </c>
      <c r="G69" s="3406" t="s">
        <v>3102</v>
      </c>
      <c r="H69" s="3406" t="s">
        <v>3100</v>
      </c>
      <c r="I69" s="3406">
        <v>0</v>
      </c>
      <c r="J69" s="3406" t="s">
        <v>3217</v>
      </c>
      <c r="K69" s="3406" t="s">
        <v>3217</v>
      </c>
      <c r="L69" s="3406">
        <v>2760</v>
      </c>
      <c r="M69" s="3406">
        <v>2760</v>
      </c>
      <c r="N69" s="3406">
        <v>770.98</v>
      </c>
      <c r="O69" s="3406">
        <v>0</v>
      </c>
      <c r="P69" s="3406" t="s">
        <v>3205</v>
      </c>
      <c r="Q69" s="3406" t="s">
        <v>3105</v>
      </c>
    </row>
    <row r="70" spans="1:17">
      <c r="A70" s="3406" t="s">
        <v>3168</v>
      </c>
      <c r="B70" s="3406" t="s">
        <v>3099</v>
      </c>
      <c r="C70" s="3406" t="s">
        <v>3100</v>
      </c>
      <c r="D70" s="3406">
        <v>478988.5</v>
      </c>
      <c r="E70" s="3406">
        <v>478988.5</v>
      </c>
      <c r="F70" s="3406" t="s">
        <v>3169</v>
      </c>
      <c r="G70" s="3406" t="s">
        <v>3102</v>
      </c>
      <c r="H70" s="3406" t="s">
        <v>3170</v>
      </c>
      <c r="I70" s="3406">
        <v>0</v>
      </c>
      <c r="J70" s="3406" t="s">
        <v>3162</v>
      </c>
      <c r="K70" s="3406" t="s">
        <v>3162</v>
      </c>
      <c r="L70" s="3406">
        <v>35930</v>
      </c>
      <c r="M70" s="3406">
        <v>35930</v>
      </c>
      <c r="N70" s="3406">
        <v>750.12</v>
      </c>
      <c r="O70" s="3406">
        <v>0</v>
      </c>
      <c r="P70" s="3406" t="s">
        <v>3171</v>
      </c>
      <c r="Q70" s="3406" t="s">
        <v>3105</v>
      </c>
    </row>
    <row r="71" spans="1:17">
      <c r="A71" s="1407" t="s">
        <v>3542</v>
      </c>
      <c r="B71" s="1407" t="s">
        <v>3099</v>
      </c>
      <c r="C71" s="1407" t="s">
        <v>3100</v>
      </c>
      <c r="D71" s="1407">
        <v>37574.800000000003</v>
      </c>
      <c r="E71" s="1407">
        <v>37574.800000000003</v>
      </c>
      <c r="F71" s="1407" t="s">
        <v>3517</v>
      </c>
      <c r="G71" s="1407" t="s">
        <v>3102</v>
      </c>
      <c r="H71" s="1407" t="s">
        <v>3111</v>
      </c>
      <c r="I71" s="1407">
        <v>0</v>
      </c>
      <c r="J71" s="1407" t="s">
        <v>3540</v>
      </c>
      <c r="K71" s="1407" t="s">
        <v>3540</v>
      </c>
      <c r="L71" s="1407">
        <v>2760</v>
      </c>
      <c r="M71" s="1407">
        <v>2760</v>
      </c>
      <c r="N71" s="1407">
        <v>734.52</v>
      </c>
      <c r="O71" s="1407">
        <v>0</v>
      </c>
      <c r="P71" s="1407" t="s">
        <v>3543</v>
      </c>
      <c r="Q71" s="1407" t="s">
        <v>3105</v>
      </c>
    </row>
    <row r="72" spans="1:17">
      <c r="A72" s="1407" t="s">
        <v>3524</v>
      </c>
      <c r="B72" s="1407" t="s">
        <v>3099</v>
      </c>
      <c r="C72" s="1407" t="s">
        <v>3100</v>
      </c>
      <c r="D72" s="1407">
        <v>76817.100000000006</v>
      </c>
      <c r="E72" s="1407">
        <v>76817.100000000006</v>
      </c>
      <c r="F72" s="1407" t="s">
        <v>3517</v>
      </c>
      <c r="G72" s="1407" t="s">
        <v>3102</v>
      </c>
      <c r="H72" s="1407" t="s">
        <v>3111</v>
      </c>
      <c r="I72" s="1407">
        <v>0</v>
      </c>
      <c r="J72" s="1407" t="s">
        <v>3518</v>
      </c>
      <c r="K72" s="1407" t="s">
        <v>3518</v>
      </c>
      <c r="L72" s="1407">
        <v>5640</v>
      </c>
      <c r="M72" s="1407">
        <v>5640</v>
      </c>
      <c r="N72" s="1407">
        <v>734.21</v>
      </c>
      <c r="O72" s="1407">
        <v>0</v>
      </c>
      <c r="P72" s="1407" t="s">
        <v>3519</v>
      </c>
      <c r="Q72" s="1407" t="s">
        <v>3105</v>
      </c>
    </row>
    <row r="73" spans="1:17">
      <c r="A73" s="1407" t="s">
        <v>3516</v>
      </c>
      <c r="B73" s="1407" t="s">
        <v>3099</v>
      </c>
      <c r="C73" s="1407" t="s">
        <v>3100</v>
      </c>
      <c r="D73" s="1407">
        <v>100799.9</v>
      </c>
      <c r="E73" s="1407">
        <v>100799.9</v>
      </c>
      <c r="F73" s="1407" t="s">
        <v>3517</v>
      </c>
      <c r="G73" s="1407" t="s">
        <v>3102</v>
      </c>
      <c r="H73" s="1407" t="s">
        <v>3111</v>
      </c>
      <c r="I73" s="1407">
        <v>0</v>
      </c>
      <c r="J73" s="1407" t="s">
        <v>3518</v>
      </c>
      <c r="K73" s="1407" t="s">
        <v>3518</v>
      </c>
      <c r="L73" s="1407">
        <v>7400</v>
      </c>
      <c r="M73" s="1407">
        <v>7400</v>
      </c>
      <c r="N73" s="1407">
        <v>734.12</v>
      </c>
      <c r="O73" s="1407">
        <v>0</v>
      </c>
      <c r="P73" s="1407" t="s">
        <v>3519</v>
      </c>
      <c r="Q73" s="1407" t="s">
        <v>3105</v>
      </c>
    </row>
    <row r="74" spans="1:17">
      <c r="A74" s="3406" t="s">
        <v>3336</v>
      </c>
      <c r="B74" s="3406" t="s">
        <v>3099</v>
      </c>
      <c r="C74" s="3406" t="s">
        <v>3173</v>
      </c>
      <c r="D74" s="3406">
        <v>14080</v>
      </c>
      <c r="E74" s="3406">
        <v>11264</v>
      </c>
      <c r="F74" s="3406" t="s">
        <v>3347</v>
      </c>
      <c r="G74" s="3406" t="s">
        <v>3102</v>
      </c>
      <c r="H74" s="3406" t="s">
        <v>3348</v>
      </c>
      <c r="I74" s="3406">
        <v>0</v>
      </c>
      <c r="J74" s="3406" t="s">
        <v>3339</v>
      </c>
      <c r="K74" s="3406" t="s">
        <v>3339</v>
      </c>
      <c r="L74" s="3406">
        <v>810</v>
      </c>
      <c r="M74" s="3406">
        <v>810</v>
      </c>
      <c r="N74" s="3406">
        <v>719.11</v>
      </c>
      <c r="O74" s="3406">
        <v>0</v>
      </c>
      <c r="P74" s="3406" t="s">
        <v>3340</v>
      </c>
      <c r="Q74" s="3406" t="s">
        <v>3105</v>
      </c>
    </row>
    <row r="75" spans="1:17">
      <c r="A75" s="3406" t="s">
        <v>3328</v>
      </c>
      <c r="B75" s="3406" t="s">
        <v>3099</v>
      </c>
      <c r="C75" s="3406" t="s">
        <v>3173</v>
      </c>
      <c r="D75" s="3406">
        <v>6257</v>
      </c>
      <c r="E75" s="3406">
        <v>20000</v>
      </c>
      <c r="F75" s="3406" t="s">
        <v>3335</v>
      </c>
      <c r="G75" s="3406" t="s">
        <v>3102</v>
      </c>
      <c r="H75" s="3406" t="s">
        <v>3330</v>
      </c>
      <c r="I75" s="3406">
        <v>0</v>
      </c>
      <c r="J75" s="3406" t="s">
        <v>3326</v>
      </c>
      <c r="K75" s="3406" t="s">
        <v>3326</v>
      </c>
      <c r="L75" s="3406">
        <v>1358</v>
      </c>
      <c r="M75" s="3406">
        <v>1358</v>
      </c>
      <c r="N75" s="3406">
        <v>679</v>
      </c>
      <c r="O75" s="3406">
        <v>0</v>
      </c>
      <c r="P75" s="3406" t="s">
        <v>3331</v>
      </c>
      <c r="Q75" s="3406" t="s">
        <v>3105</v>
      </c>
    </row>
    <row r="76" spans="1:17">
      <c r="A76" s="3406" t="s">
        <v>3328</v>
      </c>
      <c r="B76" s="3406" t="s">
        <v>3099</v>
      </c>
      <c r="C76" s="3406" t="s">
        <v>3173</v>
      </c>
      <c r="D76" s="3406">
        <v>11117.6</v>
      </c>
      <c r="E76" s="3406">
        <v>31000</v>
      </c>
      <c r="F76" s="3406" t="s">
        <v>3329</v>
      </c>
      <c r="G76" s="3406" t="s">
        <v>3102</v>
      </c>
      <c r="H76" s="3406" t="s">
        <v>3330</v>
      </c>
      <c r="I76" s="3406">
        <v>0</v>
      </c>
      <c r="J76" s="3406" t="s">
        <v>3326</v>
      </c>
      <c r="K76" s="3406" t="s">
        <v>3326</v>
      </c>
      <c r="L76" s="3406">
        <v>2104</v>
      </c>
      <c r="M76" s="3406">
        <v>2104</v>
      </c>
      <c r="N76" s="3406">
        <v>678.71</v>
      </c>
      <c r="O76" s="3406">
        <v>0</v>
      </c>
      <c r="P76" s="3406" t="s">
        <v>3331</v>
      </c>
      <c r="Q76" s="3406" t="s">
        <v>3105</v>
      </c>
    </row>
    <row r="77" spans="1:17">
      <c r="A77" s="3406" t="s">
        <v>3223</v>
      </c>
      <c r="B77" s="3406" t="s">
        <v>3099</v>
      </c>
      <c r="C77" s="3406" t="s">
        <v>3100</v>
      </c>
      <c r="D77" s="3406">
        <v>147309.79999999999</v>
      </c>
      <c r="E77" s="3406">
        <v>147309.79999999999</v>
      </c>
      <c r="F77" s="3406" t="s">
        <v>3224</v>
      </c>
      <c r="G77" s="3406" t="s">
        <v>3102</v>
      </c>
      <c r="H77" s="3406" t="s">
        <v>3111</v>
      </c>
      <c r="I77" s="3406">
        <v>0</v>
      </c>
      <c r="J77" s="3406" t="s">
        <v>3225</v>
      </c>
      <c r="K77" s="3406" t="s">
        <v>3225</v>
      </c>
      <c r="L77" s="3406">
        <v>9800</v>
      </c>
      <c r="M77" s="3406">
        <v>9800</v>
      </c>
      <c r="N77" s="3406">
        <v>665.25</v>
      </c>
      <c r="O77" s="3406">
        <v>0</v>
      </c>
      <c r="P77" s="3406" t="s">
        <v>3226</v>
      </c>
      <c r="Q77" s="3406" t="s">
        <v>3105</v>
      </c>
    </row>
    <row r="78" spans="1:17">
      <c r="A78" s="3406" t="s">
        <v>3253</v>
      </c>
      <c r="B78" s="3406" t="s">
        <v>3099</v>
      </c>
      <c r="C78" s="3406" t="s">
        <v>3100</v>
      </c>
      <c r="D78" s="3406">
        <v>100627</v>
      </c>
      <c r="E78" s="3406">
        <v>201254</v>
      </c>
      <c r="F78" s="3406" t="s">
        <v>3254</v>
      </c>
      <c r="G78" s="3406" t="s">
        <v>3102</v>
      </c>
      <c r="H78" s="3406" t="s">
        <v>3170</v>
      </c>
      <c r="I78" s="3406">
        <v>0</v>
      </c>
      <c r="J78" s="3406" t="s">
        <v>3237</v>
      </c>
      <c r="K78" s="3406" t="s">
        <v>3237</v>
      </c>
      <c r="L78" s="3406">
        <v>12290</v>
      </c>
      <c r="M78" s="3406">
        <v>12290</v>
      </c>
      <c r="N78" s="3406">
        <v>610.66</v>
      </c>
      <c r="O78" s="3406">
        <v>0</v>
      </c>
      <c r="P78" s="3406" t="s">
        <v>3255</v>
      </c>
      <c r="Q78" s="3406" t="s">
        <v>3105</v>
      </c>
    </row>
    <row r="79" spans="1:17">
      <c r="A79" s="3406" t="s">
        <v>3336</v>
      </c>
      <c r="B79" s="3406" t="s">
        <v>3099</v>
      </c>
      <c r="C79" s="3406" t="s">
        <v>3173</v>
      </c>
      <c r="D79" s="3406">
        <v>6600.1</v>
      </c>
      <c r="E79" s="3406">
        <v>6600</v>
      </c>
      <c r="F79" s="3406" t="s">
        <v>3224</v>
      </c>
      <c r="G79" s="3406" t="s">
        <v>3102</v>
      </c>
      <c r="H79" s="3406" t="s">
        <v>3342</v>
      </c>
      <c r="I79" s="3406">
        <v>0</v>
      </c>
      <c r="J79" s="3406" t="s">
        <v>3349</v>
      </c>
      <c r="K79" s="3406" t="s">
        <v>3349</v>
      </c>
      <c r="L79" s="3406">
        <v>400</v>
      </c>
      <c r="M79" s="3406">
        <v>400</v>
      </c>
      <c r="N79" s="3406">
        <v>606.04999999999995</v>
      </c>
      <c r="O79" s="3406">
        <v>0</v>
      </c>
      <c r="P79" s="3406" t="s">
        <v>3340</v>
      </c>
      <c r="Q79" s="3406" t="s">
        <v>3105</v>
      </c>
    </row>
    <row r="80" spans="1:17">
      <c r="A80" s="3406" t="s">
        <v>3336</v>
      </c>
      <c r="B80" s="3406" t="s">
        <v>3099</v>
      </c>
      <c r="C80" s="3406" t="s">
        <v>3173</v>
      </c>
      <c r="D80" s="3406">
        <v>20987.7</v>
      </c>
      <c r="E80" s="3406">
        <v>20987</v>
      </c>
      <c r="F80" s="3406" t="s">
        <v>3224</v>
      </c>
      <c r="G80" s="3406" t="s">
        <v>3102</v>
      </c>
      <c r="H80" s="3406" t="s">
        <v>3348</v>
      </c>
      <c r="I80" s="3406">
        <v>0</v>
      </c>
      <c r="J80" s="3406" t="s">
        <v>3349</v>
      </c>
      <c r="K80" s="3406" t="s">
        <v>3349</v>
      </c>
      <c r="L80" s="3406">
        <v>1270</v>
      </c>
      <c r="M80" s="3406">
        <v>1270</v>
      </c>
      <c r="N80" s="3406">
        <v>605.13</v>
      </c>
      <c r="O80" s="3406">
        <v>0</v>
      </c>
      <c r="P80" s="3406" t="s">
        <v>3340</v>
      </c>
      <c r="Q80" s="3406" t="s">
        <v>3105</v>
      </c>
    </row>
    <row r="81" spans="1:17">
      <c r="A81" s="3406" t="s">
        <v>3358</v>
      </c>
      <c r="B81" s="3406" t="s">
        <v>3099</v>
      </c>
      <c r="C81" s="3406" t="s">
        <v>3100</v>
      </c>
      <c r="D81" s="3406">
        <v>19999.8</v>
      </c>
      <c r="E81" s="3406">
        <v>19999.8</v>
      </c>
      <c r="F81" s="3406" t="s">
        <v>3101</v>
      </c>
      <c r="G81" s="3406" t="s">
        <v>3102</v>
      </c>
      <c r="H81" s="3406" t="s">
        <v>3100</v>
      </c>
      <c r="I81" s="3406">
        <v>0</v>
      </c>
      <c r="J81" s="3406" t="s">
        <v>3356</v>
      </c>
      <c r="K81" s="3406" t="s">
        <v>3356</v>
      </c>
      <c r="L81" s="3406">
        <v>1150</v>
      </c>
      <c r="M81" s="3406">
        <v>1150</v>
      </c>
      <c r="N81" s="3406">
        <v>575</v>
      </c>
      <c r="O81" s="3406">
        <v>0</v>
      </c>
      <c r="P81" s="3406" t="s">
        <v>3359</v>
      </c>
      <c r="Q81" s="3406" t="s">
        <v>3105</v>
      </c>
    </row>
    <row r="82" spans="1:17">
      <c r="A82" s="1407" t="s">
        <v>3262</v>
      </c>
      <c r="B82" s="1407" t="s">
        <v>3099</v>
      </c>
      <c r="C82" s="1407" t="s">
        <v>3100</v>
      </c>
      <c r="D82" s="1407">
        <v>45632.4</v>
      </c>
      <c r="E82" s="1407">
        <v>45632.4</v>
      </c>
      <c r="F82" s="1407" t="s">
        <v>3488</v>
      </c>
      <c r="G82" s="1407" t="s">
        <v>3102</v>
      </c>
      <c r="H82" s="1407" t="s">
        <v>3100</v>
      </c>
      <c r="I82" s="1407">
        <v>0</v>
      </c>
      <c r="J82" s="1407" t="s">
        <v>3489</v>
      </c>
      <c r="K82" s="1407" t="s">
        <v>3489</v>
      </c>
      <c r="L82" s="1407">
        <v>2620</v>
      </c>
      <c r="M82" s="1407">
        <v>2620</v>
      </c>
      <c r="N82" s="1407">
        <v>574.14</v>
      </c>
      <c r="O82" s="1407">
        <v>0</v>
      </c>
      <c r="P82" s="1407" t="s">
        <v>3490</v>
      </c>
      <c r="Q82" s="1407" t="s">
        <v>3105</v>
      </c>
    </row>
    <row r="83" spans="1:17">
      <c r="A83" s="3406" t="s">
        <v>3373</v>
      </c>
      <c r="B83" s="3406" t="s">
        <v>3099</v>
      </c>
      <c r="C83" s="3406" t="s">
        <v>3100</v>
      </c>
      <c r="D83" s="3406">
        <v>372467.5</v>
      </c>
      <c r="E83" s="3406">
        <v>372467.5</v>
      </c>
      <c r="F83" s="3406" t="s">
        <v>3365</v>
      </c>
      <c r="G83" s="3406" t="s">
        <v>3102</v>
      </c>
      <c r="H83" s="3406" t="s">
        <v>3100</v>
      </c>
      <c r="I83" s="3406">
        <v>0</v>
      </c>
      <c r="J83" s="3406" t="s">
        <v>3374</v>
      </c>
      <c r="K83" s="3406" t="s">
        <v>3374</v>
      </c>
      <c r="L83" s="3406">
        <v>21360</v>
      </c>
      <c r="M83" s="3406">
        <v>21360</v>
      </c>
      <c r="N83" s="3406">
        <v>573.47</v>
      </c>
      <c r="O83" s="3406">
        <v>0</v>
      </c>
      <c r="P83" s="3406" t="s">
        <v>3375</v>
      </c>
      <c r="Q83" s="3406" t="s">
        <v>3105</v>
      </c>
    </row>
    <row r="84" spans="1:17">
      <c r="A84" s="1407" t="s">
        <v>3522</v>
      </c>
      <c r="B84" s="1407" t="s">
        <v>3099</v>
      </c>
      <c r="C84" s="1407" t="s">
        <v>3100</v>
      </c>
      <c r="D84" s="1407">
        <v>62287.9</v>
      </c>
      <c r="E84" s="1407">
        <v>62287.9</v>
      </c>
      <c r="F84" s="1407" t="s">
        <v>3101</v>
      </c>
      <c r="G84" s="1407" t="s">
        <v>3102</v>
      </c>
      <c r="H84" s="1407" t="s">
        <v>3100</v>
      </c>
      <c r="I84" s="1407">
        <v>0</v>
      </c>
      <c r="J84" s="1407" t="s">
        <v>3518</v>
      </c>
      <c r="K84" s="1407" t="s">
        <v>3518</v>
      </c>
      <c r="L84" s="1407">
        <v>3520</v>
      </c>
      <c r="M84" s="1407">
        <v>3520</v>
      </c>
      <c r="N84" s="1407">
        <v>565.12</v>
      </c>
      <c r="O84" s="1407">
        <v>0</v>
      </c>
      <c r="P84" s="1407" t="s">
        <v>3523</v>
      </c>
      <c r="Q84" s="1407" t="s">
        <v>3105</v>
      </c>
    </row>
    <row r="85" spans="1:17">
      <c r="A85" s="1407" t="s">
        <v>3560</v>
      </c>
      <c r="B85" s="1407" t="s">
        <v>3099</v>
      </c>
      <c r="C85" s="1407" t="s">
        <v>3100</v>
      </c>
      <c r="D85" s="1407">
        <v>35243.9</v>
      </c>
      <c r="E85" s="1407">
        <v>35243.9</v>
      </c>
      <c r="F85" s="1407" t="s">
        <v>3101</v>
      </c>
      <c r="G85" s="1407" t="s">
        <v>3102</v>
      </c>
      <c r="H85" s="1407" t="s">
        <v>3100</v>
      </c>
      <c r="I85" s="1407">
        <v>0</v>
      </c>
      <c r="J85" s="1407" t="s">
        <v>3561</v>
      </c>
      <c r="K85" s="1407" t="s">
        <v>3561</v>
      </c>
      <c r="L85" s="1407">
        <v>1990</v>
      </c>
      <c r="M85" s="1407">
        <v>1990</v>
      </c>
      <c r="N85" s="1407">
        <v>564.63</v>
      </c>
      <c r="O85" s="1407">
        <v>0</v>
      </c>
      <c r="P85" s="1407" t="s">
        <v>3562</v>
      </c>
      <c r="Q85" s="1407" t="s">
        <v>3105</v>
      </c>
    </row>
    <row r="86" spans="1:17">
      <c r="A86" s="1407" t="s">
        <v>3168</v>
      </c>
      <c r="B86" s="1407" t="s">
        <v>3099</v>
      </c>
      <c r="C86" s="1407" t="s">
        <v>3100</v>
      </c>
      <c r="D86" s="1407">
        <v>193006.9</v>
      </c>
      <c r="E86" s="1407">
        <v>193006.9</v>
      </c>
      <c r="F86" s="1407" t="s">
        <v>3365</v>
      </c>
      <c r="G86" s="1407" t="s">
        <v>3102</v>
      </c>
      <c r="H86" s="1407" t="s">
        <v>3100</v>
      </c>
      <c r="I86" s="1407">
        <v>0</v>
      </c>
      <c r="J86" s="1407" t="s">
        <v>3481</v>
      </c>
      <c r="K86" s="1407" t="s">
        <v>3481</v>
      </c>
      <c r="L86" s="1407">
        <v>10810</v>
      </c>
      <c r="M86" s="1407">
        <v>10810</v>
      </c>
      <c r="N86" s="1407">
        <v>560.08000000000004</v>
      </c>
      <c r="O86" s="1407">
        <v>0</v>
      </c>
      <c r="P86" s="1407" t="s">
        <v>3482</v>
      </c>
      <c r="Q86" s="1407" t="s">
        <v>3105</v>
      </c>
    </row>
    <row r="87" spans="1:17">
      <c r="A87" s="3406" t="s">
        <v>3168</v>
      </c>
      <c r="B87" s="3406" t="s">
        <v>3099</v>
      </c>
      <c r="C87" s="3406" t="s">
        <v>3100</v>
      </c>
      <c r="D87" s="3406">
        <v>20001.7</v>
      </c>
      <c r="E87" s="3406">
        <v>20001.7</v>
      </c>
      <c r="F87" s="3406" t="s">
        <v>3365</v>
      </c>
      <c r="G87" s="3406" t="s">
        <v>3102</v>
      </c>
      <c r="H87" s="3406" t="s">
        <v>3100</v>
      </c>
      <c r="I87" s="3406">
        <v>0</v>
      </c>
      <c r="J87" s="3406" t="s">
        <v>3363</v>
      </c>
      <c r="K87" s="3406" t="s">
        <v>3363</v>
      </c>
      <c r="L87" s="3406">
        <v>1110</v>
      </c>
      <c r="M87" s="3406">
        <v>1110</v>
      </c>
      <c r="N87" s="3406">
        <v>554.95000000000005</v>
      </c>
      <c r="O87" s="3406">
        <v>0</v>
      </c>
      <c r="P87" s="3406" t="s">
        <v>3366</v>
      </c>
      <c r="Q87" s="3406" t="s">
        <v>3105</v>
      </c>
    </row>
    <row r="88" spans="1:17">
      <c r="A88" s="3406" t="s">
        <v>3098</v>
      </c>
      <c r="B88" s="3406" t="s">
        <v>3099</v>
      </c>
      <c r="C88" s="3406" t="s">
        <v>3100</v>
      </c>
      <c r="D88" s="3406">
        <v>60014.1</v>
      </c>
      <c r="E88" s="3406">
        <v>60014.1</v>
      </c>
      <c r="F88" s="3406" t="s">
        <v>3101</v>
      </c>
      <c r="G88" s="3406" t="s">
        <v>3102</v>
      </c>
      <c r="H88" s="3406" t="s">
        <v>3100</v>
      </c>
      <c r="I88" s="3406">
        <v>0</v>
      </c>
      <c r="J88" s="3406" t="s">
        <v>3103</v>
      </c>
      <c r="K88" s="3406" t="s">
        <v>3103</v>
      </c>
      <c r="L88" s="3406">
        <v>3310</v>
      </c>
      <c r="M88" s="3406">
        <v>3310</v>
      </c>
      <c r="N88" s="3406">
        <v>551.53</v>
      </c>
      <c r="O88" s="3406">
        <v>0</v>
      </c>
      <c r="P88" s="3406" t="s">
        <v>3104</v>
      </c>
      <c r="Q88" s="3406" t="s">
        <v>3105</v>
      </c>
    </row>
    <row r="89" spans="1:17">
      <c r="A89" s="3406" t="s">
        <v>3300</v>
      </c>
      <c r="B89" s="3406" t="s">
        <v>3099</v>
      </c>
      <c r="C89" s="3406" t="s">
        <v>3100</v>
      </c>
      <c r="D89" s="3406">
        <v>14229</v>
      </c>
      <c r="E89" s="3406">
        <v>17074.8</v>
      </c>
      <c r="F89" s="3406" t="s">
        <v>3301</v>
      </c>
      <c r="G89" s="3406" t="s">
        <v>3102</v>
      </c>
      <c r="H89" s="3406" t="s">
        <v>3100</v>
      </c>
      <c r="I89" s="3406">
        <v>0</v>
      </c>
      <c r="J89" s="3406" t="s">
        <v>3302</v>
      </c>
      <c r="K89" s="3406" t="s">
        <v>3302</v>
      </c>
      <c r="L89" s="3406">
        <v>910</v>
      </c>
      <c r="M89" s="3406">
        <v>910</v>
      </c>
      <c r="N89" s="3406">
        <v>532.95000000000005</v>
      </c>
      <c r="O89" s="3406">
        <v>0</v>
      </c>
      <c r="P89" s="3406" t="s">
        <v>3303</v>
      </c>
      <c r="Q89" s="3406" t="s">
        <v>3105</v>
      </c>
    </row>
    <row r="90" spans="1:17">
      <c r="A90" s="3406" t="s">
        <v>3310</v>
      </c>
      <c r="B90" s="3406" t="s">
        <v>3099</v>
      </c>
      <c r="C90" s="3406" t="s">
        <v>3100</v>
      </c>
      <c r="D90" s="3406">
        <v>13556.5</v>
      </c>
      <c r="E90" s="3406">
        <v>33891.25</v>
      </c>
      <c r="F90" s="3406" t="s">
        <v>3440</v>
      </c>
      <c r="G90" s="3406" t="s">
        <v>3102</v>
      </c>
      <c r="H90" s="3406" t="s">
        <v>3100</v>
      </c>
      <c r="I90" s="3406">
        <v>0</v>
      </c>
      <c r="J90" s="3406" t="s">
        <v>3441</v>
      </c>
      <c r="K90" s="3406" t="s">
        <v>3441</v>
      </c>
      <c r="L90" s="3406">
        <v>1770</v>
      </c>
      <c r="M90" s="3406">
        <v>1770</v>
      </c>
      <c r="N90" s="3406">
        <v>522.25</v>
      </c>
      <c r="O90" s="3406">
        <v>0</v>
      </c>
      <c r="P90" s="3406" t="s">
        <v>3442</v>
      </c>
      <c r="Q90" s="3406" t="s">
        <v>3105</v>
      </c>
    </row>
    <row r="91" spans="1:17">
      <c r="A91" s="3406" t="s">
        <v>3245</v>
      </c>
      <c r="B91" s="3406" t="s">
        <v>3099</v>
      </c>
      <c r="C91" s="3406" t="s">
        <v>3100</v>
      </c>
      <c r="D91" s="3406">
        <v>52011.4</v>
      </c>
      <c r="E91" s="3406">
        <v>130028.5</v>
      </c>
      <c r="F91" s="3406" t="s">
        <v>3246</v>
      </c>
      <c r="G91" s="3406" t="s">
        <v>3102</v>
      </c>
      <c r="H91" s="3406" t="s">
        <v>3100</v>
      </c>
      <c r="I91" s="3406">
        <v>0</v>
      </c>
      <c r="J91" s="3406" t="s">
        <v>3237</v>
      </c>
      <c r="K91" s="3406" t="s">
        <v>3237</v>
      </c>
      <c r="L91" s="3406">
        <v>6780</v>
      </c>
      <c r="M91" s="3406">
        <v>6780</v>
      </c>
      <c r="N91" s="3406">
        <v>521.41</v>
      </c>
      <c r="O91" s="3406">
        <v>0</v>
      </c>
      <c r="P91" s="3406" t="s">
        <v>3247</v>
      </c>
      <c r="Q91" s="3406" t="s">
        <v>3105</v>
      </c>
    </row>
    <row r="92" spans="1:17">
      <c r="A92" s="1407" t="s">
        <v>3491</v>
      </c>
      <c r="B92" s="1407" t="s">
        <v>3099</v>
      </c>
      <c r="C92" s="1407" t="s">
        <v>3100</v>
      </c>
      <c r="D92" s="1407">
        <v>25539.4</v>
      </c>
      <c r="E92" s="1407">
        <v>25539.4</v>
      </c>
      <c r="F92" s="1407" t="s">
        <v>3492</v>
      </c>
      <c r="G92" s="1407" t="s">
        <v>3102</v>
      </c>
      <c r="H92" s="1407" t="s">
        <v>3100</v>
      </c>
      <c r="I92" s="1407">
        <v>0</v>
      </c>
      <c r="J92" s="1407" t="s">
        <v>3489</v>
      </c>
      <c r="K92" s="1407" t="s">
        <v>3489</v>
      </c>
      <c r="L92" s="1407">
        <v>1300</v>
      </c>
      <c r="M92" s="1407">
        <v>1300</v>
      </c>
      <c r="N92" s="1407">
        <v>509.01</v>
      </c>
      <c r="O92" s="1407">
        <v>0</v>
      </c>
      <c r="P92" s="1407" t="s">
        <v>3493</v>
      </c>
      <c r="Q92" s="1407" t="s">
        <v>3105</v>
      </c>
    </row>
    <row r="93" spans="1:17">
      <c r="A93" s="3406" t="s">
        <v>3106</v>
      </c>
      <c r="B93" s="3406" t="s">
        <v>3099</v>
      </c>
      <c r="C93" s="3406" t="s">
        <v>3100</v>
      </c>
      <c r="D93" s="3406">
        <v>60375.1</v>
      </c>
      <c r="E93" s="3406">
        <v>60375.1</v>
      </c>
      <c r="F93" s="3406" t="s">
        <v>3101</v>
      </c>
      <c r="G93" s="3406" t="s">
        <v>3102</v>
      </c>
      <c r="H93" s="3406" t="s">
        <v>3100</v>
      </c>
      <c r="I93" s="3406">
        <v>0</v>
      </c>
      <c r="J93" s="3406" t="s">
        <v>3217</v>
      </c>
      <c r="K93" s="3406" t="s">
        <v>3217</v>
      </c>
      <c r="L93" s="3406">
        <v>3070</v>
      </c>
      <c r="M93" s="3406">
        <v>3070</v>
      </c>
      <c r="N93" s="3406">
        <v>508.49</v>
      </c>
      <c r="O93" s="3406">
        <v>0</v>
      </c>
      <c r="P93" s="3406" t="s">
        <v>3222</v>
      </c>
      <c r="Q93" s="3406" t="s">
        <v>3105</v>
      </c>
    </row>
    <row r="94" spans="1:17">
      <c r="A94" s="3406" t="s">
        <v>3418</v>
      </c>
      <c r="B94" s="3406" t="s">
        <v>3099</v>
      </c>
      <c r="C94" s="3406" t="s">
        <v>3100</v>
      </c>
      <c r="D94" s="3406">
        <v>65864.399999999994</v>
      </c>
      <c r="E94" s="3406">
        <v>65864.399999999994</v>
      </c>
      <c r="F94" s="3406" t="s">
        <v>3101</v>
      </c>
      <c r="G94" s="3406" t="s">
        <v>3102</v>
      </c>
      <c r="H94" s="3406" t="s">
        <v>3100</v>
      </c>
      <c r="I94" s="3406">
        <v>0</v>
      </c>
      <c r="J94" s="3406" t="s">
        <v>3415</v>
      </c>
      <c r="K94" s="3406" t="s">
        <v>3415</v>
      </c>
      <c r="L94" s="3406">
        <v>3340</v>
      </c>
      <c r="M94" s="3406">
        <v>3340</v>
      </c>
      <c r="N94" s="3406">
        <v>507.1</v>
      </c>
      <c r="O94" s="3406">
        <v>0</v>
      </c>
      <c r="P94" s="3406" t="s">
        <v>3205</v>
      </c>
      <c r="Q94" s="3406" t="s">
        <v>3105</v>
      </c>
    </row>
    <row r="95" spans="1:17">
      <c r="A95" s="3406" t="s">
        <v>3251</v>
      </c>
      <c r="B95" s="3406" t="s">
        <v>3099</v>
      </c>
      <c r="C95" s="3406" t="s">
        <v>3100</v>
      </c>
      <c r="D95" s="3406">
        <v>110249.2</v>
      </c>
      <c r="E95" s="3406">
        <v>110249.2</v>
      </c>
      <c r="F95" s="3406" t="s">
        <v>3101</v>
      </c>
      <c r="G95" s="3406" t="s">
        <v>3102</v>
      </c>
      <c r="H95" s="3406" t="s">
        <v>3100</v>
      </c>
      <c r="I95" s="3406">
        <v>0</v>
      </c>
      <c r="J95" s="3406" t="s">
        <v>3339</v>
      </c>
      <c r="K95" s="3406" t="s">
        <v>3339</v>
      </c>
      <c r="L95" s="3406">
        <v>5590</v>
      </c>
      <c r="M95" s="3406">
        <v>5590</v>
      </c>
      <c r="N95" s="3406">
        <v>507.02</v>
      </c>
      <c r="O95" s="3406">
        <v>0</v>
      </c>
      <c r="P95" s="3406" t="s">
        <v>3346</v>
      </c>
      <c r="Q95" s="3406" t="s">
        <v>3105</v>
      </c>
    </row>
    <row r="96" spans="1:17">
      <c r="A96" s="3406" t="s">
        <v>3106</v>
      </c>
      <c r="B96" s="3406" t="s">
        <v>3099</v>
      </c>
      <c r="C96" s="3406" t="s">
        <v>3100</v>
      </c>
      <c r="D96" s="3406">
        <v>24666.7</v>
      </c>
      <c r="E96" s="3406">
        <v>24666.7</v>
      </c>
      <c r="F96" s="3406" t="s">
        <v>3101</v>
      </c>
      <c r="G96" s="3406" t="s">
        <v>3102</v>
      </c>
      <c r="H96" s="3406" t="s">
        <v>3100</v>
      </c>
      <c r="I96" s="3406">
        <v>0</v>
      </c>
      <c r="J96" s="3406" t="s">
        <v>3107</v>
      </c>
      <c r="K96" s="3406" t="s">
        <v>3107</v>
      </c>
      <c r="L96" s="3406">
        <v>1250</v>
      </c>
      <c r="M96" s="3406">
        <v>1250</v>
      </c>
      <c r="N96" s="3406">
        <v>506.75</v>
      </c>
      <c r="O96" s="3406">
        <v>0</v>
      </c>
      <c r="P96" s="3406" t="s">
        <v>3108</v>
      </c>
      <c r="Q96" s="3406" t="s">
        <v>3105</v>
      </c>
    </row>
    <row r="97" spans="1:17">
      <c r="A97" s="3406" t="s">
        <v>3414</v>
      </c>
      <c r="B97" s="3406" t="s">
        <v>3099</v>
      </c>
      <c r="C97" s="3406" t="s">
        <v>3100</v>
      </c>
      <c r="D97" s="3406">
        <v>28460.7</v>
      </c>
      <c r="E97" s="3406">
        <v>28460.7</v>
      </c>
      <c r="F97" s="3406" t="s">
        <v>3101</v>
      </c>
      <c r="G97" s="3406" t="s">
        <v>3102</v>
      </c>
      <c r="H97" s="3406" t="s">
        <v>3100</v>
      </c>
      <c r="I97" s="3406">
        <v>0</v>
      </c>
      <c r="J97" s="3406" t="s">
        <v>3415</v>
      </c>
      <c r="K97" s="3406" t="s">
        <v>3415</v>
      </c>
      <c r="L97" s="3406">
        <v>1440</v>
      </c>
      <c r="M97" s="3406">
        <v>1440</v>
      </c>
      <c r="N97" s="3406">
        <v>505.95</v>
      </c>
      <c r="O97" s="3406">
        <v>0</v>
      </c>
      <c r="P97" s="3406" t="s">
        <v>3417</v>
      </c>
      <c r="Q97" s="3406" t="s">
        <v>3105</v>
      </c>
    </row>
    <row r="98" spans="1:17">
      <c r="A98" s="1407" t="s">
        <v>3502</v>
      </c>
      <c r="B98" s="1407" t="s">
        <v>3099</v>
      </c>
      <c r="C98" s="1407" t="s">
        <v>3100</v>
      </c>
      <c r="D98" s="1407">
        <v>22675.599999999999</v>
      </c>
      <c r="E98" s="1407">
        <v>52607.39</v>
      </c>
      <c r="F98" s="1407" t="s">
        <v>3503</v>
      </c>
      <c r="G98" s="1407" t="s">
        <v>3102</v>
      </c>
      <c r="H98" s="1407" t="s">
        <v>3170</v>
      </c>
      <c r="I98" s="1407">
        <v>0</v>
      </c>
      <c r="J98" s="1407" t="s">
        <v>3504</v>
      </c>
      <c r="K98" s="1407" t="s">
        <v>3504</v>
      </c>
      <c r="L98" s="1407">
        <v>2660</v>
      </c>
      <c r="M98" s="1407">
        <v>2660</v>
      </c>
      <c r="N98" s="1407">
        <v>505.62</v>
      </c>
      <c r="O98" s="1407">
        <v>0</v>
      </c>
      <c r="P98" s="1407" t="s">
        <v>3505</v>
      </c>
      <c r="Q98" s="1407" t="s">
        <v>3105</v>
      </c>
    </row>
    <row r="99" spans="1:17">
      <c r="A99" s="3406" t="s">
        <v>3418</v>
      </c>
      <c r="B99" s="3406" t="s">
        <v>3099</v>
      </c>
      <c r="C99" s="3406" t="s">
        <v>3100</v>
      </c>
      <c r="D99" s="3406">
        <v>61843.199999999997</v>
      </c>
      <c r="E99" s="3406">
        <v>61843.199999999997</v>
      </c>
      <c r="F99" s="3406" t="s">
        <v>3101</v>
      </c>
      <c r="G99" s="3406" t="s">
        <v>3102</v>
      </c>
      <c r="H99" s="3406" t="s">
        <v>3100</v>
      </c>
      <c r="I99" s="3406">
        <v>0</v>
      </c>
      <c r="J99" s="3406" t="s">
        <v>3415</v>
      </c>
      <c r="K99" s="3406" t="s">
        <v>3415</v>
      </c>
      <c r="L99" s="3406">
        <v>3120</v>
      </c>
      <c r="M99" s="3406">
        <v>3120</v>
      </c>
      <c r="N99" s="3406">
        <v>504.5</v>
      </c>
      <c r="O99" s="3406">
        <v>0</v>
      </c>
      <c r="P99" s="3406" t="s">
        <v>3205</v>
      </c>
      <c r="Q99" s="3406" t="s">
        <v>3105</v>
      </c>
    </row>
    <row r="100" spans="1:17">
      <c r="A100" s="3406" t="s">
        <v>3251</v>
      </c>
      <c r="B100" s="3406" t="s">
        <v>3099</v>
      </c>
      <c r="C100" s="3406" t="s">
        <v>3100</v>
      </c>
      <c r="D100" s="3406">
        <v>33333.300000000003</v>
      </c>
      <c r="E100" s="3406">
        <v>33333.300000000003</v>
      </c>
      <c r="F100" s="3406" t="s">
        <v>3101</v>
      </c>
      <c r="G100" s="3406" t="s">
        <v>3102</v>
      </c>
      <c r="H100" s="3406" t="s">
        <v>3100</v>
      </c>
      <c r="I100" s="3406">
        <v>0</v>
      </c>
      <c r="J100" s="3406" t="s">
        <v>3237</v>
      </c>
      <c r="K100" s="3406" t="s">
        <v>3237</v>
      </c>
      <c r="L100" s="3406">
        <v>1680</v>
      </c>
      <c r="M100" s="3406">
        <v>1680</v>
      </c>
      <c r="N100" s="3406">
        <v>504</v>
      </c>
      <c r="O100" s="3406">
        <v>0</v>
      </c>
      <c r="P100" s="3406" t="s">
        <v>3252</v>
      </c>
      <c r="Q100" s="3406" t="s">
        <v>3105</v>
      </c>
    </row>
    <row r="101" spans="1:17">
      <c r="A101" s="1407" t="s">
        <v>3380</v>
      </c>
      <c r="B101" s="1407" t="s">
        <v>3099</v>
      </c>
      <c r="C101" s="1407" t="s">
        <v>3100</v>
      </c>
      <c r="D101" s="1407">
        <v>30001.3</v>
      </c>
      <c r="E101" s="1407">
        <v>30001.3</v>
      </c>
      <c r="F101" s="1407" t="s">
        <v>3101</v>
      </c>
      <c r="G101" s="1407" t="s">
        <v>3102</v>
      </c>
      <c r="H101" s="1407" t="s">
        <v>3100</v>
      </c>
      <c r="I101" s="1407">
        <v>0</v>
      </c>
      <c r="J101" s="1407" t="s">
        <v>3554</v>
      </c>
      <c r="K101" s="1407" t="s">
        <v>3554</v>
      </c>
      <c r="L101" s="1407">
        <v>1510</v>
      </c>
      <c r="M101" s="1407">
        <v>1510</v>
      </c>
      <c r="N101" s="1407">
        <v>503.31</v>
      </c>
      <c r="O101" s="1407">
        <v>0</v>
      </c>
      <c r="P101" s="1407" t="s">
        <v>3555</v>
      </c>
      <c r="Q101" s="1407" t="s">
        <v>3105</v>
      </c>
    </row>
    <row r="102" spans="1:17">
      <c r="A102" s="1407" t="s">
        <v>3380</v>
      </c>
      <c r="B102" s="1407" t="s">
        <v>3099</v>
      </c>
      <c r="C102" s="1407" t="s">
        <v>3100</v>
      </c>
      <c r="D102" s="1407">
        <v>58834.3</v>
      </c>
      <c r="E102" s="1407">
        <v>58834.3</v>
      </c>
      <c r="F102" s="1407" t="s">
        <v>3101</v>
      </c>
      <c r="G102" s="1407" t="s">
        <v>3102</v>
      </c>
      <c r="H102" s="1407" t="s">
        <v>3100</v>
      </c>
      <c r="I102" s="1407">
        <v>0</v>
      </c>
      <c r="J102" s="1407" t="s">
        <v>3528</v>
      </c>
      <c r="K102" s="1407" t="s">
        <v>3528</v>
      </c>
      <c r="L102" s="1407">
        <v>2960</v>
      </c>
      <c r="M102" s="1407">
        <v>2960</v>
      </c>
      <c r="N102" s="1407">
        <v>503.11</v>
      </c>
      <c r="O102" s="1407">
        <v>0</v>
      </c>
      <c r="P102" s="1407" t="s">
        <v>3530</v>
      </c>
      <c r="Q102" s="1407" t="s">
        <v>3105</v>
      </c>
    </row>
    <row r="103" spans="1:17">
      <c r="A103" s="3406" t="s">
        <v>3251</v>
      </c>
      <c r="B103" s="3406" t="s">
        <v>3099</v>
      </c>
      <c r="C103" s="3406" t="s">
        <v>3100</v>
      </c>
      <c r="D103" s="3406">
        <v>62666.7</v>
      </c>
      <c r="E103" s="3406">
        <v>62666.7</v>
      </c>
      <c r="F103" s="3406" t="s">
        <v>3101</v>
      </c>
      <c r="G103" s="3406" t="s">
        <v>3102</v>
      </c>
      <c r="H103" s="3406" t="s">
        <v>3100</v>
      </c>
      <c r="I103" s="3406">
        <v>0</v>
      </c>
      <c r="J103" s="3406" t="s">
        <v>3288</v>
      </c>
      <c r="K103" s="3406" t="s">
        <v>3288</v>
      </c>
      <c r="L103" s="3406">
        <v>3150</v>
      </c>
      <c r="M103" s="3406">
        <v>3150</v>
      </c>
      <c r="N103" s="3406">
        <v>502.66</v>
      </c>
      <c r="O103" s="3406">
        <v>0</v>
      </c>
      <c r="P103" s="3406" t="s">
        <v>3205</v>
      </c>
      <c r="Q103" s="3406" t="s">
        <v>3105</v>
      </c>
    </row>
    <row r="104" spans="1:17">
      <c r="A104" s="1407" t="s">
        <v>3380</v>
      </c>
      <c r="B104" s="1407" t="s">
        <v>3099</v>
      </c>
      <c r="C104" s="1407" t="s">
        <v>3100</v>
      </c>
      <c r="D104" s="1407">
        <v>31656.400000000001</v>
      </c>
      <c r="E104" s="1407">
        <v>31656.400000000001</v>
      </c>
      <c r="F104" s="1407" t="s">
        <v>3101</v>
      </c>
      <c r="G104" s="1407" t="s">
        <v>3102</v>
      </c>
      <c r="H104" s="1407" t="s">
        <v>3100</v>
      </c>
      <c r="I104" s="1407">
        <v>0</v>
      </c>
      <c r="J104" s="1407" t="s">
        <v>3544</v>
      </c>
      <c r="K104" s="1407" t="s">
        <v>3544</v>
      </c>
      <c r="L104" s="1407">
        <v>1590</v>
      </c>
      <c r="M104" s="1407">
        <v>1590</v>
      </c>
      <c r="N104" s="1407">
        <v>502.26</v>
      </c>
      <c r="O104" s="1407">
        <v>0</v>
      </c>
      <c r="P104" s="1407" t="s">
        <v>3545</v>
      </c>
      <c r="Q104" s="1407" t="s">
        <v>3105</v>
      </c>
    </row>
    <row r="105" spans="1:17">
      <c r="A105" s="3406" t="s">
        <v>3168</v>
      </c>
      <c r="B105" s="3406" t="s">
        <v>3099</v>
      </c>
      <c r="C105" s="3406" t="s">
        <v>3100</v>
      </c>
      <c r="D105" s="3406">
        <v>285922.40000000002</v>
      </c>
      <c r="E105" s="3406">
        <v>428883.6</v>
      </c>
      <c r="F105" s="3406" t="s">
        <v>3387</v>
      </c>
      <c r="G105" s="3406" t="s">
        <v>3102</v>
      </c>
      <c r="H105" s="3406" t="s">
        <v>3100</v>
      </c>
      <c r="I105" s="3406">
        <v>0</v>
      </c>
      <c r="J105" s="3406" t="s">
        <v>3385</v>
      </c>
      <c r="K105" s="3406" t="s">
        <v>3385</v>
      </c>
      <c r="L105" s="3406">
        <v>21450</v>
      </c>
      <c r="M105" s="3406">
        <v>21450</v>
      </c>
      <c r="N105" s="3406">
        <v>500.13</v>
      </c>
      <c r="O105" s="3406">
        <v>0</v>
      </c>
      <c r="P105" s="3406" t="s">
        <v>3388</v>
      </c>
      <c r="Q105" s="3406" t="s">
        <v>3105</v>
      </c>
    </row>
    <row r="106" spans="1:17">
      <c r="A106" s="3406" t="s">
        <v>3392</v>
      </c>
      <c r="B106" s="3406" t="s">
        <v>3099</v>
      </c>
      <c r="C106" s="3406" t="s">
        <v>3100</v>
      </c>
      <c r="D106" s="3406">
        <v>84368.1</v>
      </c>
      <c r="E106" s="3406">
        <v>126400</v>
      </c>
      <c r="F106" s="3406" t="s">
        <v>3393</v>
      </c>
      <c r="G106" s="3406" t="s">
        <v>3102</v>
      </c>
      <c r="H106" s="3406" t="s">
        <v>3111</v>
      </c>
      <c r="I106" s="3406">
        <v>0</v>
      </c>
      <c r="J106" s="3406" t="s">
        <v>3394</v>
      </c>
      <c r="K106" s="3406" t="s">
        <v>3394</v>
      </c>
      <c r="L106" s="3406">
        <v>6300</v>
      </c>
      <c r="M106" s="3406">
        <v>6300</v>
      </c>
      <c r="N106" s="3406">
        <v>498.42</v>
      </c>
      <c r="O106" s="3406">
        <v>0</v>
      </c>
      <c r="P106" s="3406" t="s">
        <v>3395</v>
      </c>
      <c r="Q106" s="3406" t="s">
        <v>3105</v>
      </c>
    </row>
    <row r="107" spans="1:17">
      <c r="A107" s="1407" t="s">
        <v>3483</v>
      </c>
      <c r="B107" s="1407" t="s">
        <v>3099</v>
      </c>
      <c r="C107" s="1407" t="s">
        <v>3100</v>
      </c>
      <c r="D107" s="1407">
        <v>6010.6</v>
      </c>
      <c r="E107" s="1407">
        <v>9015.9</v>
      </c>
      <c r="F107" s="1407" t="s">
        <v>3387</v>
      </c>
      <c r="G107" s="1407" t="s">
        <v>3102</v>
      </c>
      <c r="H107" s="1407" t="s">
        <v>3170</v>
      </c>
      <c r="I107" s="1407">
        <v>0</v>
      </c>
      <c r="J107" s="1407" t="s">
        <v>3485</v>
      </c>
      <c r="K107" s="1407" t="s">
        <v>3485</v>
      </c>
      <c r="L107" s="1407">
        <v>430</v>
      </c>
      <c r="M107" s="1407">
        <v>430</v>
      </c>
      <c r="N107" s="1407">
        <v>476.93</v>
      </c>
      <c r="O107" s="1407">
        <v>0</v>
      </c>
      <c r="P107" s="1407" t="s">
        <v>3487</v>
      </c>
      <c r="Q107" s="1407" t="s">
        <v>3105</v>
      </c>
    </row>
    <row r="108" spans="1:17">
      <c r="A108" s="3406" t="s">
        <v>3332</v>
      </c>
      <c r="B108" s="3406" t="s">
        <v>3099</v>
      </c>
      <c r="C108" s="3406" t="s">
        <v>3100</v>
      </c>
      <c r="D108" s="3406">
        <v>117216.2</v>
      </c>
      <c r="E108" s="3406">
        <v>117216.2</v>
      </c>
      <c r="F108" s="3406" t="s">
        <v>3101</v>
      </c>
      <c r="G108" s="3406" t="s">
        <v>3102</v>
      </c>
      <c r="H108" s="3406" t="s">
        <v>3100</v>
      </c>
      <c r="I108" s="3406">
        <v>0</v>
      </c>
      <c r="J108" s="3406" t="s">
        <v>3326</v>
      </c>
      <c r="K108" s="3406" t="s">
        <v>3326</v>
      </c>
      <c r="L108" s="3406">
        <v>5510</v>
      </c>
      <c r="M108" s="3406">
        <v>5510</v>
      </c>
      <c r="N108" s="3406">
        <v>470.06</v>
      </c>
      <c r="O108" s="3406">
        <v>0</v>
      </c>
      <c r="P108" s="3406" t="s">
        <v>3334</v>
      </c>
      <c r="Q108" s="3406" t="s">
        <v>3105</v>
      </c>
    </row>
    <row r="109" spans="1:17">
      <c r="A109" s="3406" t="s">
        <v>3172</v>
      </c>
      <c r="B109" s="3406" t="s">
        <v>3099</v>
      </c>
      <c r="C109" s="3406" t="s">
        <v>3173</v>
      </c>
      <c r="D109" s="3406">
        <v>33252.1</v>
      </c>
      <c r="E109" s="3406">
        <v>49878.15</v>
      </c>
      <c r="F109" s="3406" t="s">
        <v>3174</v>
      </c>
      <c r="G109" s="3406" t="s">
        <v>3102</v>
      </c>
      <c r="H109" s="3406" t="s">
        <v>3175</v>
      </c>
      <c r="I109" s="3406">
        <v>0</v>
      </c>
      <c r="J109" s="3406" t="s">
        <v>3162</v>
      </c>
      <c r="K109" s="3406" t="s">
        <v>3162</v>
      </c>
      <c r="L109" s="3406">
        <v>2280</v>
      </c>
      <c r="M109" s="3406">
        <v>2280</v>
      </c>
      <c r="N109" s="3406">
        <v>457.11</v>
      </c>
      <c r="O109" s="3406">
        <v>0</v>
      </c>
      <c r="P109" s="3406" t="s">
        <v>3176</v>
      </c>
      <c r="Q109" s="3406" t="s">
        <v>3105</v>
      </c>
    </row>
    <row r="110" spans="1:17">
      <c r="A110" s="3406" t="s">
        <v>3161</v>
      </c>
      <c r="B110" s="3406" t="s">
        <v>3099</v>
      </c>
      <c r="C110" s="3406" t="s">
        <v>3100</v>
      </c>
      <c r="D110" s="3406">
        <v>1969889.3</v>
      </c>
      <c r="E110" s="3406">
        <v>2954833.95</v>
      </c>
      <c r="F110" s="3406" t="s">
        <v>3404</v>
      </c>
      <c r="G110" s="3406" t="s">
        <v>3102</v>
      </c>
      <c r="H110" s="3406" t="s">
        <v>3100</v>
      </c>
      <c r="I110" s="3406">
        <v>0</v>
      </c>
      <c r="J110" s="3406" t="s">
        <v>3401</v>
      </c>
      <c r="K110" s="3406" t="s">
        <v>3401</v>
      </c>
      <c r="L110" s="3406">
        <v>133170</v>
      </c>
      <c r="M110" s="3406">
        <v>133170</v>
      </c>
      <c r="N110" s="3406">
        <v>450.68</v>
      </c>
      <c r="O110" s="3406">
        <v>0</v>
      </c>
      <c r="P110" s="3406" t="s">
        <v>3405</v>
      </c>
      <c r="Q110" s="3406" t="s">
        <v>3105</v>
      </c>
    </row>
    <row r="111" spans="1:17">
      <c r="A111" s="3406" t="s">
        <v>3286</v>
      </c>
      <c r="B111" s="3406" t="s">
        <v>3099</v>
      </c>
      <c r="C111" s="3406" t="s">
        <v>3100</v>
      </c>
      <c r="D111" s="3406">
        <v>33115.1</v>
      </c>
      <c r="E111" s="3406">
        <v>43049.63</v>
      </c>
      <c r="F111" s="3406" t="s">
        <v>3287</v>
      </c>
      <c r="G111" s="3406" t="s">
        <v>3102</v>
      </c>
      <c r="H111" s="3406" t="s">
        <v>3100</v>
      </c>
      <c r="I111" s="3406">
        <v>0</v>
      </c>
      <c r="J111" s="3406" t="s">
        <v>3288</v>
      </c>
      <c r="K111" s="3406" t="s">
        <v>3288</v>
      </c>
      <c r="L111" s="3406">
        <v>1870</v>
      </c>
      <c r="M111" s="3406">
        <v>1870</v>
      </c>
      <c r="N111" s="3406">
        <v>434.37</v>
      </c>
      <c r="O111" s="3406">
        <v>0</v>
      </c>
      <c r="P111" s="3406" t="s">
        <v>3289</v>
      </c>
      <c r="Q111" s="3406" t="s">
        <v>3105</v>
      </c>
    </row>
    <row r="112" spans="1:17">
      <c r="A112" s="1407" t="s">
        <v>3168</v>
      </c>
      <c r="B112" s="1407" t="s">
        <v>3099</v>
      </c>
      <c r="C112" s="1407" t="s">
        <v>3100</v>
      </c>
      <c r="D112" s="1407">
        <v>62828.800000000003</v>
      </c>
      <c r="E112" s="1407">
        <v>94243.199999999997</v>
      </c>
      <c r="F112" s="1407" t="s">
        <v>3367</v>
      </c>
      <c r="G112" s="1407" t="s">
        <v>3102</v>
      </c>
      <c r="H112" s="1407" t="s">
        <v>3100</v>
      </c>
      <c r="I112" s="1407">
        <v>0</v>
      </c>
      <c r="J112" s="1407" t="s">
        <v>3506</v>
      </c>
      <c r="K112" s="1407" t="s">
        <v>3506</v>
      </c>
      <c r="L112" s="1407">
        <v>4090</v>
      </c>
      <c r="M112" s="1407">
        <v>4090</v>
      </c>
      <c r="N112" s="1407">
        <v>433.98</v>
      </c>
      <c r="O112" s="1407">
        <v>0</v>
      </c>
      <c r="P112" s="1407" t="s">
        <v>3507</v>
      </c>
      <c r="Q112" s="1407" t="s">
        <v>3105</v>
      </c>
    </row>
    <row r="113" spans="1:17">
      <c r="A113" s="3406" t="s">
        <v>3164</v>
      </c>
      <c r="B113" s="3406" t="s">
        <v>3099</v>
      </c>
      <c r="C113" s="3406" t="s">
        <v>3100</v>
      </c>
      <c r="D113" s="3406">
        <v>5000</v>
      </c>
      <c r="E113" s="3406">
        <v>7500</v>
      </c>
      <c r="F113" s="3406" t="s">
        <v>3101</v>
      </c>
      <c r="G113" s="3406" t="s">
        <v>3102</v>
      </c>
      <c r="H113" s="3406" t="s">
        <v>3100</v>
      </c>
      <c r="I113" s="3406">
        <v>0</v>
      </c>
      <c r="J113" s="3406" t="s">
        <v>3162</v>
      </c>
      <c r="K113" s="3406" t="s">
        <v>3162</v>
      </c>
      <c r="L113" s="3406">
        <v>320</v>
      </c>
      <c r="M113" s="3406">
        <v>320</v>
      </c>
      <c r="N113" s="3406">
        <v>426.67</v>
      </c>
      <c r="O113" s="3406">
        <v>0</v>
      </c>
      <c r="P113" s="3406" t="s">
        <v>3165</v>
      </c>
      <c r="Q113" s="3406" t="s">
        <v>3105</v>
      </c>
    </row>
    <row r="114" spans="1:17">
      <c r="A114" s="1407" t="s">
        <v>3483</v>
      </c>
      <c r="B114" s="1407" t="s">
        <v>3099</v>
      </c>
      <c r="C114" s="1407" t="s">
        <v>3100</v>
      </c>
      <c r="D114" s="1407">
        <v>32178.7</v>
      </c>
      <c r="E114" s="1407">
        <v>48268.05</v>
      </c>
      <c r="F114" s="1407" t="s">
        <v>3435</v>
      </c>
      <c r="G114" s="1407" t="s">
        <v>3102</v>
      </c>
      <c r="H114" s="1407" t="s">
        <v>3100</v>
      </c>
      <c r="I114" s="1407">
        <v>0</v>
      </c>
      <c r="J114" s="1407" t="s">
        <v>3558</v>
      </c>
      <c r="K114" s="1407" t="s">
        <v>3558</v>
      </c>
      <c r="L114" s="1407">
        <v>2030</v>
      </c>
      <c r="M114" s="1407">
        <v>2030</v>
      </c>
      <c r="N114" s="1407">
        <v>420.56</v>
      </c>
      <c r="O114" s="1407">
        <v>0</v>
      </c>
      <c r="P114" s="1407" t="s">
        <v>3559</v>
      </c>
      <c r="Q114" s="1407" t="s">
        <v>3105</v>
      </c>
    </row>
    <row r="115" spans="1:17">
      <c r="A115" s="3406" t="s">
        <v>3242</v>
      </c>
      <c r="B115" s="3406" t="s">
        <v>3099</v>
      </c>
      <c r="C115" s="3406" t="s">
        <v>3100</v>
      </c>
      <c r="D115" s="3406">
        <v>5057.3</v>
      </c>
      <c r="E115" s="3406">
        <v>6068.76</v>
      </c>
      <c r="F115" s="3406" t="s">
        <v>3243</v>
      </c>
      <c r="G115" s="3406" t="s">
        <v>3102</v>
      </c>
      <c r="H115" s="3406" t="s">
        <v>3100</v>
      </c>
      <c r="I115" s="3406">
        <v>0</v>
      </c>
      <c r="J115" s="3406" t="s">
        <v>3237</v>
      </c>
      <c r="K115" s="3406" t="s">
        <v>3237</v>
      </c>
      <c r="L115" s="3406">
        <v>240</v>
      </c>
      <c r="M115" s="3406">
        <v>240</v>
      </c>
      <c r="N115" s="3406">
        <v>395.47</v>
      </c>
      <c r="O115" s="3406">
        <v>0</v>
      </c>
      <c r="P115" s="3406" t="s">
        <v>3244</v>
      </c>
      <c r="Q115" s="3406" t="s">
        <v>3105</v>
      </c>
    </row>
    <row r="116" spans="1:17">
      <c r="A116" s="3406" t="s">
        <v>3428</v>
      </c>
      <c r="B116" s="3406" t="s">
        <v>3099</v>
      </c>
      <c r="C116" s="3406" t="s">
        <v>3100</v>
      </c>
      <c r="D116" s="3406">
        <v>9527</v>
      </c>
      <c r="E116" s="3406">
        <v>11432.4</v>
      </c>
      <c r="F116" s="3406" t="s">
        <v>3301</v>
      </c>
      <c r="G116" s="3406" t="s">
        <v>3102</v>
      </c>
      <c r="H116" s="3406" t="s">
        <v>3100</v>
      </c>
      <c r="I116" s="3406">
        <v>0</v>
      </c>
      <c r="J116" s="3406" t="s">
        <v>3429</v>
      </c>
      <c r="K116" s="3406" t="s">
        <v>3429</v>
      </c>
      <c r="L116" s="3406">
        <v>450</v>
      </c>
      <c r="M116" s="3406">
        <v>450</v>
      </c>
      <c r="N116" s="3406">
        <v>393.62</v>
      </c>
      <c r="O116" s="3406">
        <v>0</v>
      </c>
      <c r="P116" s="3406" t="s">
        <v>3430</v>
      </c>
      <c r="Q116" s="3406" t="s">
        <v>3105</v>
      </c>
    </row>
    <row r="117" spans="1:17">
      <c r="A117" s="1407" t="s">
        <v>3358</v>
      </c>
      <c r="B117" s="1407" t="s">
        <v>3099</v>
      </c>
      <c r="C117" s="1407" t="s">
        <v>3100</v>
      </c>
      <c r="D117" s="1407">
        <v>12996.6</v>
      </c>
      <c r="E117" s="1407">
        <v>19494.900000000001</v>
      </c>
      <c r="F117" s="1407" t="s">
        <v>3435</v>
      </c>
      <c r="G117" s="1407" t="s">
        <v>3102</v>
      </c>
      <c r="H117" s="1407" t="s">
        <v>3100</v>
      </c>
      <c r="I117" s="1407">
        <v>0</v>
      </c>
      <c r="J117" s="1407" t="s">
        <v>3508</v>
      </c>
      <c r="K117" s="1407" t="s">
        <v>3508</v>
      </c>
      <c r="L117" s="1407">
        <v>740</v>
      </c>
      <c r="M117" s="1407">
        <v>740</v>
      </c>
      <c r="N117" s="1407">
        <v>379.58</v>
      </c>
      <c r="O117" s="1407">
        <v>0</v>
      </c>
      <c r="P117" s="1407" t="s">
        <v>3509</v>
      </c>
      <c r="Q117" s="1407" t="s">
        <v>3105</v>
      </c>
    </row>
    <row r="118" spans="1:17">
      <c r="A118" s="1407" t="s">
        <v>3168</v>
      </c>
      <c r="B118" s="1407" t="s">
        <v>3099</v>
      </c>
      <c r="C118" s="1407" t="s">
        <v>3100</v>
      </c>
      <c r="D118" s="1407">
        <v>78325.5</v>
      </c>
      <c r="E118" s="1407">
        <v>117488.25</v>
      </c>
      <c r="F118" s="1407" t="s">
        <v>3367</v>
      </c>
      <c r="G118" s="1407" t="s">
        <v>3102</v>
      </c>
      <c r="H118" s="1407" t="s">
        <v>3100</v>
      </c>
      <c r="I118" s="1407">
        <v>0</v>
      </c>
      <c r="J118" s="1407" t="s">
        <v>3467</v>
      </c>
      <c r="K118" s="1407" t="s">
        <v>3467</v>
      </c>
      <c r="L118" s="1407">
        <v>4390</v>
      </c>
      <c r="M118" s="1407">
        <v>4390</v>
      </c>
      <c r="N118" s="1407">
        <v>373.64</v>
      </c>
      <c r="O118" s="1407">
        <v>0</v>
      </c>
      <c r="P118" s="1407" t="s">
        <v>3471</v>
      </c>
      <c r="Q118" s="1407" t="s">
        <v>3105</v>
      </c>
    </row>
    <row r="119" spans="1:17">
      <c r="A119" s="3406" t="s">
        <v>3187</v>
      </c>
      <c r="B119" s="3406" t="s">
        <v>3099</v>
      </c>
      <c r="C119" s="3406" t="s">
        <v>3100</v>
      </c>
      <c r="D119" s="3406">
        <v>34150.1</v>
      </c>
      <c r="E119" s="3406">
        <v>51225.15</v>
      </c>
      <c r="F119" s="3406" t="s">
        <v>3188</v>
      </c>
      <c r="G119" s="3406" t="s">
        <v>3102</v>
      </c>
      <c r="H119" s="3406" t="s">
        <v>3111</v>
      </c>
      <c r="I119" s="3406">
        <v>0</v>
      </c>
      <c r="J119" s="3406" t="s">
        <v>3185</v>
      </c>
      <c r="K119" s="3406" t="s">
        <v>3185</v>
      </c>
      <c r="L119" s="3406">
        <v>1890</v>
      </c>
      <c r="M119" s="3406">
        <v>1890</v>
      </c>
      <c r="N119" s="3406">
        <v>368.95</v>
      </c>
      <c r="O119" s="3406">
        <v>0</v>
      </c>
      <c r="P119" s="3406" t="s">
        <v>3189</v>
      </c>
      <c r="Q119" s="3406" t="s">
        <v>3105</v>
      </c>
    </row>
    <row r="120" spans="1:17">
      <c r="A120" s="3406" t="s">
        <v>3168</v>
      </c>
      <c r="B120" s="3406" t="s">
        <v>3099</v>
      </c>
      <c r="C120" s="3406" t="s">
        <v>3100</v>
      </c>
      <c r="D120" s="3406">
        <v>37904</v>
      </c>
      <c r="E120" s="3406">
        <v>56856</v>
      </c>
      <c r="F120" s="3406" t="s">
        <v>3367</v>
      </c>
      <c r="G120" s="3406" t="s">
        <v>3102</v>
      </c>
      <c r="H120" s="3406" t="s">
        <v>3100</v>
      </c>
      <c r="I120" s="3406">
        <v>0</v>
      </c>
      <c r="J120" s="3406" t="s">
        <v>3363</v>
      </c>
      <c r="K120" s="3406" t="s">
        <v>3363</v>
      </c>
      <c r="L120" s="3406">
        <v>2090</v>
      </c>
      <c r="M120" s="3406">
        <v>2090</v>
      </c>
      <c r="N120" s="3406">
        <v>367.6</v>
      </c>
      <c r="O120" s="3406">
        <v>0</v>
      </c>
      <c r="P120" s="3406" t="s">
        <v>3368</v>
      </c>
      <c r="Q120" s="3406" t="s">
        <v>3105</v>
      </c>
    </row>
    <row r="121" spans="1:17">
      <c r="A121" s="1407" t="s">
        <v>3168</v>
      </c>
      <c r="B121" s="1407" t="s">
        <v>3099</v>
      </c>
      <c r="C121" s="1407" t="s">
        <v>3100</v>
      </c>
      <c r="D121" s="1407">
        <v>109471.7</v>
      </c>
      <c r="E121" s="1407">
        <v>164207.5</v>
      </c>
      <c r="F121" s="1407" t="s">
        <v>3367</v>
      </c>
      <c r="G121" s="1407" t="s">
        <v>3102</v>
      </c>
      <c r="H121" s="1407" t="s">
        <v>3100</v>
      </c>
      <c r="I121" s="1407">
        <v>0</v>
      </c>
      <c r="J121" s="1407" t="s">
        <v>3546</v>
      </c>
      <c r="K121" s="1407" t="s">
        <v>3546</v>
      </c>
      <c r="L121" s="1407">
        <v>6030</v>
      </c>
      <c r="M121" s="1407">
        <v>6030</v>
      </c>
      <c r="N121" s="1407">
        <v>367.22</v>
      </c>
      <c r="O121" s="1407">
        <v>0</v>
      </c>
      <c r="P121" s="1407" t="s">
        <v>3548</v>
      </c>
      <c r="Q121" s="1407" t="s">
        <v>3105</v>
      </c>
    </row>
    <row r="122" spans="1:17">
      <c r="A122" s="1407" t="s">
        <v>3168</v>
      </c>
      <c r="B122" s="1407" t="s">
        <v>3099</v>
      </c>
      <c r="C122" s="1407" t="s">
        <v>3100</v>
      </c>
      <c r="D122" s="1407">
        <v>54476.6</v>
      </c>
      <c r="E122" s="1407">
        <v>81714.899999999994</v>
      </c>
      <c r="F122" s="1407" t="s">
        <v>3367</v>
      </c>
      <c r="G122" s="1407" t="s">
        <v>3102</v>
      </c>
      <c r="H122" s="1407" t="s">
        <v>3100</v>
      </c>
      <c r="I122" s="1407">
        <v>0</v>
      </c>
      <c r="J122" s="1407" t="s">
        <v>3512</v>
      </c>
      <c r="K122" s="1407" t="s">
        <v>3512</v>
      </c>
      <c r="L122" s="1407">
        <v>3000</v>
      </c>
      <c r="M122" s="1407">
        <v>3000</v>
      </c>
      <c r="N122" s="1407">
        <v>367.12</v>
      </c>
      <c r="O122" s="1407">
        <v>0</v>
      </c>
      <c r="P122" s="1407" t="s">
        <v>3514</v>
      </c>
      <c r="Q122" s="1407" t="s">
        <v>3105</v>
      </c>
    </row>
    <row r="123" spans="1:17">
      <c r="A123" s="3406" t="s">
        <v>3321</v>
      </c>
      <c r="B123" s="3406" t="s">
        <v>3099</v>
      </c>
      <c r="C123" s="3406" t="s">
        <v>3100</v>
      </c>
      <c r="D123" s="3406">
        <v>10345.6</v>
      </c>
      <c r="E123" s="3406">
        <v>12414.72</v>
      </c>
      <c r="F123" s="3406" t="s">
        <v>3322</v>
      </c>
      <c r="G123" s="3406" t="s">
        <v>3102</v>
      </c>
      <c r="H123" s="3406" t="s">
        <v>3100</v>
      </c>
      <c r="I123" s="3406">
        <v>0</v>
      </c>
      <c r="J123" s="3406" t="s">
        <v>3302</v>
      </c>
      <c r="K123" s="3406" t="s">
        <v>3302</v>
      </c>
      <c r="L123" s="3406">
        <v>430</v>
      </c>
      <c r="M123" s="3406">
        <v>430</v>
      </c>
      <c r="N123" s="3406">
        <v>346.36</v>
      </c>
      <c r="O123" s="3406">
        <v>0</v>
      </c>
      <c r="P123" s="3406" t="s">
        <v>3323</v>
      </c>
      <c r="Q123" s="3406" t="s">
        <v>3105</v>
      </c>
    </row>
    <row r="124" spans="1:17">
      <c r="A124" s="3406" t="s">
        <v>3116</v>
      </c>
      <c r="B124" s="3406" t="s">
        <v>3099</v>
      </c>
      <c r="C124" s="3406" t="s">
        <v>3100</v>
      </c>
      <c r="D124" s="3406">
        <v>24010.2</v>
      </c>
      <c r="E124" s="3406">
        <v>28812.240000000002</v>
      </c>
      <c r="F124" s="3406" t="s">
        <v>3117</v>
      </c>
      <c r="G124" s="3406" t="s">
        <v>3102</v>
      </c>
      <c r="H124" s="3406" t="s">
        <v>3100</v>
      </c>
      <c r="I124" s="3406">
        <v>0</v>
      </c>
      <c r="J124" s="3406" t="s">
        <v>3118</v>
      </c>
      <c r="K124" s="3406" t="s">
        <v>3118</v>
      </c>
      <c r="L124" s="3406">
        <v>990</v>
      </c>
      <c r="M124" s="3406">
        <v>990</v>
      </c>
      <c r="N124" s="3406">
        <v>343.6</v>
      </c>
      <c r="O124" s="3406">
        <v>0</v>
      </c>
      <c r="P124" s="3406" t="s">
        <v>3119</v>
      </c>
      <c r="Q124" s="3406" t="s">
        <v>3105</v>
      </c>
    </row>
    <row r="125" spans="1:17">
      <c r="A125" s="1407" t="s">
        <v>3166</v>
      </c>
      <c r="B125" s="1407" t="s">
        <v>3099</v>
      </c>
      <c r="C125" s="1407" t="s">
        <v>3100</v>
      </c>
      <c r="D125" s="1407">
        <v>7200.4</v>
      </c>
      <c r="E125" s="1407">
        <v>10800.6</v>
      </c>
      <c r="F125" s="1407" t="s">
        <v>3355</v>
      </c>
      <c r="G125" s="1407" t="s">
        <v>3102</v>
      </c>
      <c r="H125" s="1407" t="s">
        <v>3100</v>
      </c>
      <c r="I125" s="1407">
        <v>0</v>
      </c>
      <c r="J125" s="1407" t="s">
        <v>3512</v>
      </c>
      <c r="K125" s="1407" t="s">
        <v>3512</v>
      </c>
      <c r="L125" s="1407">
        <v>370</v>
      </c>
      <c r="M125" s="1407">
        <v>370</v>
      </c>
      <c r="N125" s="1407">
        <v>342.56</v>
      </c>
      <c r="O125" s="1407">
        <v>0</v>
      </c>
      <c r="P125" s="1407" t="s">
        <v>3513</v>
      </c>
      <c r="Q125" s="1407" t="s">
        <v>3105</v>
      </c>
    </row>
    <row r="126" spans="1:17">
      <c r="A126" s="3406" t="s">
        <v>3166</v>
      </c>
      <c r="B126" s="3406" t="s">
        <v>3099</v>
      </c>
      <c r="C126" s="3406" t="s">
        <v>3100</v>
      </c>
      <c r="D126" s="3406">
        <v>27513</v>
      </c>
      <c r="E126" s="3406">
        <v>41269.5</v>
      </c>
      <c r="F126" s="3406" t="s">
        <v>3355</v>
      </c>
      <c r="G126" s="3406" t="s">
        <v>3102</v>
      </c>
      <c r="H126" s="3406" t="s">
        <v>3100</v>
      </c>
      <c r="I126" s="3406">
        <v>0</v>
      </c>
      <c r="J126" s="3406" t="s">
        <v>3356</v>
      </c>
      <c r="K126" s="3406" t="s">
        <v>3356</v>
      </c>
      <c r="L126" s="3406">
        <v>1410</v>
      </c>
      <c r="M126" s="3406">
        <v>1410</v>
      </c>
      <c r="N126" s="3406">
        <v>341.66</v>
      </c>
      <c r="O126" s="3406">
        <v>0</v>
      </c>
      <c r="P126" s="3406" t="s">
        <v>3357</v>
      </c>
      <c r="Q126" s="3406" t="s">
        <v>3105</v>
      </c>
    </row>
    <row r="127" spans="1:17">
      <c r="A127" s="3406" t="s">
        <v>3166</v>
      </c>
      <c r="B127" s="3406" t="s">
        <v>3099</v>
      </c>
      <c r="C127" s="3406" t="s">
        <v>3100</v>
      </c>
      <c r="D127" s="3406">
        <v>55308</v>
      </c>
      <c r="E127" s="3406">
        <v>82962</v>
      </c>
      <c r="F127" s="3406" t="s">
        <v>3355</v>
      </c>
      <c r="G127" s="3406" t="s">
        <v>3102</v>
      </c>
      <c r="H127" s="3406" t="s">
        <v>3100</v>
      </c>
      <c r="I127" s="3406">
        <v>0</v>
      </c>
      <c r="J127" s="3406" t="s">
        <v>3423</v>
      </c>
      <c r="K127" s="3406" t="s">
        <v>3423</v>
      </c>
      <c r="L127" s="3406">
        <v>2830</v>
      </c>
      <c r="M127" s="3406">
        <v>2830</v>
      </c>
      <c r="N127" s="3406">
        <v>341.12</v>
      </c>
      <c r="O127" s="3406">
        <v>0</v>
      </c>
      <c r="P127" s="3406" t="s">
        <v>3424</v>
      </c>
      <c r="Q127" s="3406" t="s">
        <v>3105</v>
      </c>
    </row>
    <row r="128" spans="1:17">
      <c r="A128" s="1407" t="s">
        <v>3166</v>
      </c>
      <c r="B128" s="1407" t="s">
        <v>3099</v>
      </c>
      <c r="C128" s="1407" t="s">
        <v>3100</v>
      </c>
      <c r="D128" s="1407">
        <v>67314.7</v>
      </c>
      <c r="E128" s="1407">
        <v>100972</v>
      </c>
      <c r="F128" s="1407" t="s">
        <v>3435</v>
      </c>
      <c r="G128" s="1407" t="s">
        <v>3102</v>
      </c>
      <c r="H128" s="1407" t="s">
        <v>3100</v>
      </c>
      <c r="I128" s="1407">
        <v>0</v>
      </c>
      <c r="J128" s="1407" t="s">
        <v>3568</v>
      </c>
      <c r="K128" s="1407" t="s">
        <v>3568</v>
      </c>
      <c r="L128" s="1407">
        <v>3440</v>
      </c>
      <c r="M128" s="1407">
        <v>3440</v>
      </c>
      <c r="N128" s="1407">
        <v>340.68</v>
      </c>
      <c r="O128" s="1407">
        <v>0</v>
      </c>
      <c r="P128" s="1407" t="s">
        <v>3569</v>
      </c>
      <c r="Q128" s="1407" t="s">
        <v>3105</v>
      </c>
    </row>
    <row r="129" spans="1:17">
      <c r="A129" s="3406" t="s">
        <v>3166</v>
      </c>
      <c r="B129" s="3406" t="s">
        <v>3099</v>
      </c>
      <c r="C129" s="3406" t="s">
        <v>3100</v>
      </c>
      <c r="D129" s="3406">
        <v>30932.5</v>
      </c>
      <c r="E129" s="3406">
        <v>46398.75</v>
      </c>
      <c r="F129" s="3406" t="s">
        <v>3435</v>
      </c>
      <c r="G129" s="3406" t="s">
        <v>3102</v>
      </c>
      <c r="H129" s="3406" t="s">
        <v>3100</v>
      </c>
      <c r="I129" s="3406">
        <v>0</v>
      </c>
      <c r="J129" s="3406" t="s">
        <v>3465</v>
      </c>
      <c r="K129" s="3406" t="s">
        <v>3465</v>
      </c>
      <c r="L129" s="3406">
        <v>1580</v>
      </c>
      <c r="M129" s="3406">
        <v>1580</v>
      </c>
      <c r="N129" s="3406">
        <v>340.52</v>
      </c>
      <c r="O129" s="3406">
        <v>0</v>
      </c>
      <c r="P129" s="3406" t="s">
        <v>3466</v>
      </c>
      <c r="Q129" s="3406" t="s">
        <v>3105</v>
      </c>
    </row>
    <row r="130" spans="1:17">
      <c r="A130" s="3406" t="s">
        <v>3166</v>
      </c>
      <c r="B130" s="3406" t="s">
        <v>3099</v>
      </c>
      <c r="C130" s="3406" t="s">
        <v>3100</v>
      </c>
      <c r="D130" s="3406">
        <v>11709.2</v>
      </c>
      <c r="E130" s="3406">
        <v>17563.8</v>
      </c>
      <c r="F130" s="3406" t="s">
        <v>3355</v>
      </c>
      <c r="G130" s="3406" t="s">
        <v>3102</v>
      </c>
      <c r="H130" s="3406" t="s">
        <v>3100</v>
      </c>
      <c r="I130" s="3406">
        <v>0</v>
      </c>
      <c r="J130" s="3406" t="s">
        <v>3401</v>
      </c>
      <c r="K130" s="3406" t="s">
        <v>3401</v>
      </c>
      <c r="L130" s="3406">
        <v>590</v>
      </c>
      <c r="M130" s="3406">
        <v>590</v>
      </c>
      <c r="N130" s="3406">
        <v>335.92</v>
      </c>
      <c r="O130" s="3406">
        <v>0</v>
      </c>
      <c r="P130" s="3406" t="s">
        <v>3149</v>
      </c>
      <c r="Q130" s="3406" t="s">
        <v>3105</v>
      </c>
    </row>
    <row r="131" spans="1:17">
      <c r="A131" s="3406" t="s">
        <v>3166</v>
      </c>
      <c r="B131" s="3406" t="s">
        <v>3099</v>
      </c>
      <c r="C131" s="3406" t="s">
        <v>3100</v>
      </c>
      <c r="D131" s="3406">
        <v>14704</v>
      </c>
      <c r="E131" s="3406">
        <v>22056</v>
      </c>
      <c r="F131" s="3406" t="s">
        <v>3355</v>
      </c>
      <c r="G131" s="3406" t="s">
        <v>3102</v>
      </c>
      <c r="H131" s="3406" t="s">
        <v>3100</v>
      </c>
      <c r="I131" s="3406">
        <v>0</v>
      </c>
      <c r="J131" s="3406" t="s">
        <v>3401</v>
      </c>
      <c r="K131" s="3406" t="s">
        <v>3401</v>
      </c>
      <c r="L131" s="3406">
        <v>740</v>
      </c>
      <c r="M131" s="3406">
        <v>740</v>
      </c>
      <c r="N131" s="3406">
        <v>335.5</v>
      </c>
      <c r="O131" s="3406">
        <v>0</v>
      </c>
      <c r="P131" s="3406" t="s">
        <v>3149</v>
      </c>
      <c r="Q131" s="3406" t="s">
        <v>3105</v>
      </c>
    </row>
    <row r="132" spans="1:17">
      <c r="A132" s="3406" t="s">
        <v>3166</v>
      </c>
      <c r="B132" s="3406" t="s">
        <v>3099</v>
      </c>
      <c r="C132" s="3406" t="s">
        <v>3100</v>
      </c>
      <c r="D132" s="3406">
        <v>7394.4</v>
      </c>
      <c r="E132" s="3406">
        <v>11091.6</v>
      </c>
      <c r="F132" s="3406" t="s">
        <v>3355</v>
      </c>
      <c r="G132" s="3406" t="s">
        <v>3102</v>
      </c>
      <c r="H132" s="3406" t="s">
        <v>3100</v>
      </c>
      <c r="I132" s="3406">
        <v>0</v>
      </c>
      <c r="J132" s="3406" t="s">
        <v>3401</v>
      </c>
      <c r="K132" s="3406" t="s">
        <v>3401</v>
      </c>
      <c r="L132" s="3406">
        <v>370</v>
      </c>
      <c r="M132" s="3406">
        <v>370</v>
      </c>
      <c r="N132" s="3406">
        <v>333.58</v>
      </c>
      <c r="O132" s="3406">
        <v>0</v>
      </c>
      <c r="P132" s="3406" t="s">
        <v>3149</v>
      </c>
      <c r="Q132" s="3406" t="s">
        <v>3105</v>
      </c>
    </row>
    <row r="133" spans="1:17">
      <c r="A133" s="3406" t="s">
        <v>3166</v>
      </c>
      <c r="B133" s="3406" t="s">
        <v>3099</v>
      </c>
      <c r="C133" s="3406" t="s">
        <v>3100</v>
      </c>
      <c r="D133" s="3406">
        <v>53768.9</v>
      </c>
      <c r="E133" s="3406">
        <v>80653.350000000006</v>
      </c>
      <c r="F133" s="3406" t="s">
        <v>3435</v>
      </c>
      <c r="G133" s="3406" t="s">
        <v>3102</v>
      </c>
      <c r="H133" s="3406" t="s">
        <v>3100</v>
      </c>
      <c r="I133" s="3406">
        <v>0</v>
      </c>
      <c r="J133" s="3406" t="s">
        <v>3436</v>
      </c>
      <c r="K133" s="3406" t="s">
        <v>3436</v>
      </c>
      <c r="L133" s="3406">
        <v>2690</v>
      </c>
      <c r="M133" s="3406">
        <v>2690</v>
      </c>
      <c r="N133" s="3406">
        <v>333.52</v>
      </c>
      <c r="O133" s="3406">
        <v>0</v>
      </c>
      <c r="P133" s="3406" t="s">
        <v>3437</v>
      </c>
      <c r="Q133" s="3406" t="s">
        <v>3105</v>
      </c>
    </row>
    <row r="134" spans="1:17">
      <c r="A134" s="3406" t="s">
        <v>3199</v>
      </c>
      <c r="B134" s="3406" t="s">
        <v>3099</v>
      </c>
      <c r="C134" s="3406" t="s">
        <v>3100</v>
      </c>
      <c r="D134" s="3406">
        <v>17403.5</v>
      </c>
      <c r="E134" s="3406">
        <v>34807</v>
      </c>
      <c r="F134" s="3406" t="s">
        <v>3196</v>
      </c>
      <c r="G134" s="3406" t="s">
        <v>3102</v>
      </c>
      <c r="H134" s="3406" t="s">
        <v>3111</v>
      </c>
      <c r="I134" s="3406">
        <v>0</v>
      </c>
      <c r="J134" s="3406" t="s">
        <v>3200</v>
      </c>
      <c r="K134" s="3406" t="s">
        <v>3200</v>
      </c>
      <c r="L134" s="3406">
        <v>1120</v>
      </c>
      <c r="M134" s="3406">
        <v>1120</v>
      </c>
      <c r="N134" s="3406">
        <v>321.76</v>
      </c>
      <c r="O134" s="3406">
        <v>0</v>
      </c>
      <c r="P134" s="3406" t="s">
        <v>3201</v>
      </c>
      <c r="Q134" s="3406" t="s">
        <v>3105</v>
      </c>
    </row>
    <row r="135" spans="1:17">
      <c r="A135" s="3406" t="s">
        <v>3410</v>
      </c>
      <c r="B135" s="3406" t="s">
        <v>3099</v>
      </c>
      <c r="C135" s="3406" t="s">
        <v>3100</v>
      </c>
      <c r="D135" s="3406">
        <v>24485.8</v>
      </c>
      <c r="E135" s="3406">
        <v>48971.6</v>
      </c>
      <c r="F135" s="3406" t="s">
        <v>3377</v>
      </c>
      <c r="G135" s="3406" t="s">
        <v>3102</v>
      </c>
      <c r="H135" s="3406" t="s">
        <v>3100</v>
      </c>
      <c r="I135" s="3406">
        <v>0</v>
      </c>
      <c r="J135" s="3406" t="s">
        <v>3411</v>
      </c>
      <c r="K135" s="3406" t="s">
        <v>3411</v>
      </c>
      <c r="L135" s="3406">
        <v>1570</v>
      </c>
      <c r="M135" s="3406">
        <v>1570</v>
      </c>
      <c r="N135" s="3406">
        <v>320.58</v>
      </c>
      <c r="O135" s="3406">
        <v>0</v>
      </c>
      <c r="P135" s="3406" t="s">
        <v>3412</v>
      </c>
      <c r="Q135" s="3406" t="s">
        <v>3105</v>
      </c>
    </row>
    <row r="136" spans="1:17">
      <c r="A136" s="1407" t="s">
        <v>3551</v>
      </c>
      <c r="B136" s="1407" t="s">
        <v>3099</v>
      </c>
      <c r="C136" s="1407" t="s">
        <v>3100</v>
      </c>
      <c r="D136" s="1407">
        <v>33229.599999999999</v>
      </c>
      <c r="E136" s="1407">
        <v>49844.4</v>
      </c>
      <c r="F136" s="1407" t="s">
        <v>3435</v>
      </c>
      <c r="G136" s="1407" t="s">
        <v>3102</v>
      </c>
      <c r="H136" s="1407" t="s">
        <v>3100</v>
      </c>
      <c r="I136" s="1407">
        <v>0</v>
      </c>
      <c r="J136" s="1407" t="s">
        <v>3556</v>
      </c>
      <c r="K136" s="1407" t="s">
        <v>3556</v>
      </c>
      <c r="L136" s="1407">
        <v>1570</v>
      </c>
      <c r="M136" s="1407">
        <v>1570</v>
      </c>
      <c r="N136" s="1407">
        <v>314.98</v>
      </c>
      <c r="O136" s="1407">
        <v>0</v>
      </c>
      <c r="P136" s="1407" t="s">
        <v>3557</v>
      </c>
      <c r="Q136" s="1407" t="s">
        <v>3105</v>
      </c>
    </row>
    <row r="137" spans="1:17">
      <c r="A137" s="1407" t="s">
        <v>3525</v>
      </c>
      <c r="B137" s="1407" t="s">
        <v>3099</v>
      </c>
      <c r="C137" s="1407" t="s">
        <v>3100</v>
      </c>
      <c r="D137" s="1407">
        <v>43527.9</v>
      </c>
      <c r="E137" s="1407">
        <v>65291.85</v>
      </c>
      <c r="F137" s="1407" t="s">
        <v>3355</v>
      </c>
      <c r="G137" s="1407" t="s">
        <v>3102</v>
      </c>
      <c r="H137" s="1407" t="s">
        <v>3100</v>
      </c>
      <c r="I137" s="1407">
        <v>0</v>
      </c>
      <c r="J137" s="1407" t="s">
        <v>3526</v>
      </c>
      <c r="K137" s="1407" t="s">
        <v>3526</v>
      </c>
      <c r="L137" s="1407">
        <v>2050</v>
      </c>
      <c r="M137" s="1407">
        <v>2050</v>
      </c>
      <c r="N137" s="1407">
        <v>313.97000000000003</v>
      </c>
      <c r="O137" s="1407">
        <v>0</v>
      </c>
      <c r="P137" s="1407" t="s">
        <v>3527</v>
      </c>
      <c r="Q137" s="1407" t="s">
        <v>3105</v>
      </c>
    </row>
    <row r="138" spans="1:17">
      <c r="A138" s="1407" t="s">
        <v>3525</v>
      </c>
      <c r="B138" s="1407" t="s">
        <v>3099</v>
      </c>
      <c r="C138" s="1407" t="s">
        <v>3100</v>
      </c>
      <c r="D138" s="1407">
        <v>74129.8</v>
      </c>
      <c r="E138" s="1407">
        <v>111194.7</v>
      </c>
      <c r="F138" s="1407" t="s">
        <v>3435</v>
      </c>
      <c r="G138" s="1407" t="s">
        <v>3102</v>
      </c>
      <c r="H138" s="1407" t="s">
        <v>3100</v>
      </c>
      <c r="I138" s="1407">
        <v>0</v>
      </c>
      <c r="J138" s="1407" t="s">
        <v>3533</v>
      </c>
      <c r="K138" s="1407" t="s">
        <v>3533</v>
      </c>
      <c r="L138" s="1407">
        <v>3490</v>
      </c>
      <c r="M138" s="1407">
        <v>3490</v>
      </c>
      <c r="N138" s="1407">
        <v>313.86</v>
      </c>
      <c r="O138" s="1407">
        <v>0</v>
      </c>
      <c r="P138" s="1407" t="s">
        <v>3535</v>
      </c>
      <c r="Q138" s="1407" t="s">
        <v>3105</v>
      </c>
    </row>
    <row r="139" spans="1:17">
      <c r="A139" s="1407" t="s">
        <v>3551</v>
      </c>
      <c r="B139" s="1407" t="s">
        <v>3099</v>
      </c>
      <c r="C139" s="1407" t="s">
        <v>3100</v>
      </c>
      <c r="D139" s="1407">
        <v>110060.4</v>
      </c>
      <c r="E139" s="1407">
        <v>165090.6</v>
      </c>
      <c r="F139" s="1407" t="s">
        <v>3435</v>
      </c>
      <c r="G139" s="1407" t="s">
        <v>3102</v>
      </c>
      <c r="H139" s="1407" t="s">
        <v>3100</v>
      </c>
      <c r="I139" s="1407">
        <v>0</v>
      </c>
      <c r="J139" s="1407" t="s">
        <v>3552</v>
      </c>
      <c r="K139" s="1407" t="s">
        <v>3552</v>
      </c>
      <c r="L139" s="1407">
        <v>5180</v>
      </c>
      <c r="M139" s="1407">
        <v>5180</v>
      </c>
      <c r="N139" s="1407">
        <v>313.76</v>
      </c>
      <c r="O139" s="1407">
        <v>0</v>
      </c>
      <c r="P139" s="1407" t="s">
        <v>3553</v>
      </c>
      <c r="Q139" s="1407" t="s">
        <v>3105</v>
      </c>
    </row>
    <row r="140" spans="1:17">
      <c r="A140" s="1407" t="s">
        <v>3525</v>
      </c>
      <c r="B140" s="1407" t="s">
        <v>3099</v>
      </c>
      <c r="C140" s="1407" t="s">
        <v>3100</v>
      </c>
      <c r="D140" s="1407">
        <v>130522.2</v>
      </c>
      <c r="E140" s="1407">
        <v>195783.3</v>
      </c>
      <c r="F140" s="1407" t="s">
        <v>3355</v>
      </c>
      <c r="G140" s="1407" t="s">
        <v>3102</v>
      </c>
      <c r="H140" s="1407" t="s">
        <v>3100</v>
      </c>
      <c r="I140" s="1407">
        <v>0</v>
      </c>
      <c r="J140" s="1407" t="s">
        <v>3531</v>
      </c>
      <c r="K140" s="1407" t="s">
        <v>3531</v>
      </c>
      <c r="L140" s="1407">
        <v>6140</v>
      </c>
      <c r="M140" s="1407">
        <v>6140</v>
      </c>
      <c r="N140" s="1407">
        <v>313.61</v>
      </c>
      <c r="O140" s="1407">
        <v>0</v>
      </c>
      <c r="P140" s="1407" t="s">
        <v>3532</v>
      </c>
      <c r="Q140" s="1407" t="s">
        <v>3105</v>
      </c>
    </row>
    <row r="141" spans="1:17">
      <c r="A141" s="1407" t="s">
        <v>3525</v>
      </c>
      <c r="B141" s="1407" t="s">
        <v>3099</v>
      </c>
      <c r="C141" s="1407" t="s">
        <v>3100</v>
      </c>
      <c r="D141" s="1407">
        <v>477433.5</v>
      </c>
      <c r="E141" s="1407">
        <v>716150.2</v>
      </c>
      <c r="F141" s="1407" t="s">
        <v>3536</v>
      </c>
      <c r="G141" s="1407" t="s">
        <v>3102</v>
      </c>
      <c r="H141" s="1407" t="s">
        <v>3100</v>
      </c>
      <c r="I141" s="1407">
        <v>0</v>
      </c>
      <c r="J141" s="1407" t="s">
        <v>3533</v>
      </c>
      <c r="K141" s="1407" t="s">
        <v>3533</v>
      </c>
      <c r="L141" s="1407">
        <v>22210</v>
      </c>
      <c r="M141" s="1407">
        <v>22210</v>
      </c>
      <c r="N141" s="1407">
        <v>310.12</v>
      </c>
      <c r="O141" s="1407">
        <v>0</v>
      </c>
      <c r="P141" s="1407" t="s">
        <v>3537</v>
      </c>
      <c r="Q141" s="1407" t="s">
        <v>3105</v>
      </c>
    </row>
    <row r="142" spans="1:17">
      <c r="A142" s="1407" t="s">
        <v>3206</v>
      </c>
      <c r="B142" s="1407" t="s">
        <v>3099</v>
      </c>
      <c r="C142" s="1407" t="s">
        <v>3100</v>
      </c>
      <c r="D142" s="1407">
        <v>500655.6</v>
      </c>
      <c r="E142" s="1407">
        <v>500655.6</v>
      </c>
      <c r="F142" s="1407" t="s">
        <v>3224</v>
      </c>
      <c r="G142" s="1407" t="s">
        <v>3102</v>
      </c>
      <c r="H142" s="1407" t="s">
        <v>3111</v>
      </c>
      <c r="I142" s="1407">
        <v>0</v>
      </c>
      <c r="J142" s="1407" t="s">
        <v>3512</v>
      </c>
      <c r="K142" s="1407" t="s">
        <v>3512</v>
      </c>
      <c r="L142" s="1407">
        <v>15430</v>
      </c>
      <c r="M142" s="1407">
        <v>15430</v>
      </c>
      <c r="N142" s="1407">
        <v>308.19</v>
      </c>
      <c r="O142" s="1407">
        <v>0</v>
      </c>
      <c r="P142" s="1407" t="s">
        <v>3515</v>
      </c>
      <c r="Q142" s="1407" t="s">
        <v>3105</v>
      </c>
    </row>
    <row r="143" spans="1:17">
      <c r="A143" s="3406" t="s">
        <v>3275</v>
      </c>
      <c r="B143" s="3406" t="s">
        <v>3099</v>
      </c>
      <c r="C143" s="3406" t="s">
        <v>3100</v>
      </c>
      <c r="D143" s="3406">
        <v>73342.5</v>
      </c>
      <c r="E143" s="3406">
        <v>110013.75</v>
      </c>
      <c r="F143" s="3406" t="s">
        <v>3276</v>
      </c>
      <c r="G143" s="3406" t="s">
        <v>3102</v>
      </c>
      <c r="H143" s="3406" t="s">
        <v>3100</v>
      </c>
      <c r="I143" s="3406">
        <v>0</v>
      </c>
      <c r="J143" s="3406" t="s">
        <v>3273</v>
      </c>
      <c r="K143" s="3406" t="s">
        <v>3273</v>
      </c>
      <c r="L143" s="3406">
        <v>3390</v>
      </c>
      <c r="M143" s="3406">
        <v>3390</v>
      </c>
      <c r="N143" s="3406">
        <v>308.13</v>
      </c>
      <c r="O143" s="3406">
        <v>0</v>
      </c>
      <c r="P143" s="3406" t="s">
        <v>3277</v>
      </c>
      <c r="Q143" s="3406" t="s">
        <v>3105</v>
      </c>
    </row>
    <row r="144" spans="1:17">
      <c r="A144" s="1407" t="s">
        <v>3551</v>
      </c>
      <c r="B144" s="1407" t="s">
        <v>3099</v>
      </c>
      <c r="C144" s="1407" t="s">
        <v>3100</v>
      </c>
      <c r="D144" s="1407">
        <v>28001</v>
      </c>
      <c r="E144" s="1407">
        <v>42001.5</v>
      </c>
      <c r="F144" s="1407" t="s">
        <v>3355</v>
      </c>
      <c r="G144" s="1407" t="s">
        <v>3102</v>
      </c>
      <c r="H144" s="1407" t="s">
        <v>3100</v>
      </c>
      <c r="I144" s="1407">
        <v>0</v>
      </c>
      <c r="J144" s="1407" t="s">
        <v>3565</v>
      </c>
      <c r="K144" s="1407" t="s">
        <v>3565</v>
      </c>
      <c r="L144" s="1407">
        <v>1290</v>
      </c>
      <c r="M144" s="1407">
        <v>1290</v>
      </c>
      <c r="N144" s="1407">
        <v>307.12</v>
      </c>
      <c r="O144" s="1407">
        <v>0</v>
      </c>
      <c r="P144" s="1407" t="s">
        <v>3566</v>
      </c>
      <c r="Q144" s="1407" t="s">
        <v>3105</v>
      </c>
    </row>
    <row r="145" spans="1:17">
      <c r="A145" s="3406" t="s">
        <v>3389</v>
      </c>
      <c r="B145" s="3406" t="s">
        <v>3099</v>
      </c>
      <c r="C145" s="3406" t="s">
        <v>3100</v>
      </c>
      <c r="D145" s="3406">
        <v>23740.1</v>
      </c>
      <c r="E145" s="3406">
        <v>35610.15</v>
      </c>
      <c r="F145" s="3406" t="s">
        <v>3390</v>
      </c>
      <c r="G145" s="3406" t="s">
        <v>3102</v>
      </c>
      <c r="H145" s="3406" t="s">
        <v>3100</v>
      </c>
      <c r="I145" s="3406">
        <v>0</v>
      </c>
      <c r="J145" s="3406" t="s">
        <v>3385</v>
      </c>
      <c r="K145" s="3406" t="s">
        <v>3385</v>
      </c>
      <c r="L145" s="3406">
        <v>1080</v>
      </c>
      <c r="M145" s="3406">
        <v>1080</v>
      </c>
      <c r="N145" s="3406">
        <v>303.27</v>
      </c>
      <c r="O145" s="3406">
        <v>0</v>
      </c>
      <c r="P145" s="3406" t="s">
        <v>3391</v>
      </c>
      <c r="Q145" s="3406" t="s">
        <v>3105</v>
      </c>
    </row>
    <row r="146" spans="1:17">
      <c r="A146" s="3406" t="s">
        <v>3456</v>
      </c>
      <c r="B146" s="3406" t="s">
        <v>3099</v>
      </c>
      <c r="C146" s="3406" t="s">
        <v>3100</v>
      </c>
      <c r="D146" s="3406">
        <v>69726.7</v>
      </c>
      <c r="E146" s="3406">
        <v>104590.05</v>
      </c>
      <c r="F146" s="3406" t="s">
        <v>3390</v>
      </c>
      <c r="G146" s="3406" t="s">
        <v>3102</v>
      </c>
      <c r="H146" s="3406" t="s">
        <v>3100</v>
      </c>
      <c r="I146" s="3406">
        <v>0</v>
      </c>
      <c r="J146" s="3406" t="s">
        <v>3457</v>
      </c>
      <c r="K146" s="3406" t="s">
        <v>3457</v>
      </c>
      <c r="L146" s="3406">
        <v>3150</v>
      </c>
      <c r="M146" s="3406">
        <v>3150</v>
      </c>
      <c r="N146" s="3406">
        <v>301.18</v>
      </c>
      <c r="O146" s="3406">
        <v>0</v>
      </c>
      <c r="P146" s="3406" t="s">
        <v>3458</v>
      </c>
      <c r="Q146" s="3406" t="s">
        <v>3105</v>
      </c>
    </row>
    <row r="147" spans="1:17">
      <c r="A147" s="1407" t="s">
        <v>3389</v>
      </c>
      <c r="B147" s="1407" t="s">
        <v>3099</v>
      </c>
      <c r="C147" s="1407" t="s">
        <v>3100</v>
      </c>
      <c r="D147" s="1407">
        <v>98733.7</v>
      </c>
      <c r="E147" s="1407">
        <v>148100.54999999999</v>
      </c>
      <c r="F147" s="1407" t="s">
        <v>3390</v>
      </c>
      <c r="G147" s="1407" t="s">
        <v>3102</v>
      </c>
      <c r="H147" s="1407" t="s">
        <v>3100</v>
      </c>
      <c r="I147" s="1407">
        <v>0</v>
      </c>
      <c r="J147" s="1407" t="s">
        <v>3467</v>
      </c>
      <c r="K147" s="1407" t="s">
        <v>3467</v>
      </c>
      <c r="L147" s="1407">
        <v>4460</v>
      </c>
      <c r="M147" s="1407">
        <v>4460</v>
      </c>
      <c r="N147" s="1407">
        <v>301.14</v>
      </c>
      <c r="O147" s="1407">
        <v>0</v>
      </c>
      <c r="P147" s="1407" t="s">
        <v>3468</v>
      </c>
      <c r="Q147" s="1407" t="s">
        <v>3105</v>
      </c>
    </row>
    <row r="148" spans="1:17">
      <c r="A148" s="3406" t="s">
        <v>3389</v>
      </c>
      <c r="B148" s="3406" t="s">
        <v>3099</v>
      </c>
      <c r="C148" s="3406" t="s">
        <v>3100</v>
      </c>
      <c r="D148" s="3406">
        <v>63391</v>
      </c>
      <c r="E148" s="3406">
        <v>95086.5</v>
      </c>
      <c r="F148" s="3406" t="s">
        <v>3390</v>
      </c>
      <c r="G148" s="3406" t="s">
        <v>3102</v>
      </c>
      <c r="H148" s="3406" t="s">
        <v>3100</v>
      </c>
      <c r="I148" s="3406">
        <v>0</v>
      </c>
      <c r="J148" s="3406" t="s">
        <v>3394</v>
      </c>
      <c r="K148" s="3406" t="s">
        <v>3394</v>
      </c>
      <c r="L148" s="3406">
        <v>2860</v>
      </c>
      <c r="M148" s="3406">
        <v>2860</v>
      </c>
      <c r="N148" s="3406">
        <v>300.77</v>
      </c>
      <c r="O148" s="3406">
        <v>0</v>
      </c>
      <c r="P148" s="3406" t="s">
        <v>3396</v>
      </c>
      <c r="Q148" s="3406" t="s">
        <v>3105</v>
      </c>
    </row>
    <row r="149" spans="1:17">
      <c r="A149" s="3406" t="s">
        <v>3215</v>
      </c>
      <c r="B149" s="3406" t="s">
        <v>3099</v>
      </c>
      <c r="C149" s="3406" t="s">
        <v>3100</v>
      </c>
      <c r="D149" s="3406">
        <v>22609.1</v>
      </c>
      <c r="E149" s="3406">
        <v>33913.65</v>
      </c>
      <c r="F149" s="3406" t="s">
        <v>3216</v>
      </c>
      <c r="G149" s="3406" t="s">
        <v>3102</v>
      </c>
      <c r="H149" s="3406" t="s">
        <v>3100</v>
      </c>
      <c r="I149" s="3406">
        <v>0</v>
      </c>
      <c r="J149" s="3406" t="s">
        <v>3217</v>
      </c>
      <c r="K149" s="3406" t="s">
        <v>3217</v>
      </c>
      <c r="L149" s="3406">
        <v>1020</v>
      </c>
      <c r="M149" s="3406">
        <v>1020</v>
      </c>
      <c r="N149" s="3406">
        <v>300.75</v>
      </c>
      <c r="O149" s="3406">
        <v>0</v>
      </c>
      <c r="P149" s="3406" t="s">
        <v>3218</v>
      </c>
      <c r="Q149" s="3406" t="s">
        <v>3154</v>
      </c>
    </row>
    <row r="150" spans="1:17">
      <c r="A150" s="3406" t="s">
        <v>3215</v>
      </c>
      <c r="B150" s="3406" t="s">
        <v>3099</v>
      </c>
      <c r="C150" s="3406" t="s">
        <v>3100</v>
      </c>
      <c r="D150" s="3406">
        <v>20001</v>
      </c>
      <c r="E150" s="3406">
        <v>30001.5</v>
      </c>
      <c r="F150" s="3406" t="s">
        <v>3216</v>
      </c>
      <c r="G150" s="3406" t="s">
        <v>3102</v>
      </c>
      <c r="H150" s="3406" t="s">
        <v>3100</v>
      </c>
      <c r="I150" s="3406">
        <v>0</v>
      </c>
      <c r="J150" s="3406" t="s">
        <v>3217</v>
      </c>
      <c r="K150" s="3406" t="s">
        <v>3217</v>
      </c>
      <c r="L150" s="3406">
        <v>900</v>
      </c>
      <c r="M150" s="3406">
        <v>900</v>
      </c>
      <c r="N150" s="3406">
        <v>299.99</v>
      </c>
      <c r="O150" s="3406">
        <v>0</v>
      </c>
      <c r="P150" s="3406" t="s">
        <v>3221</v>
      </c>
      <c r="Q150" s="3406" t="s">
        <v>3154</v>
      </c>
    </row>
    <row r="151" spans="1:17">
      <c r="A151" s="1407" t="s">
        <v>3477</v>
      </c>
      <c r="B151" s="1407" t="s">
        <v>3099</v>
      </c>
      <c r="C151" s="1407" t="s">
        <v>3100</v>
      </c>
      <c r="D151" s="1407">
        <v>51293.2</v>
      </c>
      <c r="E151" s="1407">
        <v>97457.08</v>
      </c>
      <c r="F151" s="1407" t="s">
        <v>3478</v>
      </c>
      <c r="G151" s="1407" t="s">
        <v>3102</v>
      </c>
      <c r="H151" s="1407" t="s">
        <v>3111</v>
      </c>
      <c r="I151" s="1407">
        <v>0</v>
      </c>
      <c r="J151" s="1407" t="s">
        <v>3479</v>
      </c>
      <c r="K151" s="1407" t="s">
        <v>3479</v>
      </c>
      <c r="L151" s="1407">
        <v>2900</v>
      </c>
      <c r="M151" s="1407">
        <v>2900</v>
      </c>
      <c r="N151" s="1407">
        <v>297.56</v>
      </c>
      <c r="O151" s="1407">
        <v>0</v>
      </c>
      <c r="P151" s="1407" t="s">
        <v>3480</v>
      </c>
      <c r="Q151" s="1407" t="s">
        <v>3105</v>
      </c>
    </row>
    <row r="152" spans="1:17">
      <c r="A152" s="3406" t="s">
        <v>3161</v>
      </c>
      <c r="B152" s="3406" t="s">
        <v>3099</v>
      </c>
      <c r="C152" s="3406" t="s">
        <v>3100</v>
      </c>
      <c r="D152" s="3406">
        <v>18418.099999999999</v>
      </c>
      <c r="E152" s="3406">
        <v>36836.199999999997</v>
      </c>
      <c r="F152" s="3406" t="s">
        <v>3369</v>
      </c>
      <c r="G152" s="3406" t="s">
        <v>3102</v>
      </c>
      <c r="H152" s="3406" t="s">
        <v>3100</v>
      </c>
      <c r="I152" s="3406">
        <v>0</v>
      </c>
      <c r="J152" s="3406" t="s">
        <v>3433</v>
      </c>
      <c r="K152" s="3406" t="s">
        <v>3433</v>
      </c>
      <c r="L152" s="3406">
        <v>1080</v>
      </c>
      <c r="M152" s="3406">
        <v>1080</v>
      </c>
      <c r="N152" s="3406">
        <v>293.18</v>
      </c>
      <c r="O152" s="3406">
        <v>0</v>
      </c>
      <c r="P152" s="3406" t="s">
        <v>3434</v>
      </c>
      <c r="Q152" s="3406" t="s">
        <v>3105</v>
      </c>
    </row>
    <row r="153" spans="1:17">
      <c r="A153" s="3406" t="s">
        <v>3161</v>
      </c>
      <c r="B153" s="3406" t="s">
        <v>3099</v>
      </c>
      <c r="C153" s="3406" t="s">
        <v>3100</v>
      </c>
      <c r="D153" s="3406">
        <v>40161.5</v>
      </c>
      <c r="E153" s="3406">
        <v>80323</v>
      </c>
      <c r="F153" s="3406" t="s">
        <v>3101</v>
      </c>
      <c r="G153" s="3406" t="s">
        <v>3102</v>
      </c>
      <c r="H153" s="3406" t="s">
        <v>3100</v>
      </c>
      <c r="I153" s="3406">
        <v>0</v>
      </c>
      <c r="J153" s="3406" t="s">
        <v>3162</v>
      </c>
      <c r="K153" s="3406" t="s">
        <v>3162</v>
      </c>
      <c r="L153" s="3406">
        <v>2270</v>
      </c>
      <c r="M153" s="3406">
        <v>2270</v>
      </c>
      <c r="N153" s="3406">
        <v>282.61</v>
      </c>
      <c r="O153" s="3406">
        <v>0</v>
      </c>
      <c r="P153" s="3406" t="s">
        <v>3163</v>
      </c>
      <c r="Q153" s="3406" t="s">
        <v>3105</v>
      </c>
    </row>
    <row r="154" spans="1:17">
      <c r="A154" s="3406" t="s">
        <v>3269</v>
      </c>
      <c r="B154" s="3406" t="s">
        <v>3099</v>
      </c>
      <c r="C154" s="3406" t="s">
        <v>3100</v>
      </c>
      <c r="D154" s="3406">
        <v>117069.9</v>
      </c>
      <c r="E154" s="3406">
        <v>234139.8</v>
      </c>
      <c r="F154" s="3406" t="s">
        <v>3231</v>
      </c>
      <c r="G154" s="3406" t="s">
        <v>3102</v>
      </c>
      <c r="H154" s="3406" t="s">
        <v>3111</v>
      </c>
      <c r="I154" s="3406">
        <v>0</v>
      </c>
      <c r="J154" s="3406" t="s">
        <v>3258</v>
      </c>
      <c r="K154" s="3406" t="s">
        <v>3258</v>
      </c>
      <c r="L154" s="3406">
        <v>6610</v>
      </c>
      <c r="M154" s="3406">
        <v>6610</v>
      </c>
      <c r="N154" s="3406">
        <v>282.31</v>
      </c>
      <c r="O154" s="3406">
        <v>0</v>
      </c>
      <c r="P154" s="3406" t="s">
        <v>3270</v>
      </c>
      <c r="Q154" s="3406" t="s">
        <v>3105</v>
      </c>
    </row>
    <row r="155" spans="1:17">
      <c r="A155" s="3406" t="s">
        <v>3177</v>
      </c>
      <c r="B155" s="3406" t="s">
        <v>3099</v>
      </c>
      <c r="C155" s="3406" t="s">
        <v>3100</v>
      </c>
      <c r="D155" s="3406">
        <v>129999.3</v>
      </c>
      <c r="E155" s="3406">
        <v>259998.6</v>
      </c>
      <c r="F155" s="3406" t="s">
        <v>3377</v>
      </c>
      <c r="G155" s="3406" t="s">
        <v>3102</v>
      </c>
      <c r="H155" s="3406" t="s">
        <v>3100</v>
      </c>
      <c r="I155" s="3406">
        <v>0</v>
      </c>
      <c r="J155" s="3406" t="s">
        <v>3374</v>
      </c>
      <c r="K155" s="3406" t="s">
        <v>3374</v>
      </c>
      <c r="L155" s="3406">
        <v>7340</v>
      </c>
      <c r="M155" s="3406">
        <v>7340</v>
      </c>
      <c r="N155" s="3406">
        <v>282.31</v>
      </c>
      <c r="O155" s="3406">
        <v>0</v>
      </c>
      <c r="P155" s="3406" t="s">
        <v>3379</v>
      </c>
      <c r="Q155" s="3406" t="s">
        <v>3105</v>
      </c>
    </row>
    <row r="156" spans="1:17">
      <c r="A156" s="3406" t="s">
        <v>3376</v>
      </c>
      <c r="B156" s="3406" t="s">
        <v>3099</v>
      </c>
      <c r="C156" s="3406" t="s">
        <v>3100</v>
      </c>
      <c r="D156" s="3406">
        <v>98143.7</v>
      </c>
      <c r="E156" s="3406">
        <v>196287.4</v>
      </c>
      <c r="F156" s="3406" t="s">
        <v>3377</v>
      </c>
      <c r="G156" s="3406" t="s">
        <v>3102</v>
      </c>
      <c r="H156" s="3406" t="s">
        <v>3100</v>
      </c>
      <c r="I156" s="3406">
        <v>0</v>
      </c>
      <c r="J156" s="3406" t="s">
        <v>3374</v>
      </c>
      <c r="K156" s="3406" t="s">
        <v>3374</v>
      </c>
      <c r="L156" s="3406">
        <v>5540</v>
      </c>
      <c r="M156" s="3406">
        <v>5540</v>
      </c>
      <c r="N156" s="3406">
        <v>282.24</v>
      </c>
      <c r="O156" s="3406">
        <v>0</v>
      </c>
      <c r="P156" s="3406" t="s">
        <v>3378</v>
      </c>
      <c r="Q156" s="3406" t="s">
        <v>3105</v>
      </c>
    </row>
    <row r="157" spans="1:17">
      <c r="A157" s="3406" t="s">
        <v>3177</v>
      </c>
      <c r="B157" s="3406" t="s">
        <v>3099</v>
      </c>
      <c r="C157" s="3406" t="s">
        <v>3100</v>
      </c>
      <c r="D157" s="3406">
        <v>116240.5</v>
      </c>
      <c r="E157" s="3406">
        <v>232481</v>
      </c>
      <c r="F157" s="3406" t="s">
        <v>3101</v>
      </c>
      <c r="G157" s="3406" t="s">
        <v>3102</v>
      </c>
      <c r="H157" s="3406" t="s">
        <v>3100</v>
      </c>
      <c r="I157" s="3406">
        <v>0</v>
      </c>
      <c r="J157" s="3406" t="s">
        <v>3178</v>
      </c>
      <c r="K157" s="3406" t="s">
        <v>3178</v>
      </c>
      <c r="L157" s="3406">
        <v>6560</v>
      </c>
      <c r="M157" s="3406">
        <v>6560</v>
      </c>
      <c r="N157" s="3406">
        <v>282.17</v>
      </c>
      <c r="O157" s="3406">
        <v>0</v>
      </c>
      <c r="P157" s="3406" t="s">
        <v>3179</v>
      </c>
      <c r="Q157" s="3406" t="s">
        <v>3105</v>
      </c>
    </row>
    <row r="158" spans="1:17">
      <c r="A158" s="1407" t="s">
        <v>3177</v>
      </c>
      <c r="B158" s="1407" t="s">
        <v>3099</v>
      </c>
      <c r="C158" s="1407" t="s">
        <v>3100</v>
      </c>
      <c r="D158" s="1407">
        <v>146965.29999999999</v>
      </c>
      <c r="E158" s="1407">
        <v>293930.59999999998</v>
      </c>
      <c r="F158" s="1407" t="s">
        <v>3266</v>
      </c>
      <c r="G158" s="1407" t="s">
        <v>3102</v>
      </c>
      <c r="H158" s="1407" t="s">
        <v>3111</v>
      </c>
      <c r="I158" s="1407">
        <v>0</v>
      </c>
      <c r="J158" s="1407" t="s">
        <v>3474</v>
      </c>
      <c r="K158" s="1407" t="s">
        <v>3474</v>
      </c>
      <c r="L158" s="1407">
        <v>8290</v>
      </c>
      <c r="M158" s="1407">
        <v>8290</v>
      </c>
      <c r="N158" s="1407">
        <v>282.04000000000002</v>
      </c>
      <c r="O158" s="1407">
        <v>0</v>
      </c>
      <c r="P158" s="1407" t="s">
        <v>3476</v>
      </c>
      <c r="Q158" s="1407" t="s">
        <v>3105</v>
      </c>
    </row>
    <row r="159" spans="1:17">
      <c r="A159" s="3406" t="s">
        <v>3168</v>
      </c>
      <c r="B159" s="3406" t="s">
        <v>3099</v>
      </c>
      <c r="C159" s="3406" t="s">
        <v>3100</v>
      </c>
      <c r="D159" s="3406">
        <v>4613.6000000000004</v>
      </c>
      <c r="E159" s="3406">
        <v>9227.2000000000007</v>
      </c>
      <c r="F159" s="3406" t="s">
        <v>3231</v>
      </c>
      <c r="G159" s="3406" t="s">
        <v>3102</v>
      </c>
      <c r="H159" s="3406" t="s">
        <v>3170</v>
      </c>
      <c r="I159" s="3406">
        <v>0</v>
      </c>
      <c r="J159" s="3406" t="s">
        <v>3232</v>
      </c>
      <c r="K159" s="3406" t="s">
        <v>3232</v>
      </c>
      <c r="L159" s="3406">
        <v>260</v>
      </c>
      <c r="M159" s="3406">
        <v>260</v>
      </c>
      <c r="N159" s="3406">
        <v>281.77</v>
      </c>
      <c r="O159" s="3406">
        <v>0</v>
      </c>
      <c r="P159" s="3406" t="s">
        <v>3233</v>
      </c>
      <c r="Q159" s="3406" t="s">
        <v>3105</v>
      </c>
    </row>
    <row r="160" spans="1:17">
      <c r="A160" s="3406" t="s">
        <v>3168</v>
      </c>
      <c r="B160" s="3406" t="s">
        <v>3099</v>
      </c>
      <c r="C160" s="3406" t="s">
        <v>3100</v>
      </c>
      <c r="D160" s="3406">
        <v>6579.5</v>
      </c>
      <c r="E160" s="3406">
        <v>13159</v>
      </c>
      <c r="F160" s="3406" t="s">
        <v>3231</v>
      </c>
      <c r="G160" s="3406" t="s">
        <v>3102</v>
      </c>
      <c r="H160" s="3406" t="s">
        <v>3170</v>
      </c>
      <c r="I160" s="3406">
        <v>0</v>
      </c>
      <c r="J160" s="3406" t="s">
        <v>3232</v>
      </c>
      <c r="K160" s="3406" t="s">
        <v>3232</v>
      </c>
      <c r="L160" s="3406">
        <v>370</v>
      </c>
      <c r="M160" s="3406">
        <v>370</v>
      </c>
      <c r="N160" s="3406">
        <v>281.18</v>
      </c>
      <c r="O160" s="3406">
        <v>0</v>
      </c>
      <c r="P160" s="3406" t="s">
        <v>3233</v>
      </c>
      <c r="Q160" s="3406" t="s">
        <v>3105</v>
      </c>
    </row>
    <row r="161" spans="1:17">
      <c r="A161" s="3406" t="s">
        <v>3116</v>
      </c>
      <c r="B161" s="3406" t="s">
        <v>3099</v>
      </c>
      <c r="C161" s="3406" t="s">
        <v>3100</v>
      </c>
      <c r="D161" s="3406">
        <v>19722.599999999999</v>
      </c>
      <c r="E161" s="3406">
        <v>29583.9</v>
      </c>
      <c r="F161" s="3406" t="s">
        <v>3120</v>
      </c>
      <c r="G161" s="3406" t="s">
        <v>3102</v>
      </c>
      <c r="H161" s="3406" t="s">
        <v>3100</v>
      </c>
      <c r="I161" s="3406">
        <v>0</v>
      </c>
      <c r="J161" s="3406" t="s">
        <v>3118</v>
      </c>
      <c r="K161" s="3406" t="s">
        <v>3118</v>
      </c>
      <c r="L161" s="3406">
        <v>820</v>
      </c>
      <c r="M161" s="3406">
        <v>820</v>
      </c>
      <c r="N161" s="3406">
        <v>277.18</v>
      </c>
      <c r="O161" s="3406">
        <v>0</v>
      </c>
      <c r="P161" s="3406" t="s">
        <v>3121</v>
      </c>
      <c r="Q161" s="3406" t="s">
        <v>3105</v>
      </c>
    </row>
    <row r="162" spans="1:17">
      <c r="A162" s="1407" t="s">
        <v>3483</v>
      </c>
      <c r="B162" s="1407" t="s">
        <v>3099</v>
      </c>
      <c r="C162" s="1407" t="s">
        <v>3100</v>
      </c>
      <c r="D162" s="1407">
        <v>31381.599999999999</v>
      </c>
      <c r="E162" s="1407">
        <v>78454</v>
      </c>
      <c r="F162" s="1407" t="s">
        <v>3484</v>
      </c>
      <c r="G162" s="1407" t="s">
        <v>3102</v>
      </c>
      <c r="H162" s="1407" t="s">
        <v>3100</v>
      </c>
      <c r="I162" s="1407">
        <v>0</v>
      </c>
      <c r="J162" s="1407" t="s">
        <v>3485</v>
      </c>
      <c r="K162" s="1407" t="s">
        <v>3485</v>
      </c>
      <c r="L162" s="1407">
        <v>2170</v>
      </c>
      <c r="M162" s="1407">
        <v>2170</v>
      </c>
      <c r="N162" s="1407">
        <v>276.60000000000002</v>
      </c>
      <c r="O162" s="1407">
        <v>0</v>
      </c>
      <c r="P162" s="1407" t="s">
        <v>3486</v>
      </c>
      <c r="Q162" s="1407" t="s">
        <v>3105</v>
      </c>
    </row>
    <row r="163" spans="1:17">
      <c r="A163" s="3406" t="s">
        <v>3168</v>
      </c>
      <c r="B163" s="3406" t="s">
        <v>3099</v>
      </c>
      <c r="C163" s="3406" t="s">
        <v>3100</v>
      </c>
      <c r="D163" s="3406">
        <v>3453.4</v>
      </c>
      <c r="E163" s="3406">
        <v>6906.8</v>
      </c>
      <c r="F163" s="3406" t="s">
        <v>3231</v>
      </c>
      <c r="G163" s="3406" t="s">
        <v>3102</v>
      </c>
      <c r="H163" s="3406" t="s">
        <v>3170</v>
      </c>
      <c r="I163" s="3406">
        <v>0</v>
      </c>
      <c r="J163" s="3406" t="s">
        <v>3232</v>
      </c>
      <c r="K163" s="3406" t="s">
        <v>3232</v>
      </c>
      <c r="L163" s="3406">
        <v>190</v>
      </c>
      <c r="M163" s="3406">
        <v>190</v>
      </c>
      <c r="N163" s="3406">
        <v>275.08</v>
      </c>
      <c r="O163" s="3406">
        <v>0</v>
      </c>
      <c r="P163" s="3406" t="s">
        <v>3233</v>
      </c>
      <c r="Q163" s="3406" t="s">
        <v>3105</v>
      </c>
    </row>
    <row r="164" spans="1:17">
      <c r="A164" s="3406" t="s">
        <v>3425</v>
      </c>
      <c r="B164" s="3406" t="s">
        <v>3099</v>
      </c>
      <c r="C164" s="3406" t="s">
        <v>3100</v>
      </c>
      <c r="D164" s="3406">
        <v>26666.6</v>
      </c>
      <c r="E164" s="3406">
        <v>53333.2</v>
      </c>
      <c r="F164" s="3406" t="s">
        <v>3426</v>
      </c>
      <c r="G164" s="3406" t="s">
        <v>3102</v>
      </c>
      <c r="H164" s="3406" t="s">
        <v>3100</v>
      </c>
      <c r="I164" s="3406">
        <v>0</v>
      </c>
      <c r="J164" s="3406" t="s">
        <v>3423</v>
      </c>
      <c r="K164" s="3406" t="s">
        <v>3423</v>
      </c>
      <c r="L164" s="3406">
        <v>1440</v>
      </c>
      <c r="M164" s="3406">
        <v>1440</v>
      </c>
      <c r="N164" s="3406">
        <v>270</v>
      </c>
      <c r="O164" s="3406">
        <v>0</v>
      </c>
      <c r="P164" s="3406" t="s">
        <v>3427</v>
      </c>
      <c r="Q164" s="3406" t="s">
        <v>3105</v>
      </c>
    </row>
    <row r="165" spans="1:17">
      <c r="A165" s="3406" t="s">
        <v>3419</v>
      </c>
      <c r="B165" s="3406" t="s">
        <v>3099</v>
      </c>
      <c r="C165" s="3406" t="s">
        <v>3100</v>
      </c>
      <c r="D165" s="3406">
        <v>135306.4</v>
      </c>
      <c r="E165" s="3406">
        <v>230020.88</v>
      </c>
      <c r="F165" s="3406" t="s">
        <v>3420</v>
      </c>
      <c r="G165" s="3406" t="s">
        <v>3102</v>
      </c>
      <c r="H165" s="3406" t="s">
        <v>3100</v>
      </c>
      <c r="I165" s="3406">
        <v>0</v>
      </c>
      <c r="J165" s="3406" t="s">
        <v>3421</v>
      </c>
      <c r="K165" s="3406" t="s">
        <v>3421</v>
      </c>
      <c r="L165" s="3406">
        <v>6110</v>
      </c>
      <c r="M165" s="3406">
        <v>6110</v>
      </c>
      <c r="N165" s="3406">
        <v>265.62</v>
      </c>
      <c r="O165" s="3406">
        <v>0</v>
      </c>
      <c r="P165" s="3406" t="s">
        <v>3422</v>
      </c>
      <c r="Q165" s="3406" t="s">
        <v>3105</v>
      </c>
    </row>
    <row r="166" spans="1:17">
      <c r="A166" s="3406" t="s">
        <v>3166</v>
      </c>
      <c r="B166" s="3406" t="s">
        <v>3099</v>
      </c>
      <c r="C166" s="3406" t="s">
        <v>3100</v>
      </c>
      <c r="D166" s="3406">
        <v>30869</v>
      </c>
      <c r="E166" s="3406">
        <v>61738</v>
      </c>
      <c r="F166" s="3406" t="s">
        <v>3101</v>
      </c>
      <c r="G166" s="3406" t="s">
        <v>3102</v>
      </c>
      <c r="H166" s="3406" t="s">
        <v>3100</v>
      </c>
      <c r="I166" s="3406">
        <v>0</v>
      </c>
      <c r="J166" s="3406" t="s">
        <v>3185</v>
      </c>
      <c r="K166" s="3406" t="s">
        <v>3185</v>
      </c>
      <c r="L166" s="3406">
        <v>1580</v>
      </c>
      <c r="M166" s="3406">
        <v>1580</v>
      </c>
      <c r="N166" s="3406">
        <v>255.91</v>
      </c>
      <c r="O166" s="3406">
        <v>0</v>
      </c>
      <c r="P166" s="3406" t="s">
        <v>3198</v>
      </c>
      <c r="Q166" s="3406" t="s">
        <v>3105</v>
      </c>
    </row>
    <row r="167" spans="1:17">
      <c r="A167" s="3406" t="s">
        <v>3166</v>
      </c>
      <c r="B167" s="3406" t="s">
        <v>3099</v>
      </c>
      <c r="C167" s="3406" t="s">
        <v>3100</v>
      </c>
      <c r="D167" s="3406">
        <v>69857.5</v>
      </c>
      <c r="E167" s="3406">
        <v>139715</v>
      </c>
      <c r="F167" s="3406" t="s">
        <v>3101</v>
      </c>
      <c r="G167" s="3406" t="s">
        <v>3102</v>
      </c>
      <c r="H167" s="3406" t="s">
        <v>3100</v>
      </c>
      <c r="I167" s="3406">
        <v>0</v>
      </c>
      <c r="J167" s="3406" t="s">
        <v>3185</v>
      </c>
      <c r="K167" s="3406" t="s">
        <v>3185</v>
      </c>
      <c r="L167" s="3406">
        <v>3570</v>
      </c>
      <c r="M167" s="3406">
        <v>3570</v>
      </c>
      <c r="N167" s="3406">
        <v>255.52</v>
      </c>
      <c r="O167" s="3406">
        <v>0</v>
      </c>
      <c r="P167" s="3406" t="s">
        <v>3194</v>
      </c>
      <c r="Q167" s="3406" t="s">
        <v>3105</v>
      </c>
    </row>
    <row r="168" spans="1:17">
      <c r="A168" s="3406" t="s">
        <v>3166</v>
      </c>
      <c r="B168" s="3406" t="s">
        <v>3099</v>
      </c>
      <c r="C168" s="3406" t="s">
        <v>3100</v>
      </c>
      <c r="D168" s="3406">
        <v>22223.5</v>
      </c>
      <c r="E168" s="3406">
        <v>44447</v>
      </c>
      <c r="F168" s="3406" t="s">
        <v>3101</v>
      </c>
      <c r="G168" s="3406" t="s">
        <v>3102</v>
      </c>
      <c r="H168" s="3406" t="s">
        <v>3100</v>
      </c>
      <c r="I168" s="3406">
        <v>0</v>
      </c>
      <c r="J168" s="3406" t="s">
        <v>3185</v>
      </c>
      <c r="K168" s="3406" t="s">
        <v>3185</v>
      </c>
      <c r="L168" s="3406">
        <v>1120</v>
      </c>
      <c r="M168" s="3406">
        <v>1120</v>
      </c>
      <c r="N168" s="3406">
        <v>251.99</v>
      </c>
      <c r="O168" s="3406">
        <v>0</v>
      </c>
      <c r="P168" s="3406" t="s">
        <v>3149</v>
      </c>
      <c r="Q168" s="3406" t="s">
        <v>3105</v>
      </c>
    </row>
    <row r="169" spans="1:17">
      <c r="A169" s="3406" t="s">
        <v>3161</v>
      </c>
      <c r="B169" s="3406" t="s">
        <v>3099</v>
      </c>
      <c r="C169" s="3406" t="s">
        <v>3100</v>
      </c>
      <c r="D169" s="3406">
        <v>58672.4</v>
      </c>
      <c r="E169" s="3406">
        <v>117338</v>
      </c>
      <c r="F169" s="3406" t="s">
        <v>3362</v>
      </c>
      <c r="G169" s="3406" t="s">
        <v>3102</v>
      </c>
      <c r="H169" s="3406" t="s">
        <v>3100</v>
      </c>
      <c r="I169" s="3406">
        <v>0</v>
      </c>
      <c r="J169" s="3406" t="s">
        <v>3363</v>
      </c>
      <c r="K169" s="3406" t="s">
        <v>3363</v>
      </c>
      <c r="L169" s="3406">
        <v>2950</v>
      </c>
      <c r="M169" s="3406">
        <v>2950</v>
      </c>
      <c r="N169" s="3406">
        <v>251.4</v>
      </c>
      <c r="O169" s="3406">
        <v>0</v>
      </c>
      <c r="P169" s="3406" t="s">
        <v>3364</v>
      </c>
      <c r="Q169" s="3406" t="s">
        <v>3105</v>
      </c>
    </row>
    <row r="170" spans="1:17">
      <c r="A170" s="3406" t="s">
        <v>3161</v>
      </c>
      <c r="B170" s="3406" t="s">
        <v>3099</v>
      </c>
      <c r="C170" s="3406" t="s">
        <v>3100</v>
      </c>
      <c r="D170" s="3406">
        <v>25934</v>
      </c>
      <c r="E170" s="3406">
        <v>51868</v>
      </c>
      <c r="F170" s="3406" t="s">
        <v>3369</v>
      </c>
      <c r="G170" s="3406" t="s">
        <v>3102</v>
      </c>
      <c r="H170" s="3406" t="s">
        <v>3100</v>
      </c>
      <c r="I170" s="3406">
        <v>0</v>
      </c>
      <c r="J170" s="3406" t="s">
        <v>3370</v>
      </c>
      <c r="K170" s="3406" t="s">
        <v>3370</v>
      </c>
      <c r="L170" s="3406">
        <v>1300</v>
      </c>
      <c r="M170" s="3406">
        <v>1300</v>
      </c>
      <c r="N170" s="3406">
        <v>250.63</v>
      </c>
      <c r="O170" s="3406">
        <v>0</v>
      </c>
      <c r="P170" s="3406" t="s">
        <v>3372</v>
      </c>
      <c r="Q170" s="3406" t="s">
        <v>3105</v>
      </c>
    </row>
    <row r="171" spans="1:17">
      <c r="A171" s="3406" t="s">
        <v>3332</v>
      </c>
      <c r="B171" s="3406" t="s">
        <v>3099</v>
      </c>
      <c r="C171" s="3406" t="s">
        <v>3100</v>
      </c>
      <c r="D171" s="3406">
        <v>173431.8</v>
      </c>
      <c r="E171" s="3406">
        <v>346863.6</v>
      </c>
      <c r="F171" s="3406" t="s">
        <v>3231</v>
      </c>
      <c r="G171" s="3406" t="s">
        <v>3102</v>
      </c>
      <c r="H171" s="3406" t="s">
        <v>3111</v>
      </c>
      <c r="I171" s="3406">
        <v>0</v>
      </c>
      <c r="J171" s="3406" t="s">
        <v>3326</v>
      </c>
      <c r="K171" s="3406" t="s">
        <v>3326</v>
      </c>
      <c r="L171" s="3406">
        <v>8070</v>
      </c>
      <c r="M171" s="3406">
        <v>8070</v>
      </c>
      <c r="N171" s="3406">
        <v>232.65</v>
      </c>
      <c r="O171" s="3406">
        <v>0</v>
      </c>
      <c r="P171" s="3406" t="s">
        <v>3333</v>
      </c>
      <c r="Q171" s="3406" t="s">
        <v>3105</v>
      </c>
    </row>
    <row r="172" spans="1:17">
      <c r="A172" s="3406" t="s">
        <v>3155</v>
      </c>
      <c r="B172" s="3406" t="s">
        <v>3099</v>
      </c>
      <c r="C172" s="3406" t="s">
        <v>3100</v>
      </c>
      <c r="D172" s="3406">
        <v>91881.7</v>
      </c>
      <c r="E172" s="3406">
        <v>183763.4</v>
      </c>
      <c r="F172" s="3406" t="s">
        <v>3101</v>
      </c>
      <c r="G172" s="3406" t="s">
        <v>3102</v>
      </c>
      <c r="H172" s="3406" t="s">
        <v>3100</v>
      </c>
      <c r="I172" s="3406">
        <v>0</v>
      </c>
      <c r="J172" s="3406" t="s">
        <v>3156</v>
      </c>
      <c r="K172" s="3406" t="s">
        <v>3156</v>
      </c>
      <c r="L172" s="3406">
        <v>4190</v>
      </c>
      <c r="M172" s="3406">
        <v>4190</v>
      </c>
      <c r="N172" s="3406">
        <v>228</v>
      </c>
      <c r="O172" s="3406">
        <v>0</v>
      </c>
      <c r="P172" s="3406" t="s">
        <v>3157</v>
      </c>
      <c r="Q172" s="3406" t="s">
        <v>3105</v>
      </c>
    </row>
    <row r="173" spans="1:17">
      <c r="A173" s="3406" t="s">
        <v>3195</v>
      </c>
      <c r="B173" s="3406" t="s">
        <v>3099</v>
      </c>
      <c r="C173" s="3406" t="s">
        <v>3100</v>
      </c>
      <c r="D173" s="3406">
        <v>102377.8</v>
      </c>
      <c r="E173" s="3406">
        <v>204755.6</v>
      </c>
      <c r="F173" s="3406" t="s">
        <v>3196</v>
      </c>
      <c r="G173" s="3406" t="s">
        <v>3102</v>
      </c>
      <c r="H173" s="3406" t="s">
        <v>3111</v>
      </c>
      <c r="I173" s="3406">
        <v>0</v>
      </c>
      <c r="J173" s="3406" t="s">
        <v>3185</v>
      </c>
      <c r="K173" s="3406" t="s">
        <v>3185</v>
      </c>
      <c r="L173" s="3406">
        <v>4660</v>
      </c>
      <c r="M173" s="3406">
        <v>4660</v>
      </c>
      <c r="N173" s="3406">
        <v>227.59</v>
      </c>
      <c r="O173" s="3406">
        <v>0</v>
      </c>
      <c r="P173" s="3406" t="s">
        <v>3197</v>
      </c>
      <c r="Q173" s="3406" t="s">
        <v>3105</v>
      </c>
    </row>
    <row r="174" spans="1:17">
      <c r="A174" s="3406" t="s">
        <v>3314</v>
      </c>
      <c r="B174" s="3406" t="s">
        <v>3099</v>
      </c>
      <c r="C174" s="3406" t="s">
        <v>3100</v>
      </c>
      <c r="D174" s="3406">
        <v>10424.299999999999</v>
      </c>
      <c r="E174" s="3406">
        <v>26060.75</v>
      </c>
      <c r="F174" s="3406" t="s">
        <v>3315</v>
      </c>
      <c r="G174" s="3406" t="s">
        <v>3102</v>
      </c>
      <c r="H174" s="3406" t="s">
        <v>3100</v>
      </c>
      <c r="I174" s="3406">
        <v>0</v>
      </c>
      <c r="J174" s="3406" t="s">
        <v>3302</v>
      </c>
      <c r="K174" s="3406" t="s">
        <v>3302</v>
      </c>
      <c r="L174" s="3406">
        <v>590</v>
      </c>
      <c r="M174" s="3406">
        <v>590</v>
      </c>
      <c r="N174" s="3406">
        <v>226.38</v>
      </c>
      <c r="O174" s="3406">
        <v>0</v>
      </c>
      <c r="P174" s="3406" t="s">
        <v>3316</v>
      </c>
      <c r="Q174" s="3406" t="s">
        <v>3105</v>
      </c>
    </row>
    <row r="175" spans="1:17">
      <c r="A175" s="1407" t="s">
        <v>3109</v>
      </c>
      <c r="B175" s="1407" t="s">
        <v>3099</v>
      </c>
      <c r="C175" s="1407" t="s">
        <v>3100</v>
      </c>
      <c r="D175" s="1407">
        <v>20133.400000000001</v>
      </c>
      <c r="E175" s="1407">
        <v>40266.800000000003</v>
      </c>
      <c r="F175" s="1407" t="s">
        <v>3510</v>
      </c>
      <c r="G175" s="1407" t="s">
        <v>3102</v>
      </c>
      <c r="H175" s="1407" t="s">
        <v>3100</v>
      </c>
      <c r="I175" s="1407">
        <v>0</v>
      </c>
      <c r="J175" s="1407" t="s">
        <v>3511</v>
      </c>
      <c r="K175" s="1407" t="s">
        <v>3511</v>
      </c>
      <c r="L175" s="1407">
        <v>870</v>
      </c>
      <c r="M175" s="1407">
        <v>870</v>
      </c>
      <c r="N175" s="1407">
        <v>216.06</v>
      </c>
      <c r="O175" s="1407">
        <v>0</v>
      </c>
      <c r="P175" s="1407" t="s">
        <v>3371</v>
      </c>
      <c r="Q175" s="1407" t="s">
        <v>3105</v>
      </c>
    </row>
    <row r="176" spans="1:17">
      <c r="A176" s="3406" t="s">
        <v>3206</v>
      </c>
      <c r="B176" s="3406" t="s">
        <v>3099</v>
      </c>
      <c r="C176" s="3406" t="s">
        <v>3100</v>
      </c>
      <c r="D176" s="3406">
        <v>22809.5</v>
      </c>
      <c r="E176" s="3406">
        <v>34214.25</v>
      </c>
      <c r="F176" s="3406" t="s">
        <v>3355</v>
      </c>
      <c r="G176" s="3406" t="s">
        <v>3102</v>
      </c>
      <c r="H176" s="3406" t="s">
        <v>3100</v>
      </c>
      <c r="I176" s="3406">
        <v>0</v>
      </c>
      <c r="J176" s="3406" t="s">
        <v>3448</v>
      </c>
      <c r="K176" s="3406" t="s">
        <v>3448</v>
      </c>
      <c r="L176" s="3406">
        <v>710</v>
      </c>
      <c r="M176" s="3406">
        <v>710</v>
      </c>
      <c r="N176" s="3406">
        <v>207.52</v>
      </c>
      <c r="O176" s="3406">
        <v>0</v>
      </c>
      <c r="P176" s="3406" t="s">
        <v>3449</v>
      </c>
      <c r="Q176" s="3406" t="s">
        <v>3105</v>
      </c>
    </row>
    <row r="177" spans="1:17">
      <c r="A177" s="3406" t="s">
        <v>3206</v>
      </c>
      <c r="B177" s="3406" t="s">
        <v>3099</v>
      </c>
      <c r="C177" s="3406" t="s">
        <v>3100</v>
      </c>
      <c r="D177" s="3406">
        <v>23518.400000000001</v>
      </c>
      <c r="E177" s="3406">
        <v>35277.599999999999</v>
      </c>
      <c r="F177" s="3406" t="s">
        <v>3355</v>
      </c>
      <c r="G177" s="3406" t="s">
        <v>3102</v>
      </c>
      <c r="H177" s="3406" t="s">
        <v>3100</v>
      </c>
      <c r="I177" s="3406">
        <v>0</v>
      </c>
      <c r="J177" s="3406" t="s">
        <v>3450</v>
      </c>
      <c r="K177" s="3406" t="s">
        <v>3450</v>
      </c>
      <c r="L177" s="3406">
        <v>730</v>
      </c>
      <c r="M177" s="3406">
        <v>730</v>
      </c>
      <c r="N177" s="3406">
        <v>206.93</v>
      </c>
      <c r="O177" s="3406">
        <v>0</v>
      </c>
      <c r="P177" s="3406" t="s">
        <v>3451</v>
      </c>
      <c r="Q177" s="3406" t="s">
        <v>3105</v>
      </c>
    </row>
    <row r="178" spans="1:17">
      <c r="A178" s="3406" t="s">
        <v>3206</v>
      </c>
      <c r="B178" s="3406" t="s">
        <v>3099</v>
      </c>
      <c r="C178" s="3406" t="s">
        <v>3100</v>
      </c>
      <c r="D178" s="3406">
        <v>40002.300000000003</v>
      </c>
      <c r="E178" s="3406">
        <v>60003.45</v>
      </c>
      <c r="F178" s="3406" t="s">
        <v>3355</v>
      </c>
      <c r="G178" s="3406" t="s">
        <v>3102</v>
      </c>
      <c r="H178" s="3406" t="s">
        <v>3100</v>
      </c>
      <c r="I178" s="3406">
        <v>0</v>
      </c>
      <c r="J178" s="3406" t="s">
        <v>3452</v>
      </c>
      <c r="K178" s="3406" t="s">
        <v>3452</v>
      </c>
      <c r="L178" s="3406">
        <v>1240</v>
      </c>
      <c r="M178" s="3406">
        <v>1240</v>
      </c>
      <c r="N178" s="3406">
        <v>206.65</v>
      </c>
      <c r="O178" s="3406">
        <v>0</v>
      </c>
      <c r="P178" s="3406" t="s">
        <v>3453</v>
      </c>
      <c r="Q178" s="3406" t="s">
        <v>3105</v>
      </c>
    </row>
    <row r="179" spans="1:17">
      <c r="A179" s="3406" t="s">
        <v>3206</v>
      </c>
      <c r="B179" s="3406" t="s">
        <v>3099</v>
      </c>
      <c r="C179" s="3406" t="s">
        <v>3100</v>
      </c>
      <c r="D179" s="3406">
        <v>15496.4</v>
      </c>
      <c r="E179" s="3406">
        <v>23244.6</v>
      </c>
      <c r="F179" s="3406" t="s">
        <v>3355</v>
      </c>
      <c r="G179" s="3406" t="s">
        <v>3102</v>
      </c>
      <c r="H179" s="3406" t="s">
        <v>3100</v>
      </c>
      <c r="I179" s="3406">
        <v>0</v>
      </c>
      <c r="J179" s="3406" t="s">
        <v>3443</v>
      </c>
      <c r="K179" s="3406" t="s">
        <v>3443</v>
      </c>
      <c r="L179" s="3406">
        <v>480</v>
      </c>
      <c r="M179" s="3406">
        <v>480</v>
      </c>
      <c r="N179" s="3406">
        <v>206.5</v>
      </c>
      <c r="O179" s="3406">
        <v>0</v>
      </c>
      <c r="P179" s="3406" t="s">
        <v>3444</v>
      </c>
      <c r="Q179" s="3406" t="s">
        <v>3105</v>
      </c>
    </row>
    <row r="180" spans="1:17">
      <c r="A180" s="3406" t="s">
        <v>3206</v>
      </c>
      <c r="B180" s="3406" t="s">
        <v>3099</v>
      </c>
      <c r="C180" s="3406" t="s">
        <v>3100</v>
      </c>
      <c r="D180" s="3406">
        <v>22927.4</v>
      </c>
      <c r="E180" s="3406">
        <v>34391.1</v>
      </c>
      <c r="F180" s="3406" t="s">
        <v>3355</v>
      </c>
      <c r="G180" s="3406" t="s">
        <v>3102</v>
      </c>
      <c r="H180" s="3406" t="s">
        <v>3100</v>
      </c>
      <c r="I180" s="3406">
        <v>0</v>
      </c>
      <c r="J180" s="3406" t="s">
        <v>3408</v>
      </c>
      <c r="K180" s="3406" t="s">
        <v>3408</v>
      </c>
      <c r="L180" s="3406">
        <v>710</v>
      </c>
      <c r="M180" s="3406">
        <v>710</v>
      </c>
      <c r="N180" s="3406">
        <v>206.44</v>
      </c>
      <c r="O180" s="3406">
        <v>0</v>
      </c>
      <c r="P180" s="3406" t="s">
        <v>3409</v>
      </c>
      <c r="Q180" s="3406" t="s">
        <v>3105</v>
      </c>
    </row>
    <row r="181" spans="1:17">
      <c r="A181" s="1407" t="s">
        <v>3206</v>
      </c>
      <c r="B181" s="1407" t="s">
        <v>3099</v>
      </c>
      <c r="C181" s="1407" t="s">
        <v>3100</v>
      </c>
      <c r="D181" s="1407">
        <v>18111.2</v>
      </c>
      <c r="E181" s="1407">
        <v>27166.799999999999</v>
      </c>
      <c r="F181" s="1407" t="s">
        <v>3355</v>
      </c>
      <c r="G181" s="1407" t="s">
        <v>3102</v>
      </c>
      <c r="H181" s="1407" t="s">
        <v>3100</v>
      </c>
      <c r="I181" s="1407">
        <v>0</v>
      </c>
      <c r="J181" s="1407" t="s">
        <v>3546</v>
      </c>
      <c r="K181" s="1407" t="s">
        <v>3546</v>
      </c>
      <c r="L181" s="1407">
        <v>560</v>
      </c>
      <c r="M181" s="1407">
        <v>560</v>
      </c>
      <c r="N181" s="1407">
        <v>206.12</v>
      </c>
      <c r="O181" s="1407">
        <v>0</v>
      </c>
      <c r="P181" s="1407" t="s">
        <v>3547</v>
      </c>
      <c r="Q181" s="1407" t="s">
        <v>3105</v>
      </c>
    </row>
    <row r="182" spans="1:17">
      <c r="A182" s="1407" t="s">
        <v>3206</v>
      </c>
      <c r="B182" s="1407" t="s">
        <v>3099</v>
      </c>
      <c r="C182" s="1407" t="s">
        <v>3100</v>
      </c>
      <c r="D182" s="1407">
        <v>40426.800000000003</v>
      </c>
      <c r="E182" s="1407">
        <v>60640.2</v>
      </c>
      <c r="F182" s="1407" t="s">
        <v>3355</v>
      </c>
      <c r="G182" s="1407" t="s">
        <v>3102</v>
      </c>
      <c r="H182" s="1407" t="s">
        <v>3100</v>
      </c>
      <c r="I182" s="1407">
        <v>0</v>
      </c>
      <c r="J182" s="1407" t="s">
        <v>3563</v>
      </c>
      <c r="K182" s="1407" t="s">
        <v>3563</v>
      </c>
      <c r="L182" s="1407">
        <v>1250</v>
      </c>
      <c r="M182" s="1407">
        <v>1250</v>
      </c>
      <c r="N182" s="1407">
        <v>206.12</v>
      </c>
      <c r="O182" s="1407">
        <v>0</v>
      </c>
      <c r="P182" s="1407" t="s">
        <v>3564</v>
      </c>
      <c r="Q182" s="1407" t="s">
        <v>3105</v>
      </c>
    </row>
    <row r="183" spans="1:17">
      <c r="A183" s="3406" t="s">
        <v>3206</v>
      </c>
      <c r="B183" s="3406" t="s">
        <v>3099</v>
      </c>
      <c r="C183" s="3406" t="s">
        <v>3100</v>
      </c>
      <c r="D183" s="3406">
        <v>32999.800000000003</v>
      </c>
      <c r="E183" s="3406">
        <v>49499.7</v>
      </c>
      <c r="F183" s="3406" t="s">
        <v>3355</v>
      </c>
      <c r="G183" s="3406" t="s">
        <v>3102</v>
      </c>
      <c r="H183" s="3406" t="s">
        <v>3100</v>
      </c>
      <c r="I183" s="3406">
        <v>0</v>
      </c>
      <c r="J183" s="3406" t="s">
        <v>3454</v>
      </c>
      <c r="K183" s="3406" t="s">
        <v>3454</v>
      </c>
      <c r="L183" s="3406">
        <v>1020</v>
      </c>
      <c r="M183" s="3406">
        <v>1020</v>
      </c>
      <c r="N183" s="3406">
        <v>206.06</v>
      </c>
      <c r="O183" s="3406">
        <v>0</v>
      </c>
      <c r="P183" s="3406" t="s">
        <v>3455</v>
      </c>
      <c r="Q183" s="3406" t="s">
        <v>3105</v>
      </c>
    </row>
    <row r="184" spans="1:17">
      <c r="A184" s="3406" t="s">
        <v>3109</v>
      </c>
      <c r="B184" s="3406" t="s">
        <v>3099</v>
      </c>
      <c r="C184" s="3406" t="s">
        <v>3100</v>
      </c>
      <c r="D184" s="3406">
        <v>95144.4</v>
      </c>
      <c r="E184" s="3406">
        <v>190288.8</v>
      </c>
      <c r="F184" s="3406" t="s">
        <v>3110</v>
      </c>
      <c r="G184" s="3406" t="s">
        <v>3102</v>
      </c>
      <c r="H184" s="3406" t="s">
        <v>3111</v>
      </c>
      <c r="I184" s="3406">
        <v>0</v>
      </c>
      <c r="J184" s="3406" t="s">
        <v>3112</v>
      </c>
      <c r="K184" s="3406" t="s">
        <v>3112</v>
      </c>
      <c r="L184" s="3406">
        <v>3920</v>
      </c>
      <c r="M184" s="3406">
        <v>3920</v>
      </c>
      <c r="N184" s="3406">
        <v>206</v>
      </c>
      <c r="O184" s="3406">
        <v>0</v>
      </c>
      <c r="P184" s="3406" t="s">
        <v>3114</v>
      </c>
      <c r="Q184" s="3406" t="s">
        <v>3105</v>
      </c>
    </row>
    <row r="185" spans="1:17">
      <c r="A185" s="3406" t="s">
        <v>3109</v>
      </c>
      <c r="B185" s="3406" t="s">
        <v>3099</v>
      </c>
      <c r="C185" s="3406" t="s">
        <v>3100</v>
      </c>
      <c r="D185" s="3406">
        <v>81094.399999999994</v>
      </c>
      <c r="E185" s="3406">
        <v>162188.79999999999</v>
      </c>
      <c r="F185" s="3406" t="s">
        <v>3110</v>
      </c>
      <c r="G185" s="3406" t="s">
        <v>3102</v>
      </c>
      <c r="H185" s="3406" t="s">
        <v>3111</v>
      </c>
      <c r="I185" s="3406">
        <v>0</v>
      </c>
      <c r="J185" s="3406" t="s">
        <v>3156</v>
      </c>
      <c r="K185" s="3406" t="s">
        <v>3156</v>
      </c>
      <c r="L185" s="3406">
        <v>3340</v>
      </c>
      <c r="M185" s="3406">
        <v>3340</v>
      </c>
      <c r="N185" s="3406">
        <v>205.93</v>
      </c>
      <c r="O185" s="3406">
        <v>0</v>
      </c>
      <c r="P185" s="3406" t="s">
        <v>3158</v>
      </c>
      <c r="Q185" s="3406" t="s">
        <v>3105</v>
      </c>
    </row>
    <row r="186" spans="1:17">
      <c r="A186" s="3406" t="s">
        <v>3109</v>
      </c>
      <c r="B186" s="3406" t="s">
        <v>3099</v>
      </c>
      <c r="C186" s="3406" t="s">
        <v>3100</v>
      </c>
      <c r="D186" s="3406">
        <v>74543.399999999994</v>
      </c>
      <c r="E186" s="3406">
        <v>149086.79999999999</v>
      </c>
      <c r="F186" s="3406" t="s">
        <v>3369</v>
      </c>
      <c r="G186" s="3406" t="s">
        <v>3102</v>
      </c>
      <c r="H186" s="3406" t="s">
        <v>3100</v>
      </c>
      <c r="I186" s="3406">
        <v>0</v>
      </c>
      <c r="J186" s="3406" t="s">
        <v>3370</v>
      </c>
      <c r="K186" s="3406" t="s">
        <v>3370</v>
      </c>
      <c r="L186" s="3406">
        <v>3070</v>
      </c>
      <c r="M186" s="3406">
        <v>3070</v>
      </c>
      <c r="N186" s="3406">
        <v>205.91</v>
      </c>
      <c r="O186" s="3406">
        <v>0</v>
      </c>
      <c r="P186" s="3406" t="s">
        <v>3371</v>
      </c>
      <c r="Q186" s="3406" t="s">
        <v>3105</v>
      </c>
    </row>
    <row r="187" spans="1:17">
      <c r="A187" s="3406" t="s">
        <v>3109</v>
      </c>
      <c r="B187" s="3406" t="s">
        <v>3099</v>
      </c>
      <c r="C187" s="3406" t="s">
        <v>3100</v>
      </c>
      <c r="D187" s="3406">
        <v>88413.4</v>
      </c>
      <c r="E187" s="3406">
        <v>176826.8</v>
      </c>
      <c r="F187" s="3406" t="s">
        <v>3110</v>
      </c>
      <c r="G187" s="3406" t="s">
        <v>3102</v>
      </c>
      <c r="H187" s="3406" t="s">
        <v>3111</v>
      </c>
      <c r="I187" s="3406">
        <v>0</v>
      </c>
      <c r="J187" s="3406" t="s">
        <v>3185</v>
      </c>
      <c r="K187" s="3406" t="s">
        <v>3185</v>
      </c>
      <c r="L187" s="3406">
        <v>3640</v>
      </c>
      <c r="M187" s="3406">
        <v>3640</v>
      </c>
      <c r="N187" s="3406">
        <v>205.84</v>
      </c>
      <c r="O187" s="3406">
        <v>0</v>
      </c>
      <c r="P187" s="3406" t="s">
        <v>3186</v>
      </c>
      <c r="Q187" s="3406" t="s">
        <v>3105</v>
      </c>
    </row>
    <row r="188" spans="1:17">
      <c r="A188" s="3406" t="s">
        <v>3109</v>
      </c>
      <c r="B188" s="3406" t="s">
        <v>3099</v>
      </c>
      <c r="C188" s="3406" t="s">
        <v>3100</v>
      </c>
      <c r="D188" s="3406">
        <v>141461.29999999999</v>
      </c>
      <c r="E188" s="3406">
        <v>282922.59999999998</v>
      </c>
      <c r="F188" s="3406" t="s">
        <v>3110</v>
      </c>
      <c r="G188" s="3406" t="s">
        <v>3102</v>
      </c>
      <c r="H188" s="3406" t="s">
        <v>3111</v>
      </c>
      <c r="I188" s="3406">
        <v>0</v>
      </c>
      <c r="J188" s="3406" t="s">
        <v>3112</v>
      </c>
      <c r="K188" s="3406" t="s">
        <v>3112</v>
      </c>
      <c r="L188" s="3406">
        <v>5820</v>
      </c>
      <c r="M188" s="3406">
        <v>5820</v>
      </c>
      <c r="N188" s="3406">
        <v>205.71</v>
      </c>
      <c r="O188" s="3406">
        <v>0</v>
      </c>
      <c r="P188" s="3406" t="s">
        <v>3113</v>
      </c>
      <c r="Q188" s="3406" t="s">
        <v>3105</v>
      </c>
    </row>
    <row r="189" spans="1:17">
      <c r="A189" s="3406" t="s">
        <v>3206</v>
      </c>
      <c r="B189" s="3406" t="s">
        <v>3099</v>
      </c>
      <c r="C189" s="3406" t="s">
        <v>3100</v>
      </c>
      <c r="D189" s="3406">
        <v>58331.199999999997</v>
      </c>
      <c r="E189" s="3406">
        <v>87496.8</v>
      </c>
      <c r="F189" s="3406" t="s">
        <v>3355</v>
      </c>
      <c r="G189" s="3406" t="s">
        <v>3102</v>
      </c>
      <c r="H189" s="3406" t="s">
        <v>3100</v>
      </c>
      <c r="I189" s="3406">
        <v>0</v>
      </c>
      <c r="J189" s="3406" t="s">
        <v>3438</v>
      </c>
      <c r="K189" s="3406" t="s">
        <v>3438</v>
      </c>
      <c r="L189" s="3406">
        <v>1800</v>
      </c>
      <c r="M189" s="3406">
        <v>1800</v>
      </c>
      <c r="N189" s="3406">
        <v>205.71</v>
      </c>
      <c r="O189" s="3406">
        <v>0</v>
      </c>
      <c r="P189" s="3406" t="s">
        <v>3439</v>
      </c>
      <c r="Q189" s="3406" t="s">
        <v>3105</v>
      </c>
    </row>
    <row r="190" spans="1:17">
      <c r="A190" s="1407" t="s">
        <v>3206</v>
      </c>
      <c r="B190" s="1407" t="s">
        <v>3099</v>
      </c>
      <c r="C190" s="1407" t="s">
        <v>3100</v>
      </c>
      <c r="D190" s="1407">
        <v>53795.5</v>
      </c>
      <c r="E190" s="1407">
        <v>80693.25</v>
      </c>
      <c r="F190" s="1407" t="s">
        <v>3355</v>
      </c>
      <c r="G190" s="1407" t="s">
        <v>3102</v>
      </c>
      <c r="H190" s="1407" t="s">
        <v>3100</v>
      </c>
      <c r="I190" s="1407">
        <v>0</v>
      </c>
      <c r="J190" s="1407" t="s">
        <v>3565</v>
      </c>
      <c r="K190" s="1407" t="s">
        <v>3565</v>
      </c>
      <c r="L190" s="1407">
        <v>1660</v>
      </c>
      <c r="M190" s="1407">
        <v>1660</v>
      </c>
      <c r="N190" s="1407">
        <v>205.71</v>
      </c>
      <c r="O190" s="1407">
        <v>0</v>
      </c>
      <c r="P190" s="1407" t="s">
        <v>3567</v>
      </c>
      <c r="Q190" s="1407" t="s">
        <v>3105</v>
      </c>
    </row>
    <row r="191" spans="1:17">
      <c r="A191" s="1407" t="s">
        <v>3469</v>
      </c>
      <c r="B191" s="1407" t="s">
        <v>3099</v>
      </c>
      <c r="C191" s="1407" t="s">
        <v>3100</v>
      </c>
      <c r="D191" s="1407">
        <v>75197.7</v>
      </c>
      <c r="E191" s="1407">
        <v>112796.55</v>
      </c>
      <c r="F191" s="1407" t="s">
        <v>3355</v>
      </c>
      <c r="G191" s="1407" t="s">
        <v>3102</v>
      </c>
      <c r="H191" s="1407" t="s">
        <v>3100</v>
      </c>
      <c r="I191" s="1407">
        <v>0</v>
      </c>
      <c r="J191" s="1407" t="s">
        <v>3467</v>
      </c>
      <c r="K191" s="1407" t="s">
        <v>3467</v>
      </c>
      <c r="L191" s="1407">
        <v>2320</v>
      </c>
      <c r="M191" s="1407">
        <v>2320</v>
      </c>
      <c r="N191" s="1407">
        <v>205.68</v>
      </c>
      <c r="O191" s="1407">
        <v>0</v>
      </c>
      <c r="P191" s="1407" t="s">
        <v>3470</v>
      </c>
      <c r="Q191" s="1407" t="s">
        <v>3105</v>
      </c>
    </row>
    <row r="192" spans="1:17">
      <c r="A192" s="3406" t="s">
        <v>3109</v>
      </c>
      <c r="B192" s="3406" t="s">
        <v>3099</v>
      </c>
      <c r="C192" s="3406" t="s">
        <v>3100</v>
      </c>
      <c r="D192" s="3406">
        <v>36223.199999999997</v>
      </c>
      <c r="E192" s="3406">
        <v>72446.399999999994</v>
      </c>
      <c r="F192" s="3406" t="s">
        <v>3384</v>
      </c>
      <c r="G192" s="3406" t="s">
        <v>3102</v>
      </c>
      <c r="H192" s="3406" t="s">
        <v>3100</v>
      </c>
      <c r="I192" s="3406">
        <v>0</v>
      </c>
      <c r="J192" s="3406" t="s">
        <v>3385</v>
      </c>
      <c r="K192" s="3406" t="s">
        <v>3385</v>
      </c>
      <c r="L192" s="3406">
        <v>1490</v>
      </c>
      <c r="M192" s="3406">
        <v>1490</v>
      </c>
      <c r="N192" s="3406">
        <v>205.66</v>
      </c>
      <c r="O192" s="3406">
        <v>0</v>
      </c>
      <c r="P192" s="3406" t="s">
        <v>3386</v>
      </c>
      <c r="Q192" s="3406" t="s">
        <v>3105</v>
      </c>
    </row>
    <row r="193" spans="1:17">
      <c r="A193" s="1407" t="s">
        <v>3206</v>
      </c>
      <c r="B193" s="1407" t="s">
        <v>3099</v>
      </c>
      <c r="C193" s="1407" t="s">
        <v>3100</v>
      </c>
      <c r="D193" s="1407">
        <v>26258.3</v>
      </c>
      <c r="E193" s="1407">
        <v>39387.449999999997</v>
      </c>
      <c r="F193" s="1407" t="s">
        <v>3355</v>
      </c>
      <c r="G193" s="1407" t="s">
        <v>3102</v>
      </c>
      <c r="H193" s="1407" t="s">
        <v>3100</v>
      </c>
      <c r="I193" s="1407">
        <v>0</v>
      </c>
      <c r="J193" s="1407" t="s">
        <v>3540</v>
      </c>
      <c r="K193" s="1407" t="s">
        <v>3540</v>
      </c>
      <c r="L193" s="1407">
        <v>810</v>
      </c>
      <c r="M193" s="1407">
        <v>810</v>
      </c>
      <c r="N193" s="1407">
        <v>205.65</v>
      </c>
      <c r="O193" s="1407">
        <v>0</v>
      </c>
      <c r="P193" s="1407" t="s">
        <v>3541</v>
      </c>
      <c r="Q193" s="1407" t="s">
        <v>3105</v>
      </c>
    </row>
    <row r="194" spans="1:17">
      <c r="A194" s="1407" t="s">
        <v>3206</v>
      </c>
      <c r="B194" s="1407" t="s">
        <v>3099</v>
      </c>
      <c r="C194" s="1407" t="s">
        <v>3100</v>
      </c>
      <c r="D194" s="1407">
        <v>62564.3</v>
      </c>
      <c r="E194" s="1407">
        <v>93846.45</v>
      </c>
      <c r="F194" s="1407" t="s">
        <v>3355</v>
      </c>
      <c r="G194" s="1407" t="s">
        <v>3102</v>
      </c>
      <c r="H194" s="1407" t="s">
        <v>3100</v>
      </c>
      <c r="I194" s="1407">
        <v>0</v>
      </c>
      <c r="J194" s="1407" t="s">
        <v>3546</v>
      </c>
      <c r="K194" s="1407" t="s">
        <v>3546</v>
      </c>
      <c r="L194" s="1407">
        <v>1930</v>
      </c>
      <c r="M194" s="1407">
        <v>1930</v>
      </c>
      <c r="N194" s="1407">
        <v>205.65</v>
      </c>
      <c r="O194" s="1407">
        <v>0</v>
      </c>
      <c r="P194" s="1407" t="s">
        <v>3549</v>
      </c>
      <c r="Q194" s="1407" t="s">
        <v>3105</v>
      </c>
    </row>
    <row r="195" spans="1:17">
      <c r="A195" s="3406" t="s">
        <v>3109</v>
      </c>
      <c r="B195" s="3406" t="s">
        <v>3099</v>
      </c>
      <c r="C195" s="3406" t="s">
        <v>3100</v>
      </c>
      <c r="D195" s="3406">
        <v>121097.9</v>
      </c>
      <c r="E195" s="3406">
        <v>242195.8</v>
      </c>
      <c r="F195" s="3406" t="s">
        <v>3110</v>
      </c>
      <c r="G195" s="3406" t="s">
        <v>3102</v>
      </c>
      <c r="H195" s="3406" t="s">
        <v>3111</v>
      </c>
      <c r="I195" s="3406">
        <v>0</v>
      </c>
      <c r="J195" s="3406" t="s">
        <v>3112</v>
      </c>
      <c r="K195" s="3406" t="s">
        <v>3112</v>
      </c>
      <c r="L195" s="3406">
        <v>4980</v>
      </c>
      <c r="M195" s="3406">
        <v>4980</v>
      </c>
      <c r="N195" s="3406">
        <v>205.62</v>
      </c>
      <c r="O195" s="3406">
        <v>0</v>
      </c>
      <c r="P195" s="3406" t="s">
        <v>3115</v>
      </c>
      <c r="Q195" s="3406" t="s">
        <v>3105</v>
      </c>
    </row>
    <row r="196" spans="1:17">
      <c r="A196" s="1407" t="s">
        <v>3206</v>
      </c>
      <c r="B196" s="1407" t="s">
        <v>3099</v>
      </c>
      <c r="C196" s="1407" t="s">
        <v>3100</v>
      </c>
      <c r="D196" s="1407">
        <v>124512.9</v>
      </c>
      <c r="E196" s="1407">
        <v>186769.3</v>
      </c>
      <c r="F196" s="1407" t="s">
        <v>3355</v>
      </c>
      <c r="G196" s="1407" t="s">
        <v>3102</v>
      </c>
      <c r="H196" s="1407" t="s">
        <v>3100</v>
      </c>
      <c r="I196" s="1407">
        <v>0</v>
      </c>
      <c r="J196" s="1407" t="s">
        <v>3528</v>
      </c>
      <c r="K196" s="1407" t="s">
        <v>3528</v>
      </c>
      <c r="L196" s="1407">
        <v>3840</v>
      </c>
      <c r="M196" s="1407">
        <v>3840</v>
      </c>
      <c r="N196" s="1407">
        <v>205.59</v>
      </c>
      <c r="O196" s="1407">
        <v>0</v>
      </c>
      <c r="P196" s="1407" t="s">
        <v>3529</v>
      </c>
      <c r="Q196" s="1407" t="s">
        <v>3105</v>
      </c>
    </row>
    <row r="197" spans="1:17">
      <c r="A197" s="1407" t="s">
        <v>3206</v>
      </c>
      <c r="B197" s="1407" t="s">
        <v>3099</v>
      </c>
      <c r="C197" s="1407" t="s">
        <v>3100</v>
      </c>
      <c r="D197" s="1407">
        <v>43476.1</v>
      </c>
      <c r="E197" s="1407">
        <v>65214.15</v>
      </c>
      <c r="F197" s="1407" t="s">
        <v>3355</v>
      </c>
      <c r="G197" s="1407" t="s">
        <v>3102</v>
      </c>
      <c r="H197" s="1407" t="s">
        <v>3100</v>
      </c>
      <c r="I197" s="1407">
        <v>0</v>
      </c>
      <c r="J197" s="1407" t="s">
        <v>3533</v>
      </c>
      <c r="K197" s="1407" t="s">
        <v>3533</v>
      </c>
      <c r="L197" s="1407">
        <v>1340</v>
      </c>
      <c r="M197" s="1407">
        <v>1340</v>
      </c>
      <c r="N197" s="1407">
        <v>205.47</v>
      </c>
      <c r="O197" s="1407">
        <v>0</v>
      </c>
      <c r="P197" s="1407" t="s">
        <v>3534</v>
      </c>
      <c r="Q197" s="1407" t="s">
        <v>3105</v>
      </c>
    </row>
    <row r="198" spans="1:17">
      <c r="A198" s="1407" t="s">
        <v>3206</v>
      </c>
      <c r="B198" s="1407" t="s">
        <v>3099</v>
      </c>
      <c r="C198" s="1407" t="s">
        <v>3100</v>
      </c>
      <c r="D198" s="1407">
        <v>16550.900000000001</v>
      </c>
      <c r="E198" s="1407">
        <v>24826.35</v>
      </c>
      <c r="F198" s="1407" t="s">
        <v>3355</v>
      </c>
      <c r="G198" s="1407" t="s">
        <v>3102</v>
      </c>
      <c r="H198" s="1407" t="s">
        <v>3100</v>
      </c>
      <c r="I198" s="1407">
        <v>0</v>
      </c>
      <c r="J198" s="1407" t="s">
        <v>3546</v>
      </c>
      <c r="K198" s="1407" t="s">
        <v>3546</v>
      </c>
      <c r="L198" s="1407">
        <v>510</v>
      </c>
      <c r="M198" s="1407">
        <v>510</v>
      </c>
      <c r="N198" s="1407">
        <v>205.43</v>
      </c>
      <c r="O198" s="1407">
        <v>0</v>
      </c>
      <c r="P198" s="1407" t="s">
        <v>3550</v>
      </c>
      <c r="Q198" s="1407" t="s">
        <v>3105</v>
      </c>
    </row>
    <row r="199" spans="1:17">
      <c r="A199" s="3406" t="s">
        <v>3380</v>
      </c>
      <c r="B199" s="3406" t="s">
        <v>3099</v>
      </c>
      <c r="C199" s="3406" t="s">
        <v>3100</v>
      </c>
      <c r="D199" s="3406">
        <v>219702.8</v>
      </c>
      <c r="E199" s="3406">
        <v>549257</v>
      </c>
      <c r="F199" s="3406" t="s">
        <v>3381</v>
      </c>
      <c r="G199" s="3406" t="s">
        <v>3102</v>
      </c>
      <c r="H199" s="3406" t="s">
        <v>3100</v>
      </c>
      <c r="I199" s="3406">
        <v>0</v>
      </c>
      <c r="J199" s="3406" t="s">
        <v>3382</v>
      </c>
      <c r="K199" s="3406" t="s">
        <v>3382</v>
      </c>
      <c r="L199" s="3406">
        <v>11140</v>
      </c>
      <c r="M199" s="3406">
        <v>11140</v>
      </c>
      <c r="N199" s="3406">
        <v>202.81</v>
      </c>
      <c r="O199" s="3406">
        <v>0</v>
      </c>
      <c r="P199" s="3406" t="s">
        <v>3383</v>
      </c>
      <c r="Q199" s="3406" t="s">
        <v>3105</v>
      </c>
    </row>
    <row r="200" spans="1:17">
      <c r="A200" s="3406" t="s">
        <v>3414</v>
      </c>
      <c r="B200" s="3406" t="s">
        <v>3099</v>
      </c>
      <c r="C200" s="3406" t="s">
        <v>3100</v>
      </c>
      <c r="D200" s="3406">
        <v>179566.8</v>
      </c>
      <c r="E200" s="3406">
        <v>448917</v>
      </c>
      <c r="F200" s="3406" t="s">
        <v>3381</v>
      </c>
      <c r="G200" s="3406" t="s">
        <v>3102</v>
      </c>
      <c r="H200" s="3406" t="s">
        <v>3100</v>
      </c>
      <c r="I200" s="3406">
        <v>0</v>
      </c>
      <c r="J200" s="3406" t="s">
        <v>3415</v>
      </c>
      <c r="K200" s="3406" t="s">
        <v>3415</v>
      </c>
      <c r="L200" s="3406">
        <v>9040</v>
      </c>
      <c r="M200" s="3406">
        <v>9040</v>
      </c>
      <c r="N200" s="3406">
        <v>201.37</v>
      </c>
      <c r="O200" s="3406">
        <v>0</v>
      </c>
      <c r="P200" s="3406" t="s">
        <v>3416</v>
      </c>
      <c r="Q200" s="3406" t="s">
        <v>3105</v>
      </c>
    </row>
    <row r="201" spans="1:17">
      <c r="A201" s="3406" t="s">
        <v>3206</v>
      </c>
      <c r="B201" s="3406" t="s">
        <v>3099</v>
      </c>
      <c r="C201" s="3406" t="s">
        <v>3100</v>
      </c>
      <c r="D201" s="3406">
        <v>20956.2</v>
      </c>
      <c r="E201" s="3406">
        <v>33529.919999999998</v>
      </c>
      <c r="F201" s="3406" t="s">
        <v>3120</v>
      </c>
      <c r="G201" s="3406" t="s">
        <v>3102</v>
      </c>
      <c r="H201" s="3406" t="s">
        <v>6</v>
      </c>
      <c r="I201" s="3406">
        <v>0</v>
      </c>
      <c r="J201" s="3406" t="s">
        <v>3207</v>
      </c>
      <c r="K201" s="3406" t="s">
        <v>3207</v>
      </c>
      <c r="L201" s="3406">
        <v>650</v>
      </c>
      <c r="M201" s="3406">
        <v>650</v>
      </c>
      <c r="N201" s="3406">
        <v>193.86</v>
      </c>
      <c r="O201" s="3406">
        <v>0</v>
      </c>
      <c r="P201" s="3406" t="s">
        <v>3208</v>
      </c>
      <c r="Q201" s="3406" t="s">
        <v>3105</v>
      </c>
    </row>
  </sheetData>
  <autoFilter ref="A1:Q1">
    <sortState ref="A2:Q201">
      <sortCondition descending="1" ref="N1"/>
    </sortState>
  </autoFilter>
  <phoneticPr fontId="1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080" t="str">
        <f>IF(项目基本情况!B9="房地产市场价值","估价结果一览表","结果表-2")</f>
        <v>结果表-2</v>
      </c>
      <c r="B1" s="3080"/>
      <c r="C1" s="3080"/>
      <c r="D1" s="3080"/>
      <c r="E1" s="3080"/>
      <c r="F1" s="3080"/>
      <c r="G1" s="3080"/>
      <c r="H1" s="3080"/>
      <c r="I1" s="3080"/>
    </row>
    <row r="2" spans="1:9" ht="30" customHeight="1" thickTop="1">
      <c r="A2" s="3081" t="s">
        <v>1606</v>
      </c>
      <c r="B2" s="3081" t="s">
        <v>1607</v>
      </c>
      <c r="C2" s="3081" t="s">
        <v>1608</v>
      </c>
      <c r="D2" s="3081" t="str">
        <f>结果表!D116</f>
        <v>出让国有建设用地使用权价值</v>
      </c>
      <c r="E2" s="3081"/>
      <c r="F2" s="3081" t="str">
        <f>结果表!F116</f>
        <v>在建建筑物价值</v>
      </c>
      <c r="G2" s="3081"/>
      <c r="H2" s="3081" t="str">
        <f>IF(项目基本情况!B9="房地产市场价值","房地产市场价值","房地产价值")</f>
        <v>房地产价值</v>
      </c>
      <c r="I2" s="3081"/>
    </row>
    <row r="3" spans="1:9" ht="15">
      <c r="A3" s="3075"/>
      <c r="B3" s="3075"/>
      <c r="C3" s="3075"/>
      <c r="D3" s="963" t="s">
        <v>1603</v>
      </c>
      <c r="E3" s="963" t="s">
        <v>1609</v>
      </c>
      <c r="F3" s="963" t="s">
        <v>1603</v>
      </c>
      <c r="G3" s="963" t="s">
        <v>1604</v>
      </c>
      <c r="H3" s="963" t="s">
        <v>1603</v>
      </c>
      <c r="I3" s="963" t="s">
        <v>1604</v>
      </c>
    </row>
    <row r="4" spans="1:9" ht="15">
      <c r="A4" s="1690" t="str">
        <f>项目基本情况!S2</f>
        <v>房地产</v>
      </c>
      <c r="B4" s="963">
        <f>项目基本情况!C17</f>
        <v>32069.72</v>
      </c>
      <c r="C4" s="963">
        <f>项目基本情况!C18</f>
        <v>60655.3</v>
      </c>
      <c r="D4" s="963" t="e">
        <f ca="1">结果表!D118</f>
        <v>#REF!</v>
      </c>
      <c r="E4" s="963" t="e">
        <f ca="1">结果表!E118</f>
        <v>#REF!</v>
      </c>
      <c r="F4" s="963" t="e">
        <f ca="1">结果表!F118</f>
        <v>#REF!</v>
      </c>
      <c r="G4" s="963" t="e">
        <f ca="1">结果表!G118</f>
        <v>#REF!</v>
      </c>
      <c r="H4" s="963" t="e">
        <f ca="1">结果表!H118</f>
        <v>#REF!</v>
      </c>
      <c r="I4" s="963" t="e">
        <f ca="1">结果表!I118</f>
        <v>#REF!</v>
      </c>
    </row>
    <row r="5" spans="1:9" ht="30" customHeight="1">
      <c r="A5" s="3075" t="s">
        <v>1605</v>
      </c>
      <c r="B5" s="3075"/>
      <c r="C5" s="3075"/>
      <c r="D5" s="3076" t="e">
        <f ca="1">结果表!D119</f>
        <v>#REF!</v>
      </c>
      <c r="E5" s="3076"/>
      <c r="F5" s="3076" t="e">
        <f ca="1">结果表!F119</f>
        <v>#REF!</v>
      </c>
      <c r="G5" s="3076"/>
      <c r="H5" s="3076" t="e">
        <f ca="1">结果表!H119</f>
        <v>#REF!</v>
      </c>
      <c r="I5" s="3076"/>
    </row>
    <row r="6" spans="1:9" ht="15.75">
      <c r="A6" s="3074" t="str">
        <f>结果表!A120</f>
        <v>估价师知悉的法定优先受偿款</v>
      </c>
      <c r="B6" s="3074"/>
      <c r="C6" s="3074"/>
      <c r="D6" s="3074">
        <f>结果表!D120</f>
        <v>0</v>
      </c>
      <c r="E6" s="3074"/>
      <c r="F6" s="3074"/>
      <c r="G6" s="3074"/>
      <c r="H6" s="3074"/>
      <c r="I6" s="3074"/>
    </row>
    <row r="7" spans="1:9" ht="15">
      <c r="A7" s="3075" t="s">
        <v>1605</v>
      </c>
      <c r="B7" s="3075"/>
      <c r="C7" s="3075"/>
      <c r="D7" s="3077" t="str">
        <f>结果表!D121</f>
        <v>零元整</v>
      </c>
      <c r="E7" s="3078"/>
      <c r="F7" s="3078"/>
      <c r="G7" s="3078"/>
      <c r="H7" s="3078"/>
      <c r="I7" s="3079"/>
    </row>
    <row r="8" spans="1:9" ht="15.75">
      <c r="A8" s="3074" t="str">
        <f>结果表!A122</f>
        <v>房地产抵押价值</v>
      </c>
      <c r="B8" s="3074"/>
      <c r="C8" s="3074"/>
      <c r="D8" s="3074" t="e">
        <f ca="1">结果表!D122</f>
        <v>#REF!</v>
      </c>
      <c r="E8" s="3074"/>
      <c r="F8" s="3074"/>
      <c r="G8" s="3074"/>
      <c r="H8" s="3074"/>
      <c r="I8" s="3074"/>
    </row>
    <row r="9" spans="1:9" ht="15">
      <c r="A9" s="3075" t="s">
        <v>1605</v>
      </c>
      <c r="B9" s="3075"/>
      <c r="C9" s="3075"/>
      <c r="D9" s="3076" t="e">
        <f ca="1">结果表!D123</f>
        <v>#REF!</v>
      </c>
      <c r="E9" s="3076"/>
      <c r="F9" s="3076"/>
      <c r="G9" s="3076"/>
      <c r="H9" s="3076"/>
      <c r="I9" s="3076"/>
    </row>
    <row r="10" spans="1:9" ht="15.75">
      <c r="A10" s="3074" t="str">
        <f>结果表!A124</f>
        <v/>
      </c>
      <c r="B10" s="3074"/>
      <c r="C10" s="3074"/>
      <c r="D10" s="3074" t="str">
        <f>结果表!D124</f>
        <v>——</v>
      </c>
      <c r="E10" s="3074"/>
      <c r="F10" s="3074"/>
      <c r="G10" s="3074"/>
      <c r="H10" s="3074"/>
      <c r="I10" s="3074"/>
    </row>
    <row r="11" spans="1:9" ht="15">
      <c r="A11" s="3075" t="s">
        <v>1605</v>
      </c>
      <c r="B11" s="3075"/>
      <c r="C11" s="3075"/>
      <c r="D11" s="3076" t="e">
        <f>结果表!D125</f>
        <v>#VALUE!</v>
      </c>
      <c r="E11" s="3076"/>
      <c r="F11" s="3076"/>
      <c r="G11" s="3076"/>
      <c r="H11" s="3076"/>
      <c r="I11" s="3076"/>
    </row>
    <row r="12" spans="1:9" ht="15.75">
      <c r="A12" s="3074" t="str">
        <f>结果表!A126</f>
        <v/>
      </c>
      <c r="B12" s="3074"/>
      <c r="C12" s="3074"/>
      <c r="D12" s="3074" t="str">
        <f>结果表!D126</f>
        <v>——</v>
      </c>
      <c r="E12" s="3074"/>
      <c r="F12" s="3074"/>
      <c r="G12" s="3074"/>
      <c r="H12" s="3074"/>
      <c r="I12" s="3074"/>
    </row>
    <row r="13" spans="1:9" ht="15.75" thickBot="1">
      <c r="A13" s="3071" t="s">
        <v>1605</v>
      </c>
      <c r="B13" s="3071"/>
      <c r="C13" s="3071"/>
      <c r="D13" s="3072" t="e">
        <f>结果表!D127</f>
        <v>#VALUE!</v>
      </c>
      <c r="E13" s="3072"/>
      <c r="F13" s="3072"/>
      <c r="G13" s="3072"/>
      <c r="H13" s="3072"/>
      <c r="I13" s="3072"/>
    </row>
    <row r="14" spans="1:9" ht="15" thickTop="1">
      <c r="A14" s="3073" t="s">
        <v>1610</v>
      </c>
      <c r="B14" s="3073"/>
      <c r="C14" s="3073"/>
      <c r="D14" s="3073"/>
      <c r="E14" s="3073"/>
      <c r="F14" s="3073"/>
      <c r="G14" s="3073"/>
      <c r="H14" s="3073"/>
      <c r="I14" s="3073"/>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088" t="s">
        <v>1627</v>
      </c>
      <c r="B1" s="3088"/>
      <c r="C1" s="3088"/>
      <c r="D1" s="3088"/>
    </row>
    <row r="2" spans="1:4" ht="18">
      <c r="A2" s="3089" t="s">
        <v>1611</v>
      </c>
      <c r="B2" s="3089"/>
      <c r="C2" s="3089"/>
      <c r="D2" s="3089"/>
    </row>
    <row r="3" spans="1:4" ht="18.75">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8">
      <c r="A6" s="3089" t="s">
        <v>1617</v>
      </c>
      <c r="B6" s="3089"/>
      <c r="C6" s="3089"/>
      <c r="D6" s="3089"/>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090" t="s">
        <v>1620</v>
      </c>
      <c r="B11" s="3082"/>
      <c r="C11" s="3082"/>
      <c r="D11" s="3082"/>
    </row>
    <row r="12" spans="1:4" ht="15.75">
      <c r="A12" s="30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7"/>
      <c r="C12" s="3087"/>
      <c r="D12" s="3087"/>
    </row>
    <row r="13" spans="1:4" ht="30" customHeight="1">
      <c r="A13" s="30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7"/>
      <c r="C13" s="3087"/>
      <c r="D13" s="3087"/>
    </row>
    <row r="14" spans="1:4" ht="15.75" customHeight="1">
      <c r="A14" s="3082" t="str">
        <f>IF(项目基本情况!B8="抵押","4.本次评估估价师所知悉的法定优先受偿款情况说明如下：","——")</f>
        <v>4.本次评估估价师所知悉的法定优先受偿款情况说明如下：</v>
      </c>
      <c r="B14" s="3087"/>
      <c r="C14" s="3087"/>
      <c r="D14" s="3087"/>
    </row>
    <row r="15" spans="1:4" ht="42" customHeight="1">
      <c r="A15" s="308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2"/>
      <c r="C15" s="3082"/>
      <c r="D15" s="3082"/>
    </row>
    <row r="16" spans="1:4" ht="30" customHeight="1">
      <c r="A16" s="3084" t="s">
        <v>1621</v>
      </c>
      <c r="B16" s="3084"/>
      <c r="C16" s="3084"/>
      <c r="D16" s="3084"/>
    </row>
    <row r="17" spans="1:4" ht="144" customHeight="1">
      <c r="A17" s="3084" t="s">
        <v>1622</v>
      </c>
      <c r="B17" s="3084"/>
      <c r="C17" s="3084"/>
      <c r="D17" s="3084"/>
    </row>
    <row r="18" spans="1:4" ht="15.75" customHeight="1">
      <c r="A18" s="3082" t="str">
        <f>IF(项目基本情况!B8="抵押",结果表!K120,"——")</f>
        <v>故，本次评估不存在估价师知悉的法定优先受偿款</v>
      </c>
      <c r="B18" s="3082"/>
      <c r="C18" s="3082"/>
      <c r="D18" s="3082"/>
    </row>
    <row r="19" spans="1:4" ht="46.5" customHeight="1">
      <c r="A19" s="30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2"/>
      <c r="C19" s="3082"/>
      <c r="D19" s="3082"/>
    </row>
    <row r="20" spans="1:4" ht="57.75" customHeight="1">
      <c r="A20" s="30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2"/>
      <c r="C20" s="3082"/>
      <c r="D20" s="3082"/>
    </row>
    <row r="21" spans="1:4" ht="57.75" customHeight="1">
      <c r="A21" s="30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85"/>
      <c r="C21" s="3085"/>
      <c r="D21" s="3085"/>
    </row>
    <row r="22" spans="1:4" ht="18.75" customHeight="1">
      <c r="A22" s="3086" t="s">
        <v>1623</v>
      </c>
      <c r="B22" s="3086"/>
      <c r="C22" s="3086"/>
      <c r="D22" s="3086"/>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083">
        <v>42551</v>
      </c>
      <c r="D31" s="308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096" t="s">
        <v>1634</v>
      </c>
      <c r="B15" s="3091" t="s">
        <v>136</v>
      </c>
      <c r="C15" s="3092"/>
    </row>
    <row r="16" spans="1:7" ht="13.5">
      <c r="A16" s="3097"/>
      <c r="B16" s="3091" t="s">
        <v>69</v>
      </c>
      <c r="C16" s="3092"/>
    </row>
    <row r="17" spans="1:3" ht="13.5">
      <c r="A17" s="3097"/>
      <c r="B17" s="3094" t="s">
        <v>1635</v>
      </c>
      <c r="C17" s="1717" t="s">
        <v>1634</v>
      </c>
    </row>
    <row r="18" spans="1:3" ht="13.5">
      <c r="A18" s="3097"/>
      <c r="B18" s="3094"/>
      <c r="C18" s="1717" t="s">
        <v>1636</v>
      </c>
    </row>
    <row r="19" spans="1:3" ht="13.5">
      <c r="A19" s="3097"/>
      <c r="B19" s="3094"/>
      <c r="C19" s="1717" t="s">
        <v>1637</v>
      </c>
    </row>
    <row r="20" spans="1:3" ht="13.5">
      <c r="A20" s="3098"/>
      <c r="B20" s="3093" t="s">
        <v>1638</v>
      </c>
      <c r="C20" s="3092"/>
    </row>
    <row r="21" spans="1:3" ht="13.5">
      <c r="A21" s="1718" t="s">
        <v>1639</v>
      </c>
      <c r="B21" s="1719"/>
      <c r="C21" s="1720"/>
    </row>
    <row r="22" spans="1:3" ht="13.5">
      <c r="A22" s="3095" t="s">
        <v>1640</v>
      </c>
      <c r="B22" s="3093" t="s">
        <v>1641</v>
      </c>
      <c r="C22" s="3092"/>
    </row>
    <row r="23" spans="1:3" ht="13.5">
      <c r="A23" s="3095"/>
      <c r="B23" s="3093" t="s">
        <v>1642</v>
      </c>
      <c r="C23" s="3092"/>
    </row>
    <row r="24" spans="1:3" ht="13.5">
      <c r="A24" s="3095"/>
      <c r="B24" s="3093" t="s">
        <v>1643</v>
      </c>
      <c r="C24" s="3092"/>
    </row>
    <row r="25" spans="1:3" ht="13.5">
      <c r="A25" s="3095"/>
      <c r="B25" s="3094" t="s">
        <v>1644</v>
      </c>
      <c r="C25" s="1717" t="s">
        <v>1645</v>
      </c>
    </row>
    <row r="26" spans="1:3" ht="13.5">
      <c r="A26" s="3095"/>
      <c r="B26" s="3094"/>
      <c r="C26" s="1717" t="s">
        <v>1646</v>
      </c>
    </row>
    <row r="27" spans="1:3" ht="13.5">
      <c r="A27" s="3095"/>
      <c r="B27" s="3094"/>
      <c r="C27" s="1717" t="s">
        <v>1647</v>
      </c>
    </row>
    <row r="28" spans="1:3" ht="13.5">
      <c r="A28" s="3095"/>
      <c r="B28" s="3094"/>
      <c r="C28" s="1717" t="s">
        <v>1648</v>
      </c>
    </row>
    <row r="29" spans="1:3" ht="13.5">
      <c r="A29" s="3095"/>
      <c r="B29" s="3094"/>
      <c r="C29" s="1717" t="s">
        <v>1649</v>
      </c>
    </row>
    <row r="30" spans="1:3" ht="13.5">
      <c r="A30" s="3095"/>
      <c r="B30" s="3094"/>
      <c r="C30" s="1717" t="s">
        <v>1650</v>
      </c>
    </row>
    <row r="31" spans="1:3" ht="13.5">
      <c r="A31" s="3095"/>
      <c r="B31" s="3094"/>
      <c r="C31" s="1717" t="s">
        <v>1651</v>
      </c>
    </row>
    <row r="32" spans="1:3" ht="13.5">
      <c r="A32" s="3095"/>
      <c r="B32" s="3094"/>
      <c r="C32" s="1717" t="s">
        <v>1652</v>
      </c>
    </row>
    <row r="33" spans="1:3" ht="13.5">
      <c r="A33" s="3095"/>
      <c r="B33" s="3094"/>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44375</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f ca="1">IF(C6&lt;B2,"已过期",1120050019)</f>
        <v>1120050019</v>
      </c>
      <c r="C6" s="2568">
        <v>44395</v>
      </c>
      <c r="D6" s="2569" t="str">
        <f t="shared" ca="1" si="0"/>
        <v>王鹏（注册号：1120050019）</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t="str">
        <f ca="1">IF(C13&lt;B2,"已过期",1120020033)</f>
        <v>已过期</v>
      </c>
      <c r="C13" s="2568">
        <v>44339</v>
      </c>
      <c r="D13" s="2569" t="str">
        <f t="shared" ca="1" si="0"/>
        <v>刘敬东（注册号：已过期）</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099" t="s">
        <v>2902</v>
      </c>
      <c r="B17" s="3099"/>
      <c r="C17" s="3099"/>
      <c r="D17" s="3099"/>
      <c r="E17" s="3099"/>
      <c r="F17" s="3099"/>
      <c r="G17" s="3099"/>
      <c r="H17" s="3099"/>
    </row>
    <row r="18" spans="1:8" ht="24" customHeight="1">
      <c r="A18" s="3100" t="s">
        <v>2903</v>
      </c>
      <c r="B18" s="3100"/>
      <c r="C18" s="3100"/>
      <c r="D18" s="2566"/>
      <c r="E18" s="3101" t="s">
        <v>2904</v>
      </c>
      <c r="F18" s="3100"/>
      <c r="G18" s="3100"/>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2017-03-01T09:15:43Z</cp:lastPrinted>
  <dcterms:created xsi:type="dcterms:W3CDTF">2015-07-13T07:17:23Z</dcterms:created>
  <dcterms:modified xsi:type="dcterms:W3CDTF">2021-06-28T07:42:48Z</dcterms:modified>
</cp:coreProperties>
</file>