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44" hidden="1">Sheet1!$A$1:$Q$1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40" l="1"/>
  <c r="F66" i="40" s="1"/>
  <c r="G66" i="40" s="1"/>
  <c r="H66" i="40" s="1"/>
  <c r="I66" i="40" s="1"/>
  <c r="J66" i="40" s="1"/>
  <c r="K66" i="40" s="1"/>
  <c r="L66" i="40" s="1"/>
  <c r="M66" i="40" s="1"/>
  <c r="D66" i="40"/>
  <c r="I41" i="40"/>
  <c r="G41" i="40"/>
  <c r="E41" i="40"/>
  <c r="I34" i="40"/>
  <c r="G34" i="40"/>
  <c r="E34" i="40"/>
  <c r="C34" i="40"/>
  <c r="C11" i="40"/>
  <c r="I7" i="40"/>
  <c r="G7" i="40"/>
  <c r="E7" i="40"/>
  <c r="I5" i="40"/>
  <c r="G5" i="40"/>
  <c r="E5" i="40"/>
  <c r="AH6" i="1" l="1"/>
  <c r="Y6" i="1"/>
  <c r="N6" i="1"/>
  <c r="F19" i="6"/>
  <c r="B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1" i="6"/>
  <c r="E61" i="39" s="1"/>
  <c r="BL17" i="3"/>
  <c r="AZ17" i="3" s="1"/>
  <c r="BL13" i="3"/>
  <c r="AZ13" i="3" s="1"/>
  <c r="E65" i="39"/>
  <c r="J56" i="9"/>
  <c r="J57" i="9" s="1"/>
  <c r="J59" i="9" s="1"/>
  <c r="J61" i="9" s="1"/>
  <c r="A24" i="51"/>
  <c r="B18" i="72"/>
  <c r="U29" i="34"/>
  <c r="E14" i="6"/>
  <c r="E64" i="39" s="1"/>
  <c r="E5" i="6"/>
  <c r="D9" i="11" s="1"/>
  <c r="C9" i="11" s="1"/>
  <c r="E32" i="6"/>
  <c r="L19" i="6"/>
  <c r="G1" i="68"/>
  <c r="K1" i="12"/>
  <c r="F30"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F30" i="11"/>
  <c r="C48" i="11" s="1"/>
  <c r="E63" i="39"/>
  <c r="T11" i="1"/>
  <c r="D9" i="69"/>
  <c r="C9" i="69" s="1"/>
  <c r="D19" i="12"/>
  <c r="C19" i="12" s="1"/>
  <c r="AQ9" i="1"/>
  <c r="AR11" i="1"/>
  <c r="T9" i="1"/>
  <c r="T13" i="1"/>
  <c r="E503" i="3"/>
  <c r="E535" i="3"/>
  <c r="E302"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Q16" i="1"/>
  <c r="F27" i="69"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11" i="37"/>
  <c r="W11" i="37"/>
  <c r="W11" i="34"/>
  <c r="AC11" i="34"/>
  <c r="R7" i="1"/>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G17" i="43"/>
  <c r="C16" i="43"/>
  <c r="D5" i="43"/>
  <c r="C5" i="43"/>
  <c r="E68" i="39"/>
  <c r="F68" i="39" s="1"/>
  <c r="V14" i="71"/>
  <c r="C14" i="71"/>
  <c r="D15" i="71"/>
  <c r="E41" i="43"/>
  <c r="C41" i="43"/>
  <c r="C20" i="43"/>
  <c r="I59" i="34"/>
  <c r="J59" i="34" s="1"/>
  <c r="D12" i="71"/>
  <c r="T14" i="71"/>
  <c r="D13" i="71"/>
  <c r="D14" i="71"/>
  <c r="U14" i="71"/>
  <c r="AO12" i="1"/>
  <c r="D4" i="73"/>
  <c r="F3" i="73"/>
  <c r="M9" i="15"/>
  <c r="F38" i="67"/>
  <c r="D2" i="33"/>
  <c r="E11" i="76"/>
  <c r="E7" i="76"/>
  <c r="M9" i="67"/>
  <c r="C76" i="67"/>
  <c r="F42" i="67"/>
  <c r="F8" i="15"/>
  <c r="M29" i="67"/>
  <c r="F36" i="15"/>
  <c r="E2" i="68"/>
  <c r="F40" i="15"/>
  <c r="F35" i="67"/>
  <c r="F20" i="31"/>
  <c r="B13" i="76"/>
  <c r="J15" i="15"/>
  <c r="E10" i="76"/>
  <c r="F38" i="15"/>
  <c r="F36" i="67"/>
  <c r="M26" i="15"/>
  <c r="F4" i="73"/>
  <c r="AO13" i="1"/>
  <c r="D34" i="9"/>
  <c r="F37" i="15"/>
  <c r="M21" i="67"/>
  <c r="M8" i="67"/>
  <c r="AO7" i="1"/>
  <c r="E12" i="76"/>
  <c r="M8" i="15"/>
  <c r="F7" i="15"/>
  <c r="M27" i="15"/>
  <c r="M29" i="15"/>
  <c r="F13" i="15"/>
  <c r="AO8" i="1"/>
  <c r="C76" i="15"/>
  <c r="M23" i="67"/>
  <c r="D5" i="73"/>
  <c r="B10" i="76"/>
  <c r="F26" i="15"/>
  <c r="L48" i="67"/>
  <c r="F6" i="15"/>
  <c r="M24" i="67"/>
  <c r="L47" i="15"/>
  <c r="D2" i="36"/>
  <c r="F6" i="67"/>
  <c r="E9" i="76"/>
  <c r="D3" i="73"/>
  <c r="AO11" i="1"/>
  <c r="M22" i="15"/>
  <c r="F16" i="15"/>
  <c r="D7" i="73"/>
  <c r="F37" i="67"/>
  <c r="D2" i="34"/>
  <c r="M27" i="67"/>
  <c r="B8" i="76"/>
  <c r="M22" i="67"/>
  <c r="F7" i="73"/>
  <c r="AO9" i="1"/>
  <c r="M24" i="15"/>
  <c r="F9" i="67"/>
  <c r="E8" i="76"/>
  <c r="F6" i="73"/>
  <c r="C14" i="15"/>
  <c r="B9" i="76"/>
  <c r="L47" i="67"/>
  <c r="D2" i="35"/>
  <c r="F43" i="15"/>
  <c r="E13" i="76"/>
  <c r="D2" i="21"/>
  <c r="B11" i="76"/>
  <c r="D35" i="9"/>
  <c r="E2" i="69"/>
  <c r="J15" i="67"/>
  <c r="B7" i="76"/>
  <c r="F7" i="67"/>
  <c r="D6" i="73"/>
  <c r="F9" i="15"/>
  <c r="F42" i="15"/>
  <c r="F43" i="67"/>
  <c r="M28" i="15"/>
  <c r="M28" i="67"/>
  <c r="AO10" i="1"/>
  <c r="F13" i="67"/>
  <c r="D2" i="37"/>
  <c r="F16" i="67"/>
  <c r="F26" i="67"/>
  <c r="M23" i="15"/>
  <c r="F40" i="67"/>
  <c r="F5" i="73"/>
  <c r="F8" i="67"/>
  <c r="L48" i="15"/>
  <c r="F41" i="67"/>
  <c r="M6" i="67"/>
  <c r="M26" i="67"/>
  <c r="B12" i="76"/>
  <c r="M6" i="15"/>
  <c r="C40" i="68" l="1"/>
  <c r="C21" i="68"/>
  <c r="C40" i="69"/>
  <c r="C36" i="69"/>
  <c r="AC11" i="40"/>
  <c r="C94" i="9"/>
  <c r="C92" i="9"/>
  <c r="F30" i="69"/>
  <c r="F48" i="69" s="1"/>
  <c r="M18" i="15"/>
  <c r="F52" i="9"/>
  <c r="C30" i="11"/>
  <c r="F54" i="9"/>
  <c r="F32" i="15"/>
  <c r="F60" i="15" s="1"/>
  <c r="F32" i="67"/>
  <c r="F60" i="67" s="1"/>
  <c r="F28" i="67"/>
  <c r="C28" i="67" s="1"/>
  <c r="C77" i="9"/>
  <c r="C74" i="9" s="1"/>
  <c r="C13" i="12"/>
  <c r="D68" i="9"/>
  <c r="F28" i="15"/>
  <c r="C28" i="15" s="1"/>
  <c r="M18" i="67"/>
  <c r="F31" i="12"/>
  <c r="C31" i="12" s="1"/>
  <c r="F30" i="68"/>
  <c r="F53" i="9"/>
  <c r="C21" i="69"/>
  <c r="F27" i="11"/>
  <c r="F28" i="12"/>
  <c r="O7" i="1"/>
  <c r="P7" i="1" s="1"/>
  <c r="AR7" i="1"/>
  <c r="H16" i="1"/>
  <c r="E16" i="6"/>
  <c r="E59" i="40"/>
  <c r="G30" i="6"/>
  <c r="G31" i="6" s="1"/>
  <c r="E28" i="6"/>
  <c r="O12" i="1"/>
  <c r="P12" i="1" s="1"/>
  <c r="E66" i="39"/>
  <c r="F27" i="68"/>
  <c r="C29" i="68" s="1"/>
  <c r="D27" i="68" s="1"/>
  <c r="AZ15" i="3"/>
  <c r="F22" i="43"/>
  <c r="K101" i="43"/>
  <c r="F101" i="43"/>
  <c r="N101" i="43"/>
  <c r="E22" i="43"/>
  <c r="C101" i="43"/>
  <c r="N104" i="46"/>
  <c r="L101" i="43"/>
  <c r="D101" i="43"/>
  <c r="M101" i="43"/>
  <c r="I101" i="43"/>
  <c r="E101" i="43"/>
  <c r="AH11" i="43"/>
  <c r="AH13" i="43" s="1"/>
  <c r="AD11" i="43"/>
  <c r="AD13" i="43" s="1"/>
  <c r="Z11" i="43"/>
  <c r="Z13" i="43" s="1"/>
  <c r="AG11" i="43"/>
  <c r="AG13" i="43" s="1"/>
  <c r="AC11" i="43"/>
  <c r="AC13" i="43" s="1"/>
  <c r="Y11" i="43"/>
  <c r="Y13" i="43" s="1"/>
  <c r="J22" i="43"/>
  <c r="B113" i="43"/>
  <c r="G101" i="43"/>
  <c r="J101" i="43"/>
  <c r="H22" i="43"/>
  <c r="H101" i="43"/>
  <c r="G22" i="43"/>
  <c r="AJ11" i="43"/>
  <c r="AJ13" i="43" s="1"/>
  <c r="AF11" i="43"/>
  <c r="AF13" i="43" s="1"/>
  <c r="AB11" i="43"/>
  <c r="AB13" i="43" s="1"/>
  <c r="Z7" i="43"/>
  <c r="AI11" i="43"/>
  <c r="AI13" i="43" s="1"/>
  <c r="AE11" i="43"/>
  <c r="AE13" i="43" s="1"/>
  <c r="AA11" i="43"/>
  <c r="AA13" i="43" s="1"/>
  <c r="O11" i="1"/>
  <c r="P11" i="1" s="1"/>
  <c r="O9" i="1"/>
  <c r="P9" i="1" s="1"/>
  <c r="O8" i="1"/>
  <c r="P8" i="1" s="1"/>
  <c r="E69" i="3"/>
  <c r="E237" i="3"/>
  <c r="E114" i="3"/>
  <c r="E261" i="3"/>
  <c r="E278" i="3"/>
  <c r="E304" i="3"/>
  <c r="E415" i="3"/>
  <c r="E528" i="3"/>
  <c r="E563" i="3"/>
  <c r="E565" i="3"/>
  <c r="E395" i="3"/>
  <c r="E183" i="3"/>
  <c r="E172" i="3"/>
  <c r="E213" i="3"/>
  <c r="E260" i="3"/>
  <c r="E361" i="3"/>
  <c r="E445" i="3"/>
  <c r="E17" i="3"/>
  <c r="E550" i="3"/>
  <c r="E53" i="3"/>
  <c r="E125" i="3"/>
  <c r="E175" i="3"/>
  <c r="E217" i="3"/>
  <c r="E319" i="3"/>
  <c r="E366" i="3"/>
  <c r="E530" i="3"/>
  <c r="E526" i="3"/>
  <c r="E501" i="3"/>
  <c r="E553" i="3"/>
  <c r="E343" i="3"/>
  <c r="E268" i="3"/>
  <c r="E153" i="3"/>
  <c r="E282" i="3"/>
  <c r="E305" i="3"/>
  <c r="E322" i="3"/>
  <c r="E426" i="3"/>
  <c r="N6" i="3"/>
  <c r="E508" i="3"/>
  <c r="AJ6" i="3"/>
  <c r="AC6" i="3" s="1"/>
  <c r="E6" i="3" s="1"/>
  <c r="E328" i="3"/>
  <c r="AZ18" i="3"/>
  <c r="AZ5" i="3" s="1"/>
  <c r="BA5" i="3"/>
  <c r="E27" i="6" s="1"/>
  <c r="D12" i="52"/>
  <c r="D127" i="9"/>
  <c r="D13" i="52" s="1"/>
  <c r="T14" i="43"/>
  <c r="V14"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29" i="69"/>
  <c r="D27" i="69" s="1"/>
  <c r="C37" i="43"/>
  <c r="E37" i="43" s="1"/>
  <c r="B10" i="71"/>
  <c r="B9" i="71" s="1"/>
  <c r="B8" i="71" s="1"/>
  <c r="B7" i="71" s="1"/>
  <c r="B6" i="71" s="1"/>
  <c r="B5" i="71" s="1"/>
  <c r="X10" i="71"/>
  <c r="AB10" i="71"/>
  <c r="T15" i="43"/>
  <c r="V15" i="43" s="1"/>
  <c r="Z9" i="71"/>
  <c r="Y3" i="71"/>
  <c r="Z3" i="71" s="1"/>
  <c r="D10" i="71"/>
  <c r="F10" i="71"/>
  <c r="F9" i="71" s="1"/>
  <c r="F8" i="71" s="1"/>
  <c r="F7" i="71" s="1"/>
  <c r="F6" i="71" s="1"/>
  <c r="F5" i="71" s="1"/>
  <c r="AF3" i="71"/>
  <c r="P22" i="43" s="1"/>
  <c r="C34" i="43"/>
  <c r="T10" i="43"/>
  <c r="V10" i="43" s="1"/>
  <c r="C33" i="43"/>
  <c r="T16" i="43"/>
  <c r="V16" i="43" s="1"/>
  <c r="T13" i="43"/>
  <c r="V13" i="43" s="1"/>
  <c r="T8" i="43"/>
  <c r="V8" i="43" s="1"/>
  <c r="C38" i="43"/>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7" i="15"/>
  <c r="C16" i="15"/>
  <c r="G1" i="73"/>
  <c r="C14" i="67"/>
  <c r="G36" i="43" l="1"/>
  <c r="I36" i="43" s="1"/>
  <c r="C48" i="69"/>
  <c r="C30" i="69"/>
  <c r="C47" i="68"/>
  <c r="D45" i="68" s="1"/>
  <c r="F45" i="68"/>
  <c r="F48" i="68"/>
  <c r="C30" i="68"/>
  <c r="C48" i="68"/>
  <c r="C47" i="11"/>
  <c r="D45" i="11" s="1"/>
  <c r="C29" i="11"/>
  <c r="D27" i="11" s="1"/>
  <c r="D22" i="43"/>
  <c r="E30" i="6"/>
  <c r="K14" i="1"/>
  <c r="G105" i="43"/>
  <c r="G102" i="43"/>
  <c r="G107" i="43"/>
  <c r="G104" i="43"/>
  <c r="G103" i="43"/>
  <c r="G106" i="43"/>
  <c r="G109"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6" i="43"/>
  <c r="C105" i="43"/>
  <c r="C109" i="43"/>
  <c r="N105" i="43"/>
  <c r="N107" i="43"/>
  <c r="N109" i="43"/>
  <c r="N102" i="43"/>
  <c r="N103" i="43"/>
  <c r="N106" i="43"/>
  <c r="N104" i="43"/>
  <c r="K102" i="43"/>
  <c r="K106" i="43"/>
  <c r="K109" i="43"/>
  <c r="K103" i="43"/>
  <c r="K107" i="43"/>
  <c r="K104" i="43"/>
  <c r="K105" i="43"/>
  <c r="H102" i="43"/>
  <c r="H103" i="43"/>
  <c r="H104" i="43"/>
  <c r="H109" i="43"/>
  <c r="H107" i="43"/>
  <c r="H106" i="43"/>
  <c r="H105" i="43"/>
  <c r="J104" i="43"/>
  <c r="J105" i="43"/>
  <c r="J107" i="43"/>
  <c r="J102" i="43"/>
  <c r="J106" i="43"/>
  <c r="J109" i="43"/>
  <c r="J103"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04" i="43"/>
  <c r="I107" i="43"/>
  <c r="I105" i="43"/>
  <c r="I109" i="43"/>
  <c r="I102" i="43"/>
  <c r="I106" i="43"/>
  <c r="I103" i="43"/>
  <c r="D105" i="43"/>
  <c r="D106" i="43"/>
  <c r="D102" i="43"/>
  <c r="D109" i="43"/>
  <c r="D103" i="43"/>
  <c r="D104" i="43"/>
  <c r="D107" i="43"/>
  <c r="F102" i="43"/>
  <c r="F103" i="43"/>
  <c r="F109" i="43"/>
  <c r="F104" i="43"/>
  <c r="F107" i="43"/>
  <c r="F106" i="43"/>
  <c r="F105" i="43"/>
  <c r="K20" i="6"/>
  <c r="M20" i="6" s="1"/>
  <c r="I20" i="6" s="1"/>
  <c r="S20" i="6"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AY6" i="3"/>
  <c r="E3" i="6"/>
  <c r="J10" i="40"/>
  <c r="AC10" i="40" s="1"/>
  <c r="H10" i="39"/>
  <c r="AB10" i="39" s="1"/>
  <c r="F10" i="40"/>
  <c r="S10" i="40" s="1"/>
  <c r="J10" i="39"/>
  <c r="W10" i="39" s="1"/>
  <c r="H10" i="40"/>
  <c r="AB10" i="40" s="1"/>
  <c r="F59" i="67"/>
  <c r="G35" i="43"/>
  <c r="I35" i="43" s="1"/>
  <c r="G70" i="39"/>
  <c r="H68" i="39"/>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AR6" i="1"/>
  <c r="T6" i="1"/>
  <c r="S16" i="1"/>
  <c r="W10" i="40"/>
  <c r="M14" i="1"/>
  <c r="C34" i="69"/>
  <c r="K16" i="1"/>
  <c r="C115" i="43"/>
  <c r="D113" i="43" s="1"/>
  <c r="S3" i="43"/>
  <c r="T3" i="43" s="1"/>
  <c r="V3" i="43" s="1"/>
  <c r="S2" i="43"/>
  <c r="T2" i="43" s="1"/>
  <c r="V2" i="43" s="1"/>
  <c r="C26" i="43" s="1"/>
  <c r="S6" i="43"/>
  <c r="T6" i="43" s="1"/>
  <c r="V6" i="43" s="1"/>
  <c r="S7" i="43"/>
  <c r="T7" i="43" s="1"/>
  <c r="V7" i="43" s="1"/>
  <c r="S5" i="43"/>
  <c r="T5" i="43" s="1"/>
  <c r="V5" i="43" s="1"/>
  <c r="C23" i="43"/>
  <c r="C21" i="43" s="1"/>
  <c r="C29" i="43" s="1"/>
  <c r="S4" i="43"/>
  <c r="T4" i="43" s="1"/>
  <c r="V4" i="43" s="1"/>
  <c r="D3" i="21"/>
  <c r="D19" i="11"/>
  <c r="C19" i="11" s="1"/>
  <c r="C17" i="4"/>
  <c r="B4" i="52" s="1"/>
  <c r="B43" i="72" s="1"/>
  <c r="L18" i="9"/>
  <c r="D3" i="37"/>
  <c r="D3" i="34"/>
  <c r="E6" i="6"/>
  <c r="D14" i="12"/>
  <c r="D3" i="33"/>
  <c r="D37" i="11"/>
  <c r="C37" i="11" s="1"/>
  <c r="M18" i="9"/>
  <c r="B118" i="9" s="1"/>
  <c r="B14" i="74" s="1"/>
  <c r="B1" i="74" s="1"/>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C35" i="69"/>
  <c r="C38" i="69"/>
  <c r="O14" i="1"/>
  <c r="T16" i="1"/>
  <c r="M16" i="1"/>
  <c r="N16" i="1" s="1"/>
  <c r="C30" i="43"/>
  <c r="E30" i="43" s="1"/>
  <c r="C27" i="43" s="1"/>
  <c r="E29" i="43"/>
  <c r="D17" i="12"/>
  <c r="C17" i="12" s="1"/>
  <c r="C14" i="12"/>
  <c r="C20" i="11"/>
  <c r="C28" i="11" s="1"/>
  <c r="C27" i="11"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I19" i="6"/>
  <c r="M27" i="6"/>
  <c r="C8" i="74"/>
  <c r="C7" i="74"/>
  <c r="D10" i="68"/>
  <c r="D10" i="69"/>
  <c r="D10" i="11"/>
  <c r="C10" i="11" s="1"/>
  <c r="D20" i="12"/>
  <c r="C20" i="12" s="1"/>
  <c r="C18" i="12" s="1"/>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D30" i="6" l="1"/>
  <c r="C34" i="11"/>
  <c r="L16" i="1"/>
  <c r="C34" i="68"/>
  <c r="P14" i="1"/>
  <c r="P16" i="1" s="1"/>
  <c r="C11" i="12" s="1"/>
  <c r="O16" i="1"/>
  <c r="D16" i="6"/>
  <c r="F50" i="11"/>
  <c r="F50" i="69"/>
  <c r="F50" i="68"/>
  <c r="E2" i="76"/>
  <c r="C10" i="69"/>
  <c r="C8" i="69" s="1"/>
  <c r="C5" i="69" s="1"/>
  <c r="D19" i="69"/>
  <c r="R21" i="6"/>
  <c r="R26" i="6"/>
  <c r="D8" i="74"/>
  <c r="D7" i="74"/>
  <c r="C10" i="68"/>
  <c r="D19" i="68"/>
  <c r="S19" i="6"/>
  <c r="S27" i="6" s="1"/>
  <c r="I27" i="6"/>
  <c r="R24" i="6"/>
  <c r="R22" i="6"/>
  <c r="R25" i="6"/>
  <c r="H19" i="6"/>
  <c r="H27" i="6" s="1"/>
  <c r="R23" i="6"/>
  <c r="A7" i="51"/>
  <c r="B7" i="72" s="1"/>
  <c r="C4" i="52"/>
  <c r="B45" i="72" s="1"/>
  <c r="A10" i="51"/>
  <c r="B9"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3" i="76" l="1"/>
  <c r="R27" i="6"/>
  <c r="R6" i="1"/>
  <c r="C38" i="68"/>
  <c r="C35" i="68"/>
  <c r="C38" i="11"/>
  <c r="C35" i="11"/>
  <c r="C12" i="12"/>
  <c r="C15" i="12"/>
  <c r="I6" i="6"/>
  <c r="I5" i="6"/>
  <c r="C19" i="69"/>
  <c r="C24" i="69" s="1"/>
  <c r="D37" i="69"/>
  <c r="C37" i="69" s="1"/>
  <c r="C33" i="69" s="1"/>
  <c r="C19" i="68"/>
  <c r="D37" i="68"/>
  <c r="C37" i="68" s="1"/>
  <c r="C20" i="69"/>
  <c r="C23" i="69"/>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L51" i="67"/>
  <c r="J20" i="15" l="1"/>
  <c r="J17" i="15" s="1"/>
  <c r="J16" i="15" s="1"/>
  <c r="J25" i="15" s="1"/>
  <c r="F63" i="15"/>
  <c r="C62" i="15" s="1"/>
  <c r="C59" i="15" s="1"/>
  <c r="C58" i="15" s="1"/>
  <c r="C67" i="15" s="1"/>
  <c r="C68" i="15" s="1"/>
  <c r="C71" i="15" s="1"/>
  <c r="C34" i="15"/>
  <c r="C31" i="15" s="1"/>
  <c r="C30" i="15" s="1"/>
  <c r="C39" i="15" s="1"/>
  <c r="R16" i="1"/>
  <c r="C33" i="11"/>
  <c r="C39" i="11" s="1"/>
  <c r="C33" i="68"/>
  <c r="C42" i="68" s="1"/>
  <c r="C16" i="12"/>
  <c r="C21" i="12" s="1"/>
  <c r="C22" i="12" s="1"/>
  <c r="C30" i="12" s="1"/>
  <c r="C28" i="12" s="1"/>
  <c r="C28" i="69"/>
  <c r="C27" i="69" s="1"/>
  <c r="C25" i="69"/>
  <c r="C22" i="69" s="1"/>
  <c r="C24" i="68"/>
  <c r="C39" i="69"/>
  <c r="C43" i="69" s="1"/>
  <c r="C42"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C39" i="68" l="1"/>
  <c r="C46" i="68" s="1"/>
  <c r="C45" i="68" s="1"/>
  <c r="C40" i="15"/>
  <c r="Q65" i="15" s="1"/>
  <c r="C80" i="15"/>
  <c r="C79" i="15" s="1"/>
  <c r="Q69" i="15"/>
  <c r="Q68" i="15" s="1"/>
  <c r="C41" i="69"/>
  <c r="C31" i="69"/>
  <c r="C42" i="11"/>
  <c r="C27" i="12"/>
  <c r="C25" i="12" s="1"/>
  <c r="C32" i="12" s="1"/>
  <c r="B2" i="12" s="1"/>
  <c r="B3" i="12" s="1"/>
  <c r="C46" i="11"/>
  <c r="C45" i="11" s="1"/>
  <c r="C43" i="11"/>
  <c r="C46" i="69"/>
  <c r="C45"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C43" i="68" l="1"/>
  <c r="C41" i="68" s="1"/>
  <c r="C49" i="68" s="1"/>
  <c r="C51" i="68" s="1"/>
  <c r="C83" i="15"/>
  <c r="C82" i="15" s="1"/>
  <c r="C43" i="15"/>
  <c r="C46" i="15"/>
  <c r="Q47" i="15"/>
  <c r="Q53" i="15" s="1"/>
  <c r="B2" i="15"/>
  <c r="C49" i="69"/>
  <c r="C51" i="69" s="1"/>
  <c r="C52" i="69" s="1"/>
  <c r="B2" i="69" s="1"/>
  <c r="C41" i="11"/>
  <c r="C49" i="11" s="1"/>
  <c r="C51" i="11" s="1"/>
  <c r="C52" i="11" s="1"/>
  <c r="B2" i="11" s="1"/>
  <c r="B3" i="11"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D20" i="9"/>
  <c r="D21" i="9" l="1"/>
  <c r="D102" i="9"/>
  <c r="B6" i="70"/>
  <c r="B2" i="70" s="1"/>
  <c r="B3" i="70" s="1"/>
  <c r="D103" i="9"/>
  <c r="B3" i="69"/>
  <c r="C57" i="69"/>
  <c r="C56" i="69" s="1"/>
  <c r="C56" i="11"/>
  <c r="C57" i="11"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5" i="68" s="1"/>
  <c r="C28" i="68"/>
  <c r="C27" i="68" s="1"/>
  <c r="C22" i="68" l="1"/>
  <c r="C31" i="68" s="1"/>
  <c r="C52" i="68" s="1"/>
  <c r="C57" i="68" s="1"/>
  <c r="C56" i="68" s="1"/>
  <c r="B2" i="68" l="1"/>
  <c r="C19" i="9"/>
  <c r="D22" i="9" l="1"/>
  <c r="G19" i="9"/>
  <c r="G21" i="9" s="1"/>
  <c r="C102" i="9"/>
  <c r="C21" i="9"/>
  <c r="B3" i="68"/>
  <c r="C20" i="9"/>
  <c r="C103" i="9" l="1"/>
  <c r="G20" i="9"/>
  <c r="C32" i="9" s="1"/>
  <c r="C35" i="9" s="1"/>
  <c r="C34" i="9" s="1"/>
  <c r="D118" i="9" s="1"/>
  <c r="D4" i="52" s="1"/>
  <c r="B47" i="72" s="1"/>
  <c r="H118" i="9"/>
  <c r="C104" i="9" s="1"/>
  <c r="F118" i="9" l="1"/>
  <c r="D14" i="74"/>
  <c r="H4" i="52"/>
  <c r="H101" i="9"/>
  <c r="I118" i="9"/>
  <c r="D119" i="9"/>
  <c r="D5" i="52" s="1"/>
  <c r="B49" i="72" s="1"/>
  <c r="H119" i="9"/>
  <c r="H5" i="52" s="1"/>
  <c r="F119" i="9" l="1"/>
  <c r="F5" i="52" s="1"/>
  <c r="B53" i="72" s="1"/>
  <c r="G118" i="9"/>
  <c r="G4" i="52" s="1"/>
  <c r="B52" i="72" s="1"/>
  <c r="F4" i="52"/>
  <c r="B51" i="72" s="1"/>
  <c r="I4" i="52"/>
  <c r="C105" i="9"/>
  <c r="H102" i="9"/>
  <c r="D7" i="53" s="1"/>
  <c r="B21" i="72" s="1"/>
  <c r="E118" i="9"/>
  <c r="E4" i="52" s="1"/>
  <c r="B48" i="72" s="1"/>
  <c r="D5" i="53"/>
  <c r="H107" i="9"/>
  <c r="M48" i="9"/>
  <c r="D45" i="9"/>
  <c r="E14" i="74"/>
  <c r="F14" i="74"/>
  <c r="B5" i="74"/>
  <c r="D52" i="9" l="1"/>
  <c r="C93" i="9"/>
  <c r="C86" i="9" s="1"/>
  <c r="C72" i="9"/>
  <c r="D55" i="9"/>
  <c r="M53" i="9" s="1"/>
  <c r="D53" i="9"/>
  <c r="C78" i="9"/>
  <c r="C73" i="9" s="1"/>
  <c r="C85" i="9"/>
  <c r="C95" i="9" s="1"/>
  <c r="C64" i="9"/>
  <c r="C63" i="9" s="1"/>
  <c r="C67" i="9" s="1"/>
  <c r="H108" i="9"/>
  <c r="D15" i="53" s="1"/>
  <c r="B31" i="72" s="1"/>
  <c r="D122" i="9"/>
  <c r="D13" i="53"/>
  <c r="M49" i="9"/>
  <c r="C5" i="74"/>
  <c r="D5" i="74"/>
  <c r="B20" i="72"/>
  <c r="D6" i="53"/>
  <c r="B22" i="72" s="1"/>
  <c r="D59" i="9" l="1"/>
  <c r="M55" i="9" s="1"/>
  <c r="C68" i="9"/>
  <c r="D54" i="9" s="1"/>
  <c r="L68" i="9"/>
  <c r="M68" i="9" s="1"/>
  <c r="L63" i="9"/>
  <c r="M63" i="9" s="1"/>
  <c r="L67" i="9"/>
  <c r="M67" i="9" s="1"/>
  <c r="L65" i="9"/>
  <c r="M65" i="9" s="1"/>
  <c r="L64" i="9"/>
  <c r="M64" i="9" s="1"/>
  <c r="L66" i="9"/>
  <c r="M66" i="9" s="1"/>
  <c r="D8" i="52"/>
  <c r="D123" i="9"/>
  <c r="D9" i="52" s="1"/>
  <c r="G14" i="74"/>
  <c r="B6" i="74" s="1"/>
  <c r="B30" i="72"/>
  <c r="D14" i="53"/>
  <c r="B32" i="72" s="1"/>
  <c r="C96" i="9"/>
  <c r="E96" i="9" s="1"/>
  <c r="E97" i="9" s="1"/>
  <c r="C97" i="9"/>
  <c r="D58" i="9" s="1"/>
  <c r="D56" i="9" s="1"/>
  <c r="M54" i="9" s="1"/>
  <c r="N57" i="9" s="1"/>
  <c r="C79" i="9"/>
  <c r="N58" i="9" l="1"/>
  <c r="P57" i="9"/>
  <c r="N59" i="9"/>
  <c r="C80" i="9"/>
  <c r="E80" i="9" s="1"/>
  <c r="E81" i="9" s="1"/>
  <c r="M69" i="9"/>
  <c r="N69" i="9" s="1"/>
  <c r="C6" i="74"/>
  <c r="D6" i="74"/>
  <c r="N60" i="9" l="1"/>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<sst xmlns="http://schemas.openxmlformats.org/spreadsheetml/2006/main" count="9335" uniqueCount="3579">
  <si>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</si>
  <si>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</si>
  <si>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</si>
  <si>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</si>
  <si>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</si>
  <si>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</si>
  <si>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</si>
  <si>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</si>
  <si>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</si>
  <si>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</si>
  <si>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</si>
  <si>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</si>
  <si>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</si>
  <si>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</si>
  <si>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</si>
  <si>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</si>
  <si>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</si>
  <si>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</si>
  <si>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</si>
  <si>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</si>
  <si>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</si>
  <si>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</si>
  <si>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</si>
  <si>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</si>
  <si>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</si>
  <si>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</si>
  <si>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</si>
  <si>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</si>
  <si>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</si>
  <si>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</si>
  <si>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</si>
  <si>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</si>
  <si>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</si>
  <si>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</si>
  <si>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</si>
  <si>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</si>
  <si>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</si>
  <si>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</si>
  <si>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</si>
  <si>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</si>
  <si>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</si>
  <si>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</si>
  <si>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</si>
  <si>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</si>
  <si>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</si>
  <si>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</si>
  <si>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</si>
  <si>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</si>
  <si>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</si>
  <si>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</si>
  <si>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</si>
  <si>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</si>
  <si>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</si>
  <si>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</si>
  <si>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</si>
  <si>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</si>
  <si>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</si>
  <si>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</si>
  <si>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</si>
  <si>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</si>
  <si>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</si>
  <si>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</si>
  <si>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</si>
  <si>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</si>
  <si>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</si>
  <si>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</si>
  <si>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</si>
  <si>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</si>
  <si>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</si>
  <si>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</si>
  <si>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</si>
  <si>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</si>
  <si>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</si>
  <si>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</si>
  <si>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</si>
  <si>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</si>
  <si>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</si>
  <si>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</si>
  <si>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</si>
  <si>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</si>
  <si>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</si>
  <si>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</si>
  <si>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</si>
  <si>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</si>
  <si>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</si>
  <si>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</si>
  <si>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</si>
  <si>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</si>
  <si>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</si>
  <si>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</si>
  <si>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</si>
  <si>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</si>
  <si>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</si>
  <si>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</si>
  <si>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</si>
  <si>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</si>
  <si>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</si>
  <si>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</si>
  <si>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</si>
  <si>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</si>
  <si>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</si>
  <si>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</si>
  <si>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</si>
  <si>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</si>
  <si>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</si>
  <si>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</si>
  <si>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</si>
  <si>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</si>
  <si>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</si>
  <si>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</si>
  <si>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</si>
  <si>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</si>
  <si>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</si>
  <si>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</si>
  <si>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</si>
  <si>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</si>
  <si>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</si>
  <si>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</si>
  <si>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</si>
  <si>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</si>
  <si>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</si>
  <si>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</si>
  <si>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</si>
  <si>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</si>
  <si>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</si>
  <si>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</si>
  <si>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</si>
  <si>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</si>
  <si>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</si>
  <si>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</si>
  <si>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</si>
  <si>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</si>
  <si>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</si>
  <si>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</si>
  <si>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</si>
  <si>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</si>
  <si>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</si>
  <si>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</si>
  <si>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</si>
  <si>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</si>
  <si>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</si>
  <si>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</si>
  <si>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</si>
  <si>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</si>
  <si>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</si>
  <si>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</si>
  <si>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</si>
  <si>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</si>
  <si>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</si>
  <si>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</si>
  <si>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</si>
  <si>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</si>
  <si>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</si>
  <si>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</si>
  <si>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</si>
  <si>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</si>
  <si>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</si>
  <si>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</si>
  <si>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</si>
  <si>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</si>
  <si>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</si>
  <si>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</si>
  <si>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</si>
  <si>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</si>
  <si>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</si>
  <si>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</si>
  <si>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</si>
  <si>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</si>
  <si>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</si>
  <si>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</si>
  <si>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</si>
  <si>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</si>
  <si>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</si>
  <si>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</si>
  <si>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</si>
  <si>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</si>
  <si>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</si>
  <si>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</si>
  <si>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</si>
  <si>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</si>
  <si>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</si>
  <si>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</si>
  <si>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</si>
  <si>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</si>
  <si>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</si>
  <si>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</si>
  <si>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</si>
  <si>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</si>
  <si>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</si>
  <si>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</si>
  <si>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</si>
  <si>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</si>
  <si>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</si>
  <si>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</si>
  <si>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</si>
  <si>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</si>
  <si>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</si>
  <si>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</si>
  <si>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</si>
  <si>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</si>
  <si>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</si>
  <si>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</si>
  <si>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</si>
  <si>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</si>
  <si>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</si>
  <si>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</si>
  <si>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</si>
  <si>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</si>
  <si>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</si>
  <si>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</si>
  <si>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</si>
  <si>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</si>
  <si>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</si>
  <si>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</si>
  <si>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</si>
  <si>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</si>
  <si>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</si>
  <si>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</si>
  <si>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</si>
  <si>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</si>
  <si>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</si>
  <si>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</si>
  <si>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</si>
  <si>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</si>
  <si>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</si>
  <si>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</si>
  <si>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</si>
  <si>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</si>
  <si>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</si>
  <si>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</si>
  <si>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</si>
  <si>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</si>
  <si>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</si>
  <si>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</si>
  <si>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</si>
  <si>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</si>
  <si>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</si>
  <si>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</si>
  <si>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</si>
  <si>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</si>
  <si>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</si>
  <si>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</si>
  <si>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</si>
  <si>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</si>
  <si>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</si>
  <si>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</si>
  <si>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</si>
  <si>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</si>
  <si>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</si>
  <si>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</si>
  <si>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</si>
  <si>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</si>
  <si>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</si>
  <si>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</si>
  <si>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</si>
  <si>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</si>
  <si>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</si>
  <si>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</si>
  <si>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</si>
  <si>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</si>
  <si>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</si>
  <si>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</si>
  <si>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</si>
  <si>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</si>
  <si>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</si>
  <si>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</si>
  <si>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</si>
  <si>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</si>
  <si>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</si>
  <si>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</si>
  <si>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</si>
  <si>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</si>
  <si>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</si>
  <si>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</si>
  <si>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</si>
  <si>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</si>
  <si>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</si>
  <si>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</si>
  <si>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</si>
  <si>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</si>
  <si>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</si>
  <si>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</si>
  <si>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</si>
  <si>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</si>
  <si>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</si>
  <si>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</si>
  <si>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</si>
  <si>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</si>
  <si>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</si>
  <si>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</si>
  <si>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</si>
  <si>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</si>
  <si>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</si>
  <si>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</si>
  <si>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</si>
  <si>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</si>
  <si>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</si>
  <si>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</si>
  <si>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</si>
  <si>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</si>
  <si>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</si>
  <si>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</si>
  <si>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</si>
  <si>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</si>
  <si>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</si>
  <si>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</si>
  <si>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</si>
  <si>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</si>
  <si>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</si>
  <si>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</si>
  <si>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</si>
  <si>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</si>
  <si>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</si>
  <si>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</si>
  <si>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</si>
  <si>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</si>
  <si>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</si>
  <si>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</si>
  <si>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</si>
  <si>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</si>
  <si>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</si>
  <si>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</si>
  <si>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</si>
  <si>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</si>
  <si>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</si>
  <si>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</si>
  <si>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</si>
  <si>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</si>
  <si>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</si>
  <si>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</si>
  <si>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</si>
  <si>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</si>
  <si>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</si>
  <si>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</si>
  <si>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</si>
  <si>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</si>
  <si>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</si>
  <si>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</si>
  <si>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</si>
  <si>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</si>
  <si>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</si>
  <si>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</si>
  <si>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</si>
  <si>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</si>
  <si>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</si>
  <si>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</si>
  <si>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</si>
  <si>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</si>
  <si>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</si>
  <si>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</si>
  <si>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</si>
  <si>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</si>
  <si>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</si>
  <si>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</si>
  <si>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</si>
  <si>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</si>
  <si>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</si>
  <si>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</si>
  <si>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</si>
  <si>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</si>
  <si>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</si>
  <si>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</si>
  <si>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</si>
  <si>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</si>
  <si>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</si>
  <si>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</si>
  <si>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</si>
  <si>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</si>
  <si>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</si>
  <si>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</si>
  <si>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</si>
  <si>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</si>
  <si>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</si>
  <si>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</si>
  <si>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</si>
  <si>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</si>
  <si>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</si>
  <si>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</si>
  <si>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</si>
  <si>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</si>
  <si>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</si>
  <si>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</si>
  <si>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</si>
  <si>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</si>
  <si>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</si>
  <si>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</si>
  <si>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</si>
  <si>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</si>
  <si>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</si>
  <si>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</si>
  <si>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</si>
  <si>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</si>
  <si>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</si>
  <si>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</si>
  <si>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</si>
  <si>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</si>
  <si>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</si>
  <si>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</si>
  <si>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</si>
  <si>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</si>
  <si>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</si>
  <si>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</si>
  <si>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</si>
  <si>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</si>
  <si>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</si>
  <si>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</si>
  <si>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</si>
  <si>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</si>
  <si>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</si>
  <si>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</si>
  <si>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</si>
  <si>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</si>
  <si>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</si>
  <si>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</si>
  <si>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</si>
  <si>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</si>
  <si>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</si>
  <si>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</si>
  <si>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</si>
  <si>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</si>
  <si>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</si>
  <si>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</si>
  <si>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</si>
  <si>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</si>
  <si>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</si>
  <si>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</si>
  <si>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</si>
  <si>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</si>
  <si>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</si>
  <si>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</si>
  <si>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</si>
  <si>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</si>
  <si>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</si>
  <si>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</si>
  <si>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</si>
  <si>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</si>
  <si>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</si>
  <si>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</si>
  <si>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</si>
  <si>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</si>
  <si>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</si>
  <si>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</si>
  <si>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</si>
  <si>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</si>
  <si>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</si>
  <si>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</si>
  <si>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</si>
  <si>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</si>
  <si>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</si>
  <si>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</si>
  <si>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</si>
  <si>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</si>
  <si>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</si>
  <si>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</si>
  <si>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</si>
  <si>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</si>
  <si>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</si>
  <si>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</si>
  <si>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</si>
  <si>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</si>
  <si>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</si>
  <si>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</si>
  <si>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</si>
  <si>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</si>
  <si>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</si>
  <si>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</si>
  <si>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</si>
  <si>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</si>
  <si>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</si>
  <si>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</si>
  <si>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</si>
  <si>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</si>
  <si>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</si>
  <si>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</si>
  <si>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</si>
  <si>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</si>
  <si>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</si>
  <si>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</si>
  <si>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</si>
  <si>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</si>
  <si>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</si>
  <si>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</si>
  <si>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</si>
  <si>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</si>
  <si>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</si>
  <si>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</si>
  <si>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</si>
  <si>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</si>
  <si>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</si>
  <si>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</si>
  <si>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</si>
  <si>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</si>
  <si>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</si>
  <si>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</si>
  <si>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</si>
  <si>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</si>
  <si>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</si>
  <si>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</si>
  <si>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</si>
  <si>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</si>
  <si>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</si>
  <si>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</si>
  <si>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</si>
  <si>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</si>
  <si>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</si>
  <si>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</si>
  <si>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</si>
  <si>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</si>
  <si>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</si>
  <si>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</si>
  <si>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</si>
  <si>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</si>
  <si>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</si>
  <si>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</si>
  <si>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</si>
  <si>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</si>
  <si>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</si>
  <si>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</si>
  <si>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</si>
  <si>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</si>
  <si>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</si>
  <si>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</si>
  <si>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</si>
  <si>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</si>
  <si>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</si>
  <si>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</si>
  <si>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</si>
  <si>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</si>
  <si>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</si>
  <si>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</si>
  <si>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</si>
  <si>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</si>
  <si>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</si>
  <si>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</si>
  <si>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</si>
  <si>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</si>
  <si>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</si>
  <si>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</si>
  <si>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</si>
  <si>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</si>
  <si>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</si>
  <si>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</si>
  <si>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</si>
  <si>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</si>
  <si>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</si>
  <si>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</si>
  <si>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</si>
  <si>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</si>
  <si>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</si>
  <si>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</si>
  <si>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</si>
  <si>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</si>
  <si>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</si>
  <si>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</si>
  <si>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</si>
  <si>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</si>
  <si>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</si>
  <si>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</si>
  <si>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</si>
  <si>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</si>
  <si>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</si>
  <si>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</si>
  <si>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</si>
  <si>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</si>
  <si>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</si>
  <si>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</si>
  <si>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</si>
  <si>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</si>
  <si>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</si>
  <si>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</si>
  <si>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</si>
  <si>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</si>
  <si>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</si>
  <si>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</si>
  <si>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</si>
  <si>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</si>
  <si>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</si>
  <si>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</si>
  <si>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</si>
  <si>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</si>
  <si>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</si>
  <si>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</si>
  <si>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</si>
  <si>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</si>
  <si>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</si>
  <si>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</si>
  <si>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</si>
  <si>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</si>
  <si>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</si>
  <si>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</si>
  <si>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</si>
  <si>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</si>
  <si>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</si>
  <si>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</si>
  <si>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</si>
  <si>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</si>
  <si>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</si>
  <si>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</si>
  <si>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</si>
  <si>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</si>
  <si>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</si>
  <si>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</si>
  <si>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</si>
  <si>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</si>
  <si>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</si>
  <si>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</si>
  <si>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</si>
  <si>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</si>
  <si>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</si>
  <si>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</si>
  <si>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</si>
  <si>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</si>
  <si>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</si>
  <si>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</si>
  <si>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</si>
  <si>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</si>
  <si>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</si>
  <si>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</si>
  <si>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</si>
  <si>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</si>
  <si>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</si>
  <si>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</si>
  <si>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</si>
  <si>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</si>
  <si>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</si>
  <si>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</si>
  <si>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</si>
  <si>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</si>
  <si>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</si>
  <si>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</si>
  <si>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</si>
  <si>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</si>
  <si>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</si>
  <si>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</si>
  <si>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</si>
  <si>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</si>
  <si>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</si>
  <si>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</si>
  <si>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</si>
  <si>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</si>
  <si>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</si>
  <si>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</si>
  <si>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</si>
  <si>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</si>
  <si>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</si>
  <si>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</si>
  <si>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</si>
  <si>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</si>
  <si>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</si>
  <si>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</si>
  <si>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</si>
  <si>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</si>
  <si>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</si>
  <si>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</si>
  <si>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</si>
  <si>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</si>
  <si>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</si>
  <si>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</si>
  <si>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</si>
  <si>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</si>
  <si>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</si>
  <si>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</si>
  <si>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</si>
  <si>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</si>
  <si>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</si>
  <si>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</si>
  <si>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</si>
  <si>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</si>
  <si>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</si>
  <si>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</si>
  <si>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</si>
  <si>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</si>
  <si>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</si>
  <si>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</si>
  <si>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</si>
  <si>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</si>
  <si>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</si>
  <si>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</si>
  <si>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</si>
  <si>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</si>
  <si>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</si>
  <si>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</si>
  <si>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</si>
  <si>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</si>
  <si>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</si>
  <si>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</si>
  <si>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</si>
  <si>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</si>
  <si>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</si>
  <si>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</si>
  <si>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</si>
  <si>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</si>
  <si>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</si>
  <si>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</si>
  <si>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</si>
  <si>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</si>
  <si>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</si>
  <si>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</si>
  <si>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</si>
  <si>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</si>
  <si>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</si>
  <si>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</si>
  <si>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</si>
  <si>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</si>
  <si>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</si>
  <si>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</si>
  <si>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</si>
  <si>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</si>
  <si>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</si>
  <si>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</si>
  <si>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</si>
  <si>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</si>
  <si>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</si>
  <si>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</si>
  <si>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</si>
  <si>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</si>
  <si>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</si>
  <si>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</si>
  <si>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</si>
  <si>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</si>
  <si>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</si>
  <si>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</si>
  <si>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</si>
  <si>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</si>
  <si>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</si>
  <si>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</si>
  <si>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</si>
  <si>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</si>
  <si>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</si>
  <si>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</si>
  <si>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</si>
  <si>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</si>
  <si>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</si>
  <si>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</si>
  <si>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</si>
  <si>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</si>
  <si>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</si>
  <si>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</si>
  <si>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</si>
  <si>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</si>
  <si>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</si>
  <si>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</si>
  <si>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</si>
  <si>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</si>
  <si>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</si>
  <si>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</si>
  <si>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</si>
  <si>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</si>
  <si>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</si>
  <si>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</si>
  <si>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</si>
  <si>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</si>
  <si>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</si>
  <si>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</si>
  <si>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</si>
  <si>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</si>
  <si>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</si>
  <si>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</si>
  <si>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</si>
  <si>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</si>
  <si>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</si>
  <si>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</si>
  <si>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</si>
  <si>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</si>
  <si>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</si>
  <si>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</si>
  <si>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</si>
  <si>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</si>
  <si>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</si>
  <si>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</si>
  <si>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</si>
  <si>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</si>
  <si>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</si>
  <si>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</si>
  <si>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</si>
  <si>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</si>
  <si>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</si>
  <si>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</si>
  <si>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</si>
  <si>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</si>
  <si>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</si>
  <si>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</si>
  <si>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</si>
  <si>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</si>
  <si>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</si>
  <si>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</si>
  <si>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</si>
  <si>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</si>
  <si>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</si>
  <si>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</si>
  <si>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</si>
  <si>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</si>
  <si>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</si>
  <si>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</si>
  <si>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</si>
  <si>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</si>
  <si>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</si>
  <si>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</si>
  <si>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</si>
  <si>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</si>
  <si>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</si>
  <si>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</si>
  <si>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</si>
  <si>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</si>
  <si>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</si>
  <si>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</si>
  <si>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</si>
  <si>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</si>
  <si>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</si>
  <si>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</si>
  <si>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</si>
  <si>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</si>
  <si>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</si>
  <si>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</si>
  <si>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</si>
  <si>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</si>
  <si>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</si>
  <si>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</si>
  <si>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</si>
  <si>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</si>
  <si>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</si>
  <si>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</si>
  <si>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</si>
  <si>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</si>
  <si>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</si>
  <si>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</si>
  <si>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</si>
  <si>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</si>
  <si>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</si>
  <si>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</si>
  <si>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</si>
  <si>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</si>
  <si>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</si>
  <si>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</si>
  <si>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</si>
  <si>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</si>
  <si>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</si>
  <si>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</si>
  <si>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</si>
  <si>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</si>
  <si>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</si>
  <si>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</si>
  <si>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</si>
  <si>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</si>
  <si>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</si>
  <si>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</si>
  <si>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</si>
  <si>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</si>
  <si>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</si>
  <si>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</si>
  <si>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</si>
  <si>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</si>
  <si>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</si>
  <si>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</si>
  <si>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</si>
  <si>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</si>
  <si>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</si>
  <si>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</si>
  <si>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</si>
  <si>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</si>
  <si>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</si>
  <si>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</si>
  <si>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</si>
  <si>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</si>
  <si>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</si>
  <si>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</si>
  <si>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</si>
  <si>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</si>
  <si>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</si>
  <si>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</si>
  <si>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</si>
  <si>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</si>
  <si>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</si>
  <si>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</si>
  <si>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</si>
  <si>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</si>
  <si>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</si>
  <si>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</si>
  <si>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</si>
  <si>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</si>
  <si>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</si>
  <si>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</si>
  <si>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</si>
  <si>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</si>
  <si>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</si>
  <si>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</si>
  <si>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</si>
  <si>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</si>
  <si>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</si>
  <si>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</si>
  <si>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</si>
  <si>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</si>
  <si>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</si>
  <si>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</si>
  <si>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</si>
  <si>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</si>
  <si>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</si>
  <si>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</si>
  <si>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</si>
  <si>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</si>
  <si>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</si>
  <si>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</si>
  <si>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</si>
  <si>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</si>
  <si>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</si>
  <si>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</si>
  <si>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</si>
  <si>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</si>
  <si>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</si>
  <si>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</si>
  <si>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</si>
  <si>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</si>
  <si>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</si>
  <si>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</si>
  <si>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</si>
  <si>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</si>
  <si>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</si>
  <si>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</si>
  <si>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</si>
  <si>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</si>
  <si>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</si>
  <si>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</si>
  <si>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</si>
  <si>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</si>
  <si>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</si>
  <si>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</si>
  <si>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</si>
  <si>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</si>
  <si>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</si>
  <si>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</si>
  <si>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</si>
  <si>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</si>
  <si>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</si>
  <si>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</si>
  <si>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</si>
  <si>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</si>
  <si>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</si>
  <si>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</si>
  <si>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</si>
  <si>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</si>
  <si>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</si>
  <si>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</si>
  <si>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</si>
  <si>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</si>
  <si>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</si>
  <si>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</si>
  <si>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</si>
  <si>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</si>
  <si>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</si>
  <si>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</si>
  <si>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</si>
  <si>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</si>
  <si>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</si>
  <si>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</si>
  <si>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</si>
  <si>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</si>
  <si>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</si>
  <si>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</si>
  <si>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</si>
  <si>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</si>
  <si>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</si>
  <si>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</si>
  <si>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</si>
  <si>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</si>
  <si>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</si>
  <si>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</si>
  <si>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</si>
  <si>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</si>
  <si>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</si>
  <si>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</si>
  <si>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</si>
  <si>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</si>
  <si>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</si>
  <si>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</si>
  <si>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</si>
  <si>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</si>
  <si>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</si>
  <si>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</si>
  <si>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</si>
  <si>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</si>
  <si>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</si>
  <si>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</si>
  <si>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</si>
  <si>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</si>
  <si>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</si>
  <si>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</si>
  <si>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</si>
  <si>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</si>
  <si>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</si>
  <si>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</si>
  <si>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</si>
  <si>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</si>
  <si>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</si>
  <si>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</si>
  <si>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</si>
  <si>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</si>
  <si>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</si>
  <si>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</si>
  <si>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</si>
  <si>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</si>
  <si>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</si>
  <si>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</si>
  <si>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</si>
  <si>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</si>
  <si>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</si>
  <si>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</si>
  <si>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</si>
  <si>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</si>
  <si>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</si>
  <si>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</si>
  <si>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</si>
  <si>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</si>
  <si>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</si>
  <si>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</si>
  <si>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</si>
  <si>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</si>
  <si>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</si>
  <si>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</si>
  <si>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</si>
  <si>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</si>
  <si>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</si>
  <si>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</si>
  <si>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</si>
  <si>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</si>
  <si>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</si>
  <si>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</si>
  <si>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</si>
  <si>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</si>
  <si>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</si>
  <si>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</si>
  <si>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</si>
  <si>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</si>
  <si>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</si>
  <si>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</si>
  <si>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</si>
  <si>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</si>
  <si>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</si>
  <si>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</si>
  <si>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</si>
  <si>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</si>
  <si>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</si>
  <si>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</si>
  <si>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</si>
  <si>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</si>
  <si>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</si>
  <si>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</si>
  <si>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</si>
  <si>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</si>
  <si>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</si>
  <si>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</si>
  <si>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</si>
  <si>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</si>
  <si>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</si>
  <si>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</si>
  <si>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</si>
  <si>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</si>
  <si>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</si>
  <si>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</si>
  <si>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</si>
  <si>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</si>
  <si>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</si>
  <si>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</si>
  <si>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</si>
  <si>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</si>
  <si>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</si>
  <si>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</si>
  <si>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</si>
  <si>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</si>
  <si>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</si>
  <si>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</si>
  <si>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</si>
  <si>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</si>
  <si>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</si>
  <si>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</si>
  <si>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</si>
  <si>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</si>
  <si>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</si>
  <si>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</si>
  <si>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</si>
  <si>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</si>
  <si>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</si>
  <si>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</si>
  <si>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</si>
  <si>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</si>
  <si>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</si>
  <si>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</si>
  <si>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</si>
  <si>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</si>
  <si>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</si>
  <si>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</si>
  <si>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</si>
  <si>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</si>
  <si>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</si>
  <si>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</si>
  <si>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</si>
  <si>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</si>
  <si>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</si>
  <si>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</si>
  <si>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</si>
  <si>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</si>
  <si>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</si>
  <si>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</si>
  <si>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</si>
  <si>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</si>
  <si>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</si>
  <si>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</si>
  <si>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</si>
  <si>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</si>
  <si>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</si>
  <si>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</si>
  <si>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</si>
  <si>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</si>
  <si>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</si>
  <si>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</si>
  <si>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</si>
  <si>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</si>
  <si>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</si>
  <si>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</si>
  <si>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</si>
  <si>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</si>
  <si>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</si>
  <si>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</si>
  <si>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</si>
  <si>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</si>
  <si>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</si>
  <si>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</si>
  <si>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</si>
  <si>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</si>
  <si>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</si>
  <si>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</si>
  <si>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</si>
  <si>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</si>
  <si>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</si>
  <si>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</si>
  <si>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</si>
  <si>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</si>
  <si>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</si>
  <si>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</si>
  <si>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</si>
  <si>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</si>
  <si>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</si>
  <si>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</si>
  <si>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</si>
  <si>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</si>
  <si>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</si>
  <si>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</si>
  <si>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</si>
  <si>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</si>
  <si>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</si>
  <si>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</si>
  <si>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</si>
  <si>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</si>
  <si>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</si>
  <si>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</si>
  <si>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</si>
  <si>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</si>
  <si>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</si>
  <si>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</si>
  <si>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</si>
  <si>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</si>
  <si>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</si>
  <si>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</si>
  <si>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</si>
  <si>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</si>
  <si>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</si>
  <si>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</si>
  <si>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</si>
  <si>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</si>
  <si>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</si>
  <si>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</si>
  <si>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</si>
  <si>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</si>
  <si>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</si>
  <si>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</si>
  <si>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</si>
  <si>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</si>
  <si>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</si>
  <si>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</si>
  <si>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</si>
  <si>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</si>
  <si>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</si>
  <si>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</si>
  <si>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</si>
  <si>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</si>
  <si>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</si>
  <si>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</si>
  <si>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</si>
  <si>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</si>
  <si>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</si>
  <si>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</si>
  <si>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</si>
  <si>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</si>
  <si>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</si>
  <si>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</si>
  <si>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</si>
  <si>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</si>
  <si>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</si>
  <si>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</si>
  <si>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</si>
  <si>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</si>
  <si>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</si>
  <si>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</si>
  <si>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</si>
  <si>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</si>
  <si>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</si>
  <si>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</si>
  <si>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</si>
  <si>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</si>
  <si>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</si>
  <si>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</si>
  <si>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</si>
  <si>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</si>
  <si>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</si>
  <si>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</si>
  <si>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</si>
  <si>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</si>
  <si>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</si>
  <si>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</si>
  <si>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</si>
  <si>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</si>
  <si>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</si>
  <si>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</si>
  <si>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</si>
  <si>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</si>
  <si>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</si>
  <si>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</si>
  <si>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</si>
  <si>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</si>
  <si>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</si>
  <si>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</si>
  <si>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</si>
  <si>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</si>
  <si>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</si>
  <si>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</si>
  <si>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</si>
  <si>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</si>
  <si>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</si>
  <si>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</si>
  <si>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</si>
  <si>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</si>
  <si>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</si>
  <si>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</si>
  <si>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</si>
  <si>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</si>
  <si>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</si>
  <si>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</si>
  <si>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</si>
  <si>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</si>
  <si>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</si>
  <si>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</si>
  <si>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</si>
  <si>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</si>
  <si>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</si>
  <si>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</si>
  <si>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</si>
  <si>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</si>
  <si>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</si>
  <si>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</si>
  <si>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</si>
  <si>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</si>
  <si>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</si>
  <si>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</si>
  <si>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</si>
  <si>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</si>
  <si>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</si>
  <si>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</si>
  <si>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</si>
  <si>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</si>
  <si>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</si>
  <si>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</si>
  <si>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</si>
  <si>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</si>
  <si>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</si>
  <si>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</si>
  <si>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</si>
  <si>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</si>
  <si>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</si>
  <si>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</si>
  <si>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</si>
  <si>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</si>
  <si>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</si>
  <si>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</si>
  <si>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</si>
  <si>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</si>
  <si>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</si>
  <si>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</si>
  <si>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</si>
  <si>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</si>
  <si>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</si>
  <si>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</si>
  <si>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</si>
  <si>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</si>
  <si>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</si>
  <si>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</si>
  <si>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</si>
  <si>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</si>
  <si>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</si>
  <si>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</si>
  <si>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</si>
  <si>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</si>
  <si>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</si>
  <si>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</si>
  <si>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</si>
  <si>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</si>
  <si>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</si>
  <si>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</si>
  <si>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</si>
  <si>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</si>
  <si>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</si>
  <si>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</si>
  <si>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</si>
  <si>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</si>
  <si>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</si>
  <si>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</si>
  <si>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</si>
  <si>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</si>
  <si>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</si>
  <si>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</si>
  <si>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</si>
  <si>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</si>
  <si>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</si>
  <si>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</si>
  <si>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</si>
  <si>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</si>
  <si>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</si>
  <si>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</si>
  <si>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</si>
  <si>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</si>
  <si>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</si>
  <si>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</si>
  <si>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</si>
  <si>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</si>
  <si>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</si>
  <si>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</si>
  <si>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</si>
  <si>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</si>
  <si>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</si>
  <si>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</si>
  <si>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</si>
  <si>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</si>
  <si>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</si>
  <si>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</si>
  <si>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</si>
  <si>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</si>
  <si>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</si>
  <si>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</si>
  <si>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</si>
  <si>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</si>
  <si>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</si>
  <si>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</si>
  <si>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</si>
  <si>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</si>
  <si>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</si>
  <si>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</si>
  <si>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</si>
  <si>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</si>
  <si>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</si>
  <si>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</si>
  <si>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</si>
  <si>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</si>
  <si>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</si>
  <si>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</si>
  <si>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</si>
  <si>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</si>
  <si>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</si>
  <si>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</si>
  <si>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</si>
  <si>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</si>
  <si>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</si>
  <si>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</si>
  <si>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</si>
  <si>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</si>
  <si>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</si>
  <si>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</si>
  <si>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</si>
  <si>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</si>
  <si>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</si>
  <si>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</si>
  <si>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</si>
  <si>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</si>
  <si>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</si>
  <si>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</si>
  <si>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</si>
  <si>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</si>
  <si>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</si>
  <si>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</si>
  <si>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</si>
  <si>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</si>
  <si>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</si>
  <si>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</si>
  <si>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</si>
  <si>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</si>
  <si>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</si>
  <si>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</si>
  <si>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</si>
  <si>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</si>
  <si>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</si>
  <si>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</si>
  <si>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</si>
  <si>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</si>
  <si>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</si>
  <si>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</si>
  <si>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</si>
  <si>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</si>
  <si>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</si>
  <si>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</si>
  <si>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</si>
  <si>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</si>
  <si>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</si>
  <si>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</si>
  <si>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</si>
  <si>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</si>
  <si>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</si>
  <si>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</si>
  <si>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</si>
  <si>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</si>
  <si>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</si>
  <si>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</si>
  <si>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</si>
  <si>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</si>
  <si>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</si>
  <si>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</si>
  <si>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</si>
  <si>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</si>
  <si>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</si>
  <si>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</si>
  <si>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</si>
  <si>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</si>
  <si>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</si>
  <si>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</si>
  <si>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</si>
  <si>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</si>
  <si>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</si>
  <si>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</si>
  <si>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</si>
  <si>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</si>
  <si>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</si>
  <si>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</si>
  <si>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</si>
  <si>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</si>
  <si>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</si>
  <si>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</si>
  <si>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</si>
  <si>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</si>
  <si>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</si>
  <si>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</si>
  <si>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</si>
  <si>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</si>
  <si>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</si>
  <si>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</si>
  <si>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</si>
  <si>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</si>
  <si>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</si>
  <si>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</si>
  <si>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</si>
  <si>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</si>
  <si>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</si>
  <si>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</si>
  <si>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</si>
  <si>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</si>
  <si>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</si>
  <si>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</si>
  <si>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</si>
  <si>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</si>
  <si>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</si>
  <si>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</si>
  <si>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</si>
  <si>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</si>
  <si>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</si>
  <si>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</si>
  <si>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</si>
  <si>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</si>
  <si>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</si>
  <si>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</si>
  <si>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</si>
  <si>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</si>
  <si>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</si>
  <si>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</si>
  <si>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</si>
  <si>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</si>
  <si>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</si>
  <si>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</si>
  <si>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</si>
  <si>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</si>
  <si>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</si>
  <si>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</si>
  <si>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</si>
  <si>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</si>
  <si>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</si>
  <si>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</si>
  <si>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</si>
  <si>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</si>
  <si>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</si>
  <si>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</si>
  <si>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</si>
  <si>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</si>
  <si>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</si>
  <si>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</si>
  <si>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</si>
  <si>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</si>
  <si>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</si>
  <si>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</si>
  <si>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</si>
  <si>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</si>
  <si>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</si>
  <si>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</si>
  <si>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</si>
  <si>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</si>
  <si>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</si>
  <si>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</si>
  <si>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</si>
  <si>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</si>
  <si>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</si>
  <si>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</si>
  <si>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</si>
  <si>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</si>
  <si>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</si>
  <si>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</si>
  <si>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</si>
  <si>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</si>
  <si>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</si>
  <si>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</si>
  <si>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</si>
  <si>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</si>
  <si>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</si>
  <si>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</si>
  <si>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</si>
  <si>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</si>
  <si>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</si>
  <si>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</si>
  <si>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</si>
  <si>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</si>
  <si>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</si>
  <si>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</si>
  <si>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</si>
  <si>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</si>
  <si>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</si>
  <si>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</si>
  <si>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</si>
  <si>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</si>
  <si>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</si>
  <si>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</si>
  <si>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</si>
  <si>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</si>
  <si>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</si>
  <si>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</si>
  <si>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</si>
  <si>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</si>
  <si>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</si>
  <si>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</si>
  <si>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</si>
  <si>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</si>
  <si>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</si>
  <si>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</si>
  <si>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</si>
  <si>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</si>
  <si>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</si>
  <si>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</si>
  <si>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</si>
  <si>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</si>
  <si>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</si>
  <si>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</si>
  <si>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</si>
  <si>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</si>
  <si>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</si>
  <si>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</si>
  <si>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</si>
  <si>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</si>
  <si>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</si>
  <si>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</si>
  <si>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</si>
  <si>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</si>
  <si>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</si>
  <si>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</si>
  <si>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</si>
  <si>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</si>
  <si>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</si>
  <si>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</si>
  <si>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</si>
  <si>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</si>
  <si>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</si>
  <si>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</si>
  <si>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</si>
  <si>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</si>
  <si>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</si>
  <si>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</si>
  <si>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</si>
  <si>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</si>
  <si>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</si>
  <si>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</si>
  <si>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</si>
  <si>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</si>
  <si>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</si>
  <si>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</si>
  <si>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</si>
  <si>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</si>
  <si>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</si>
  <si>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</si>
  <si>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</si>
  <si>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</si>
  <si>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</si>
  <si>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</si>
  <si>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</si>
  <si>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</si>
  <si>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</si>
  <si>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</si>
  <si>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</si>
  <si>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</si>
  <si>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</si>
  <si>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</si>
  <si>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</si>
  <si>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</si>
  <si>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</si>
  <si>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</si>
  <si>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</si>
  <si>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</si>
  <si>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</si>
  <si>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</si>
  <si>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</si>
  <si>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</si>
  <si>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</si>
  <si>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</si>
  <si>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</si>
  <si>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</si>
  <si>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</si>
  <si>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</si>
  <si>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</si>
  <si>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</si>
  <si>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</si>
  <si>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</si>
  <si>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</si>
  <si>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</si>
  <si>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</si>
  <si>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</si>
  <si>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</si>
  <si>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</si>
  <si>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</si>
  <si>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</si>
  <si>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</si>
  <si>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</si>
  <si>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</si>
  <si>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</si>
  <si>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</si>
  <si>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</si>
  <si>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</si>
  <si>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</si>
  <si>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</si>
  <si>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</si>
  <si>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</si>
  <si>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</si>
  <si>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</si>
  <si>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</si>
  <si>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</si>
  <si>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</si>
  <si>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</si>
  <si>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</si>
  <si>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</si>
  <si>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</si>
  <si>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</si>
  <si>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</si>
  <si>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</si>
  <si>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</si>
  <si>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</si>
  <si>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</si>
  <si>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</si>
  <si>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</si>
  <si>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</si>
  <si>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</si>
  <si>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</si>
  <si>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</si>
  <si>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</si>
  <si>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</si>
  <si>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</si>
  <si>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</si>
  <si>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</si>
  <si>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</si>
  <si>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</si>
  <si>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</si>
  <si>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</si>
  <si>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</si>
  <si>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</si>
  <si>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</si>
  <si>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</si>
  <si>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</si>
  <si>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</si>
  <si>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</si>
  <si>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</si>
  <si>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</si>
  <si>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</si>
  <si>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</si>
  <si>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</si>
  <si>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</si>
  <si>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</si>
  <si>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</si>
  <si>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</si>
  <si>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</si>
  <si>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</si>
  <si>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</si>
  <si>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</si>
  <si>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</si>
  <si>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</si>
  <si>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</si>
  <si>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</si>
  <si>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</si>
  <si>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</si>
  <si>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</si>
  <si>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</si>
  <si>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</si>
  <si>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</si>
  <si>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</si>
  <si>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</si>
  <si>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</si>
  <si>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</si>
  <si>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</si>
  <si>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</si>
  <si>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</si>
  <si>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</si>
  <si>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</si>
  <si>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</si>
  <si>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</si>
  <si>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</si>
  <si>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</si>
  <si>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</si>
  <si>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</si>
  <si>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</si>
  <si>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</si>
  <si>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</si>
  <si>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</si>
  <si>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</si>
  <si>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</si>
  <si>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</si>
  <si>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</si>
  <si>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</si>
  <si>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</si>
  <si>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</si>
  <si>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</si>
  <si>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</si>
  <si>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</si>
  <si>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</si>
  <si>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</si>
  <si>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</si>
  <si>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</si>
  <si>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</si>
  <si>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</si>
  <si>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</si>
  <si>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</si>
  <si>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</si>
  <si>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</si>
  <si>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</si>
  <si>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</si>
  <si>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</si>
  <si>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</si>
  <si>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</si>
  <si>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</si>
  <si>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</si>
  <si>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</si>
  <si>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</si>
  <si>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</si>
  <si>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</si>
  <si>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</si>
  <si>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</si>
  <si>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</si>
  <si>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</si>
  <si>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</si>
  <si>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</si>
  <si>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</si>
  <si>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</si>
  <si>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</si>
  <si>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</si>
  <si>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</si>
  <si>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</si>
  <si>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</si>
  <si>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</si>
  <si>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</si>
  <si>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</si>
  <si>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</si>
  <si>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</si>
  <si>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</si>
  <si>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</si>
  <si>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</si>
  <si>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</si>
  <si>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</si>
  <si>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</si>
  <si>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</si>
  <si>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</si>
  <si>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</si>
  <si>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</si>
  <si>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</si>
  <si>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</si>
  <si>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</si>
  <si>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</si>
  <si>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</si>
  <si>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</si>
  <si>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</si>
  <si>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</si>
  <si>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</si>
  <si>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</si>
  <si>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</si>
  <si>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</si>
  <si>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</si>
  <si>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</si>
  <si>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</si>
  <si>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</si>
  <si>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</si>
  <si>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</si>
  <si>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</si>
  <si>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</si>
  <si>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</si>
  <si>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</si>
  <si>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</si>
  <si>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</si>
  <si>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</si>
  <si>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</si>
  <si>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</si>
  <si>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</si>
  <si>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</si>
  <si>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</si>
  <si>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</si>
  <si>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</si>
  <si>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</si>
  <si>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</si>
  <si>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</si>
  <si>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</si>
  <si>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</si>
  <si>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</si>
  <si>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</si>
  <si>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</si>
  <si>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</si>
  <si>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</si>
  <si>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</si>
  <si>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</si>
  <si>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</si>
  <si>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</si>
  <si>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</si>
  <si>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</si>
  <si>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</si>
  <si>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</si>
  <si>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</si>
  <si>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</si>
  <si>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</si>
  <si>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</si>
  <si>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</si>
  <si>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</si>
  <si>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</si>
  <si>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</si>
  <si>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</si>
  <si>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</si>
  <si>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</si>
  <si>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</si>
  <si>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</si>
  <si>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</si>
  <si>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</si>
  <si>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</si>
  <si>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</si>
  <si>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</si>
  <si>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</si>
  <si>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</si>
  <si>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</si>
  <si>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</si>
  <si>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</si>
  <si>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</si>
  <si>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</si>
  <si>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</si>
  <si>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</si>
  <si>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</si>
  <si>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</si>
  <si>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</si>
  <si>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</si>
  <si>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</si>
  <si>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</si>
  <si>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</si>
  <si>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</si>
  <si>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</si>
  <si>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</si>
  <si>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</si>
  <si>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</si>
  <si>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</si>
  <si>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</si>
  <si>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</si>
  <si>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</si>
  <si>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</si>
  <si>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</si>
  <si>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</si>
  <si>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</si>
  <si>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</si>
  <si>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</si>
  <si>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</si>
  <si>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</si>
  <si>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</si>
  <si>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</si>
  <si>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</si>
  <si>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</si>
  <si>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</si>
  <si>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</si>
  <si>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</si>
  <si>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</si>
  <si>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</si>
  <si>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</si>
  <si>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</si>
  <si>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</si>
  <si>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</si>
  <si>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</si>
  <si>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</si>
  <si>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</si>
  <si>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</si>
  <si>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</si>
  <si>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</si>
  <si>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</si>
  <si>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</si>
  <si>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</si>
  <si>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</si>
  <si>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</si>
  <si>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</si>
  <si>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</si>
  <si>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</si>
  <si>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</si>
  <si>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</si>
  <si>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</si>
  <si>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</si>
  <si>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</si>
  <si>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</si>
  <si>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</si>
  <si>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</si>
  <si>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</si>
  <si>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</si>
  <si>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</si>
  <si>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</si>
  <si>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</si>
  <si>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</si>
  <si>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</si>
  <si>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</si>
  <si>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</si>
  <si>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</si>
  <si>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</si>
  <si>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</si>
  <si>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</si>
  <si>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</si>
  <si>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</si>
  <si>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</si>
  <si>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</si>
  <si>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</si>
  <si>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</si>
  <si>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</si>
  <si>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</si>
  <si>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</si>
  <si>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</si>
  <si>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</si>
  <si>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</si>
  <si>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</si>
  <si>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</si>
  <si>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</si>
  <si>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</si>
  <si>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</si>
  <si>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</si>
  <si>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</si>
  <si>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</si>
  <si>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</si>
  <si>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</si>
  <si>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</si>
  <si>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</si>
  <si>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</si>
  <si>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</si>
  <si>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</si>
  <si>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</si>
  <si>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</si>
  <si>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</si>
  <si>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</si>
  <si>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</si>
  <si>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</si>
  <si>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</si>
  <si>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</si>
  <si>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</si>
  <si>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</si>
  <si>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</si>
  <si>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</si>
  <si>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</si>
  <si>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</si>
  <si>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</si>
  <si>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</si>
  <si>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</si>
  <si>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</si>
  <si>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</si>
  <si>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</si>
  <si>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</si>
  <si>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</si>
  <si>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</si>
  <si>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</si>
  <si>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</si>
  <si>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</si>
  <si>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</si>
  <si>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</si>
  <si>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</si>
  <si>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</si>
  <si>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</si>
  <si>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</si>
  <si>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</si>
  <si>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</si>
  <si>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</si>
  <si>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</si>
  <si>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</si>
  <si>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</si>
  <si>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</si>
  <si>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</si>
  <si>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</si>
  <si>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</si>
  <si>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</si>
  <si>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</si>
  <si>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</si>
  <si>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</si>
  <si>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</si>
  <si>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</si>
  <si>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</si>
  <si>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</si>
  <si>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</si>
  <si>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</si>
  <si>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</si>
  <si>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</si>
  <si>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</si>
  <si>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</si>
  <si>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</si>
  <si>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</si>
  <si>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</si>
  <si>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</si>
  <si>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</si>
  <si>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</si>
  <si>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</si>
  <si>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</si>
  <si>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</si>
  <si>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</si>
  <si>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</si>
  <si>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</si>
  <si>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</si>
  <si>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</si>
  <si>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</si>
  <si>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</si>
  <si>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</si>
  <si>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</si>
  <si>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</si>
  <si>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</si>
  <si>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</si>
  <si>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</si>
  <si>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</si>
  <si>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</si>
  <si>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</si>
  <si>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</si>
  <si>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</si>
  <si>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</si>
  <si>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</si>
  <si>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</si>
  <si>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</si>
  <si>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</si>
  <si>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</si>
  <si>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</si>
  <si>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</si>
  <si>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</si>
  <si>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</si>
  <si>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</si>
  <si>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</si>
  <si>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</si>
  <si>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</si>
  <si>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</si>
  <si>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</si>
  <si>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</si>
  <si>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</si>
  <si>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</si>
  <si>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</si>
  <si>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</si>
  <si>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</si>
  <si>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</si>
  <si>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</si>
  <si>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</si>
  <si>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</si>
  <si>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</si>
  <si>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</si>
  <si>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</si>
  <si>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</si>
  <si>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</si>
  <si>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</si>
  <si>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</si>
  <si>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</si>
  <si>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</si>
  <si>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</si>
  <si>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</si>
  <si>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</si>
  <si>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</si>
  <si>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</si>
  <si>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</si>
  <si>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</si>
  <si>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</si>
  <si>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</si>
  <si>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</si>
  <si>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</si>
  <si>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</si>
  <si>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</si>
  <si>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</si>
  <si>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</si>
  <si>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</si>
  <si>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</si>
  <si>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</si>
  <si>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</si>
  <si>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</si>
  <si>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</si>
  <si>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</si>
  <si>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</si>
  <si>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</si>
  <si>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</si>
  <si>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</si>
  <si>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</si>
  <si>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</si>
  <si>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</si>
  <si>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</si>
  <si>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</si>
  <si>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</si>
  <si>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</si>
  <si>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</si>
  <si>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</si>
  <si>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</si>
  <si>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</si>
  <si>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</si>
  <si>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</si>
  <si>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</si>
  <si>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</si>
  <si>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</si>
  <si>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</si>
  <si>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</si>
  <si>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</si>
  <si>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</si>
  <si>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</si>
  <si>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</si>
  <si>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</si>
  <si>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</si>
  <si>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</si>
  <si>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</si>
  <si>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</si>
  <si>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</si>
  <si>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</si>
  <si>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</si>
  <si>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</si>
  <si>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</si>
  <si>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</si>
  <si>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</si>
  <si>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</si>
  <si>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</si>
  <si>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</si>
  <si>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</si>
  <si>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</si>
  <si>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</si>
  <si>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</si>
  <si>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</si>
  <si>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</si>
  <si>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</si>
  <si>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</si>
  <si>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</si>
  <si>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</si>
  <si>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</si>
  <si>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</si>
  <si>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</si>
  <si>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</si>
  <si>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</si>
  <si>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</si>
  <si>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</si>
  <si>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</si>
  <si>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</si>
  <si>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</si>
  <si>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</si>
  <si>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</si>
  <si>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</si>
  <si>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</si>
  <si>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</si>
  <si>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</si>
  <si>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</si>
  <si>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</si>
  <si>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</si>
  <si>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</si>
  <si>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</si>
  <si>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</si>
  <si>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</si>
  <si>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</si>
  <si>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</si>
  <si>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</si>
  <si>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</si>
  <si>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</si>
  <si>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</si>
  <si>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</si>
  <si>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</si>
  <si>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</si>
  <si>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</si>
  <si>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</si>
  <si>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</si>
  <si>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</si>
  <si>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</si>
  <si>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</si>
  <si>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</si>
  <si>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</si>
  <si>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</si>
  <si>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</si>
  <si>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</si>
  <si>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</si>
  <si>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</si>
  <si>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</si>
  <si>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</si>
  <si>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</si>
  <si>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</si>
  <si>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</si>
  <si>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</si>
  <si>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</si>
  <si>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</si>
  <si>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</si>
  <si>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</si>
  <si>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</si>
  <si>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</si>
  <si>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</si>
  <si>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</si>
  <si>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</si>
  <si>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</si>
  <si>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</si>
  <si>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</si>
  <si>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</si>
  <si>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</si>
  <si>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</si>
  <si>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</si>
  <si>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</si>
  <si>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</si>
  <si>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</si>
  <si>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</si>
  <si>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</si>
  <si>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</si>
  <si>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</si>
  <si>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</si>
  <si>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</si>
  <si>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</si>
  <si>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</si>
  <si>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</si>
  <si>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</si>
  <si>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</si>
  <si>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</si>
  <si>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</si>
  <si>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</si>
  <si>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</si>
  <si>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</si>
  <si>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</si>
  <si>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</si>
  <si>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</si>
  <si>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</si>
  <si>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</si>
  <si>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</si>
  <si>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</si>
  <si>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</si>
  <si>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</si>
  <si>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</si>
  <si>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</si>
  <si>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</si>
  <si>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</si>
  <si>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</si>
  <si>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</si>
  <si>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</si>
  <si>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</si>
  <si>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</si>
  <si>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</si>
  <si>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</si>
  <si>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</si>
  <si>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</si>
  <si>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</si>
  <si>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</si>
  <si>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</si>
  <si>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</si>
  <si>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</si>
  <si>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</si>
  <si>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</si>
  <si>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</si>
  <si>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</si>
  <si>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</si>
  <si>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</si>
  <si>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</si>
  <si>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</si>
  <si>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</si>
  <si>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</si>
  <si>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</si>
  <si>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</si>
  <si>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</si>
  <si>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</si>
  <si>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</si>
  <si>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</si>
  <si>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</si>
  <si>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</si>
  <si>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</si>
  <si>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</si>
  <si>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</si>
  <si>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</si>
  <si>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</si>
  <si>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</si>
  <si>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</si>
  <si>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</si>
  <si>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</si>
  <si>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</si>
  <si>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</si>
  <si>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</si>
  <si>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</si>
  <si>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</si>
  <si>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</si>
  <si>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</si>
  <si>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</si>
  <si>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</si>
  <si>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</si>
  <si>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</si>
  <si>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</si>
  <si>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</si>
  <si>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</si>
  <si>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</si>
  <si>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</si>
  <si>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</si>
  <si>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</si>
  <si>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</si>
  <si>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</si>
  <si>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</si>
  <si>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</si>
  <si>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</si>
  <si>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</si>
  <si>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</si>
  <si>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</si>
  <si>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</si>
  <si>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</si>
  <si>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</si>
  <si>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</si>
  <si>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</si>
  <si>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</si>
  <si>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</si>
  <si>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</si>
  <si>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</si>
  <si>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</si>
  <si>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</si>
  <si>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</si>
  <si>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</si>
  <si>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</si>
  <si>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</si>
  <si>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</si>
  <si>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</si>
  <si>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</si>
  <si>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</si>
  <si>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</si>
  <si>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</si>
  <si>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</si>
  <si>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</si>
  <si>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</si>
  <si>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</si>
  <si>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</si>
  <si>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</si>
  <si>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</si>
  <si>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</si>
  <si>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</si>
  <si>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</si>
  <si>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</si>
  <si>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</si>
  <si>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</si>
  <si>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</si>
  <si>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</si>
  <si>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</si>
  <si>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</si>
  <si>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</si>
  <si>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</si>
  <si>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</si>
  <si>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</si>
  <si>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</si>
  <si>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</si>
  <si>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</si>
  <si>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</si>
  <si>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</si>
  <si>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</si>
  <si>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</si>
  <si>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</si>
  <si>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</si>
  <si>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</si>
  <si>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</si>
  <si>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</si>
  <si>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</si>
  <si>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</si>
  <si>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</si>
  <si>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</si>
  <si>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</si>
  <si>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</si>
  <si>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</si>
  <si>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</si>
  <si>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</si>
  <si>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</si>
  <si>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</si>
  <si>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</si>
  <si>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</si>
  <si>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</si>
  <si>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</si>
  <si>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</si>
  <si>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</si>
  <si>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</si>
  <si>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</si>
  <si>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</si>
  <si>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</si>
  <si>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</si>
  <si>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</si>
  <si>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</si>
  <si>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</si>
  <si>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</si>
  <si>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</si>
  <si>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</si>
  <si>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</si>
  <si>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</si>
  <si>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</si>
  <si>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</si>
  <si>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</si>
  <si>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</si>
  <si>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</si>
  <si>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</si>
  <si>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</si>
  <si>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</si>
  <si>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</si>
  <si>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</si>
  <si>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</si>
  <si>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</si>
  <si>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</si>
  <si>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</si>
  <si>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</si>
  <si>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</si>
  <si>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</si>
  <si>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</si>
  <si>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</si>
  <si>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</si>
  <si>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</si>
  <si>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</si>
  <si>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</si>
  <si>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</si>
  <si>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</si>
  <si>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</si>
  <si>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</si>
  <si>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</si>
  <si>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</si>
  <si>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</si>
  <si>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</si>
  <si>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</si>
  <si>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</si>
  <si>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</si>
  <si>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</si>
  <si>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</si>
  <si>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</si>
  <si>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</si>
  <si>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</si>
  <si>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</si>
  <si>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</si>
  <si>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</si>
  <si>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</si>
  <si>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</si>
  <si>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</si>
  <si>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</si>
  <si>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</si>
  <si>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</si>
  <si>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</si>
  <si>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</si>
  <si>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</si>
  <si>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</si>
  <si>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</si>
  <si>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</si>
  <si>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</si>
  <si>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</si>
  <si>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</si>
  <si>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</si>
  <si>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</si>
  <si>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</si>
  <si>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</si>
  <si>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</si>
  <si>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</si>
  <si>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</si>
  <si>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</si>
  <si>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</si>
  <si>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</si>
  <si>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</si>
  <si>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</si>
  <si>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</si>
  <si>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</si>
  <si>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</si>
  <si>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</si>
  <si>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</si>
  <si>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</si>
  <si>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</si>
  <si>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</si>
  <si>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</si>
  <si>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</si>
  <si>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</si>
  <si>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</si>
  <si>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</si>
  <si>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</si>
  <si>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</si>
  <si>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</si>
  <si>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</si>
  <si>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</si>
  <si>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</si>
  <si>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</si>
  <si>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</si>
  <si>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</si>
  <si>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</si>
  <si>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</si>
  <si>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</si>
  <si>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</si>
  <si>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</si>
  <si>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</si>
  <si>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</si>
  <si>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</si>
  <si>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</si>
  <si>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</si>
  <si>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</si>
  <si>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</si>
  <si>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</si>
  <si>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</si>
  <si>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</si>
  <si>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</si>
  <si>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</si>
  <si>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</si>
  <si>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</si>
  <si>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</si>
  <si>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</si>
  <si>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</si>
  <si>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</si>
  <si>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</si>
  <si>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</si>
  <si>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</si>
  <si>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</si>
  <si>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</si>
  <si>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</si>
  <si>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</si>
  <si>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</si>
  <si>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</si>
  <si>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</si>
  <si>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</si>
  <si>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</si>
  <si>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</si>
  <si>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</si>
  <si>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</si>
  <si>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</si>
  <si>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</si>
  <si>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</si>
  <si>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</si>
  <si>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</si>
  <si>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</si>
  <si>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</si>
  <si>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</si>
  <si>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</si>
  <si>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</si>
  <si>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</si>
  <si>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</si>
  <si>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</si>
  <si>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</si>
  <si>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</si>
  <si>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</si>
  <si>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</si>
  <si>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</si>
  <si>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</si>
  <si>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</si>
  <si>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</si>
  <si>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</si>
  <si>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</si>
  <si>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</si>
  <si>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</si>
  <si>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</si>
  <si>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</si>
  <si>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</si>
  <si>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</si>
  <si>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</si>
  <si>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</si>
  <si>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</si>
  <si>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</si>
  <si>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</si>
  <si>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</si>
  <si>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</si>
  <si>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</si>
  <si>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</si>
  <si>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</si>
  <si>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</si>
  <si>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</si>
  <si>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</si>
  <si>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</si>
  <si>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</si>
  <si>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</si>
  <si>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</si>
  <si>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</si>
  <si>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</si>
  <si>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</si>
  <si>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</si>
  <si>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</si>
  <si>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</si>
  <si>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</si>
  <si>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</si>
  <si>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</si>
  <si>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</si>
  <si>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</si>
  <si>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</si>
  <si>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</si>
  <si>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</si>
  <si>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</si>
  <si>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</si>
  <si>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</si>
  <si>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</si>
  <si>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</si>
  <si>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</si>
  <si>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</si>
  <si>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</si>
  <si>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</si>
  <si>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</si>
  <si>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</si>
  <si>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</si>
  <si>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</si>
  <si>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</si>
  <si>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</si>
  <si>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</si>
  <si>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</si>
  <si>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</si>
  <si>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</si>
  <si>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</si>
  <si>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</si>
  <si>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</si>
  <si>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</si>
  <si>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</si>
  <si>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</si>
  <si>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</si>
  <si>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</si>
  <si>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</si>
  <si>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</si>
  <si>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</si>
  <si>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</si>
  <si>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</si>
  <si>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</si>
  <si>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</si>
  <si>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</si>
  <si>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</si>
  <si>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</si>
  <si>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</si>
  <si>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</si>
  <si>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</si>
  <si>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</si>
  <si>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</si>
  <si>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</si>
  <si>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</si>
  <si>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</si>
  <si>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</si>
  <si>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</si>
  <si>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</si>
  <si>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</si>
  <si>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</si>
  <si>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</si>
  <si>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</si>
  <si>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</si>
  <si>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</si>
  <si>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</si>
  <si>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</si>
  <si>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</si>
  <si>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</si>
  <si>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</si>
  <si>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</si>
  <si>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</si>
  <si>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</si>
  <si>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</si>
  <si>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</si>
  <si>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</si>
  <si>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</si>
  <si>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</si>
  <si>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</si>
  <si>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</si>
  <si>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</si>
  <si>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</si>
  <si>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</si>
  <si>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</si>
  <si>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</si>
  <si>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</si>
  <si>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</si>
  <si>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</si>
  <si>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</si>
  <si>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</si>
  <si>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</si>
  <si>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</si>
  <si>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</si>
  <si>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</si>
  <si>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</si>
  <si>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</si>
  <si>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</si>
  <si>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</si>
  <si>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</si>
  <si>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</si>
  <si>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</si>
  <si>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</si>
  <si>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</si>
  <si>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</si>
  <si>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</si>
  <si>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</si>
  <si>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</si>
  <si>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</si>
  <si>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</si>
  <si>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</si>
  <si>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</si>
  <si>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</si>
  <si>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</si>
  <si>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</si>
  <si>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</si>
  <si>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</si>
  <si>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</si>
  <si>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</si>
  <si>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</si>
  <si>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</si>
  <si>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</si>
  <si>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</si>
  <si>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</si>
  <si>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</si>
  <si>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</si>
  <si>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</si>
  <si>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</si>
  <si>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</si>
  <si>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</si>
  <si>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</si>
  <si>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</si>
  <si>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</si>
  <si>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</si>
  <si>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</si>
  <si>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</si>
  <si>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</si>
  <si>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</si>
  <si>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</si>
  <si>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</si>
  <si>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</si>
  <si>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</si>
  <si>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</si>
  <si>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</si>
  <si>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</si>
  <si>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</si>
  <si>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</si>
  <si>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</si>
  <si>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</si>
  <si>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</si>
  <si>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</si>
  <si>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</si>
  <si>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</si>
  <si>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</si>
  <si>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</si>
  <si>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</si>
  <si>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</si>
  <si>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</si>
  <si>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</si>
  <si>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</si>
  <si>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</si>
  <si>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</si>
  <si>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</si>
  <si>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</si>
  <si>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</si>
  <si>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</si>
  <si>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</si>
  <si>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</si>
  <si>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</si>
  <si>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</si>
  <si>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</si>
  <si>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</si>
  <si>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</si>
  <si>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</si>
  <si>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</si>
  <si>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</si>
  <si>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</si>
  <si>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</si>
  <si>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</si>
  <si>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</si>
  <si>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</si>
  <si>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</si>
  <si>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</si>
  <si>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</si>
  <si>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</si>
  <si>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</si>
  <si>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</si>
  <si>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</si>
  <si>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</si>
  <si>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</si>
  <si>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</si>
  <si>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</si>
  <si>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</si>
  <si>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</si>
  <si>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</si>
  <si>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</si>
  <si>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</si>
  <si>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</si>
  <si>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</si>
  <si>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</si>
  <si>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</si>
  <si>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</si>
  <si>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</si>
  <si>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</si>
  <si>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</si>
  <si>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</si>
  <si>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</si>
  <si>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</si>
  <si>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</si>
  <si>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</si>
  <si>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</si>
  <si>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</si>
  <si>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</si>
  <si>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</si>
  <si>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</si>
  <si>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</si>
  <si>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</si>
  <si>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</si>
  <si>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</si>
  <si>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</si>
  <si>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</si>
  <si>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</si>
  <si>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</si>
  <si>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</si>
  <si>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</si>
  <si>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</si>
  <si>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</si>
  <si>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</si>
  <si>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</si>
  <si>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</si>
  <si>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</si>
  <si>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</si>
  <si>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</si>
  <si>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</si>
  <si>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</si>
  <si>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</si>
  <si>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</si>
  <si>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</si>
  <si>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</si>
  <si>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</si>
  <si>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</si>
  <si>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</si>
  <si>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</si>
  <si>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</si>
  <si>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</si>
  <si>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</si>
  <si>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</si>
  <si>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</si>
  <si>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</si>
  <si>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</si>
  <si>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</si>
  <si>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</si>
  <si>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</si>
  <si>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</si>
  <si>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</si>
  <si>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</si>
  <si>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</si>
  <si>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</si>
  <si>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</si>
  <si>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</si>
  <si>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</si>
  <si>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</si>
  <si>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</si>
  <si>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</si>
  <si>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</si>
  <si>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</si>
  <si>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</si>
  <si>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</si>
  <si>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</si>
  <si>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</si>
  <si>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</si>
  <si>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</si>
  <si>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</si>
  <si>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</si>
  <si>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</si>
  <si>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</si>
  <si>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</si>
  <si>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</si>
  <si>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</si>
  <si>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</si>
  <si>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</si>
  <si>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</si>
  <si>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</si>
  <si>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</si>
  <si>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</si>
  <si>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</si>
  <si>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</si>
  <si>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</si>
  <si>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</si>
  <si>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</si>
  <si>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</si>
  <si>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</si>
  <si>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</si>
  <si>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</si>
  <si>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</si>
  <si>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</si>
  <si>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</si>
  <si>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</si>
  <si>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</si>
  <si>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</si>
  <si>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</si>
  <si>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</si>
  <si>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</si>
  <si>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</si>
  <si>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</si>
  <si>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</si>
  <si>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</si>
  <si>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</si>
  <si>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</si>
  <si>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</si>
  <si>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</si>
  <si>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</si>
  <si>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</si>
  <si>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</si>
  <si>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</si>
  <si>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</si>
  <si>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</si>
  <si>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</si>
  <si>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</si>
  <si>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</si>
  <si>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</si>
  <si>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</si>
  <si>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</si>
  <si>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</si>
  <si>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</si>
  <si>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</si>
  <si>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</si>
  <si>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</si>
  <si>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</si>
  <si>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</si>
  <si>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</si>
  <si>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</si>
  <si>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</si>
  <si>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</si>
  <si>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</si>
  <si>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</si>
  <si>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</si>
  <si>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</si>
  <si>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</si>
  <si>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</si>
  <si>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</si>
  <si>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</si>
  <si>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</si>
  <si>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</si>
  <si>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</si>
  <si>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</si>
  <si>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</si>
  <si>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</si>
  <si>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</si>
  <si>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</si>
  <si>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</si>
  <si>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</si>
  <si>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</si>
  <si>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</si>
  <si>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</si>
  <si>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</si>
  <si>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</si>
  <si>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</si>
  <si>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</si>
  <si>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</si>
  <si>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</si>
  <si>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</si>
  <si>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</si>
  <si>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</si>
  <si>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</si>
  <si>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</si>
  <si>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</si>
  <si>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</si>
  <si>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</si>
  <si>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</si>
  <si>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</si>
  <si>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</si>
  <si>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</si>
  <si>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</si>
  <si>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</si>
  <si>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</si>
  <si>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</si>
  <si>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</si>
  <si>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</si>
  <si>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</si>
  <si>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</si>
  <si>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</si>
  <si>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</si>
  <si>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</si>
  <si>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</si>
  <si>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</si>
  <si>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</si>
  <si>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</si>
  <si>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</si>
  <si>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</si>
  <si>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</si>
  <si>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</si>
  <si>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</si>
  <si>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</si>
  <si>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</si>
  <si>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</si>
  <si>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</si>
  <si>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</si>
  <si>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</si>
  <si>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</si>
  <si>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</si>
  <si>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</si>
  <si>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</si>
  <si>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</si>
  <si>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</si>
  <si>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</si>
  <si>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</si>
  <si>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</si>
  <si>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</si>
  <si>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</si>
  <si>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</si>
  <si>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</si>
  <si>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</si>
  <si>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</si>
  <si>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</si>
  <si>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</si>
  <si>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</si>
  <si>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</si>
  <si>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</si>
  <si>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</si>
  <si>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</si>
  <si>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</si>
  <si>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</si>
  <si>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</si>
  <si>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</si>
  <si>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</si>
  <si>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</si>
  <si>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</si>
  <si>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</si>
  <si>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</si>
  <si>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</si>
  <si>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</si>
  <si>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</si>
  <si>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</si>
  <si>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</si>
  <si>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</si>
  <si>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</si>
  <si>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</si>
  <si>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</si>
  <si>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</si>
  <si>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</si>
  <si>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</si>
  <si>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</si>
  <si>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</si>
  <si>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</si>
  <si>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</si>
  <si>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</si>
  <si>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</si>
  <si>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</si>
  <si>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</si>
  <si>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</si>
  <si>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</si>
  <si>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</si>
  <si>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</si>
  <si>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</si>
  <si>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</si>
  <si>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</si>
  <si>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</si>
  <si>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</si>
  <si>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</si>
  <si>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</si>
  <si>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</si>
  <si>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</si>
  <si>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</si>
  <si>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</si>
  <si>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</si>
  <si>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</si>
  <si>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</si>
  <si>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</si>
  <si>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</si>
  <si>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</si>
  <si>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</si>
  <si>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</si>
  <si>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</si>
  <si>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</si>
  <si>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</si>
  <si>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</si>
  <si>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</si>
  <si>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</si>
  <si>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</si>
  <si>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</si>
  <si>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</si>
  <si>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</si>
  <si>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抵押</t>
  </si>
  <si>
    <t>房地产抵押价值</t>
  </si>
  <si>
    <t>1#</t>
    <phoneticPr fontId="3" type="noConversion"/>
  </si>
  <si>
    <t>2#</t>
    <phoneticPr fontId="3" type="noConversion"/>
  </si>
  <si>
    <t>3#</t>
  </si>
  <si>
    <t>4#</t>
  </si>
  <si>
    <t>5#-1</t>
    <phoneticPr fontId="3" type="noConversion"/>
  </si>
  <si>
    <t>5#-2</t>
    <phoneticPr fontId="3" type="noConversion"/>
  </si>
  <si>
    <t>6#</t>
    <phoneticPr fontId="3" type="noConversion"/>
  </si>
  <si>
    <t>7#</t>
    <phoneticPr fontId="3" type="noConversion"/>
  </si>
  <si>
    <t>8#</t>
    <phoneticPr fontId="3" type="noConversion"/>
  </si>
  <si>
    <t>9#</t>
    <phoneticPr fontId="3" type="noConversion"/>
  </si>
  <si>
    <t>是</t>
  </si>
  <si>
    <t>地上</t>
  </si>
  <si>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</si>
  <si>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</si>
  <si>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</si>
  <si>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</si>
  <si>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</si>
  <si>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</si>
  <si>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</si>
  <si>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</si>
  <si>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</si>
  <si>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</si>
  <si>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</si>
  <si>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</si>
  <si>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</si>
  <si>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</si>
  <si>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</si>
  <si>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</si>
  <si>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</si>
  <si>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</si>
  <si>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</si>
  <si>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</si>
  <si>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天津港保税区临港区域渤海四十路以东、渭河道以北</t>
  </si>
  <si>
    <t>天津市</t>
  </si>
  <si>
    <t>工业用地</t>
  </si>
  <si>
    <t>≥1.0</t>
  </si>
  <si>
    <t>挂牌</t>
  </si>
  <si>
    <t>2021-06-23</t>
  </si>
  <si>
    <t>天津北合生物科技有限公司</t>
  </si>
  <si>
    <t>0星</t>
  </si>
  <si>
    <t>天津滨海高新区渤龙湖科技园</t>
  </si>
  <si>
    <t>2021-06-02</t>
  </si>
  <si>
    <t>海泰(天津)智能制造有限公司</t>
  </si>
  <si>
    <t>中新天津生态城(原中心渔港区域内)</t>
  </si>
  <si>
    <t>＞1.0,≤2.0</t>
  </si>
  <si>
    <t>仓储用地</t>
  </si>
  <si>
    <t>2021-05-26</t>
  </si>
  <si>
    <t>嘉成泰(天津)商业有限公司</t>
  </si>
  <si>
    <t>嘉盛泰(天津)商业有限公司</t>
  </si>
  <si>
    <t>嘉信泰(天津)商业有限公司</t>
  </si>
  <si>
    <t>滨海新区中塘工业区</t>
  </si>
  <si>
    <t>≥0.7,≤1.2</t>
  </si>
  <si>
    <t>2021-05-19</t>
  </si>
  <si>
    <t>天津启泰机电设备有限公司</t>
  </si>
  <si>
    <t>≥0.7,≤1.5</t>
  </si>
  <si>
    <t>天津青航科技发展有限公司</t>
  </si>
  <si>
    <t>空港经济区纬二道以北</t>
  </si>
  <si>
    <t>住宅用地</t>
  </si>
  <si>
    <t>＞1.0,≤1.5</t>
  </si>
  <si>
    <t>城镇住宅用地</t>
  </si>
  <si>
    <t>第一批</t>
  </si>
  <si>
    <t>2021-05-14</t>
  </si>
  <si>
    <t>天津熙铭供应链服务有限公司</t>
  </si>
  <si>
    <t>4星</t>
  </si>
  <si>
    <t>滨海新区塘沽新城镇津益道以北</t>
  </si>
  <si>
    <t>综合用地(含住宅)</t>
  </si>
  <si>
    <t>＞1.0,≤1.6</t>
  </si>
  <si>
    <t>天津滨悦房地产开发有限公司</t>
  </si>
  <si>
    <t>2星</t>
  </si>
  <si>
    <t>渤龙湖科技园</t>
  </si>
  <si>
    <t>城镇住宅、商服</t>
  </si>
  <si>
    <t>天津泽信正和房地产开发有限公司</t>
  </si>
  <si>
    <t>空港经济区东八道以西</t>
  </si>
  <si>
    <t>大连同岳投资管理有限公司</t>
  </si>
  <si>
    <t>3星</t>
  </si>
  <si>
    <t>天津经开区商务片区迎达路以东</t>
  </si>
  <si>
    <t>住1、2＞1.0,≤2.9;住3、5＞1.0,≤2.0;住4＞1.0,≤2.3</t>
  </si>
  <si>
    <t>天津海晶万创房地产开发有限公司</t>
  </si>
  <si>
    <t>天津经开区西区新柏路以东,康慧街以南</t>
  </si>
  <si>
    <t>商业/办公用地</t>
  </si>
  <si>
    <t>≤3</t>
  </si>
  <si>
    <t>商业服务业设施用地</t>
  </si>
  <si>
    <t>2021-05-12</t>
  </si>
  <si>
    <t>康希诺生物股份公司</t>
  </si>
  <si>
    <t>天津港保税区临港区域汉江道以北</t>
  </si>
  <si>
    <t>零售商业用地-加油加气站用地</t>
  </si>
  <si>
    <t>2021-04-28</t>
  </si>
  <si>
    <t>中石化瑞达(天津)能源科技有限公司</t>
  </si>
  <si>
    <t>1星</t>
  </si>
  <si>
    <t>天津开发区现代产业园</t>
  </si>
  <si>
    <t>2021-04-14</t>
  </si>
  <si>
    <t>天津开发区慧谷投资发展有限公司</t>
  </si>
  <si>
    <t>海世盛通冷链物流(天津)有限公司</t>
  </si>
  <si>
    <t>天津空港经济区西十四道以南</t>
  </si>
  <si>
    <t>加油加气站用地</t>
  </si>
  <si>
    <t>中新天津生态城(原旅游区区域内)</t>
  </si>
  <si>
    <t>2021-03-31</t>
  </si>
  <si>
    <t>天津美腾科技股份有限公司</t>
  </si>
  <si>
    <t>天津开发区东区</t>
  </si>
  <si>
    <t>天津开发区三发中拓模塑科技有限公司</t>
  </si>
  <si>
    <t>天津开发区西区</t>
  </si>
  <si>
    <t>天津雀巢普瑞纳宠物食品有限公司</t>
  </si>
  <si>
    <t>天津开发区南港工业区</t>
  </si>
  <si>
    <t>≥0.5,≤1.0</t>
  </si>
  <si>
    <t>仓储</t>
  </si>
  <si>
    <t>中国石化集团商业储备有限公司天津分公司</t>
  </si>
  <si>
    <t>天津港南疆港区东六路以西</t>
  </si>
  <si>
    <t>其它用地</t>
  </si>
  <si>
    <t>≥0.01,≤1.5</t>
  </si>
  <si>
    <t>港口码头用地</t>
  </si>
  <si>
    <t>国家管网集团天津液化天然气有限公司</t>
  </si>
  <si>
    <t>天津港保税区空港经济区津北路以北</t>
  </si>
  <si>
    <t>2021-03-24</t>
  </si>
  <si>
    <t>海天集团(天津)投资发展有限公司</t>
  </si>
  <si>
    <t>17号住宅、17号商业、17号幼儿园</t>
  </si>
  <si>
    <t>住宅＞1.0,≤2.0;商业≤1.0;幼儿园≤0.7</t>
  </si>
  <si>
    <t>城镇住宅用地、商服用地、教育用地</t>
  </si>
  <si>
    <t>金新城置业集团有限公司</t>
  </si>
  <si>
    <t>5星</t>
  </si>
  <si>
    <t>2021-03-10</t>
  </si>
  <si>
    <t>慧捷项目管理(天津)有限公司</t>
  </si>
  <si>
    <t>天津港保税区临港区域渤海四十路与渭河道交口</t>
  </si>
  <si>
    <t>≥0.5,≤1.5</t>
  </si>
  <si>
    <t>天津滨海新区金正阳物流有限公司</t>
  </si>
  <si>
    <t>天津经开区西区南大街以北、冬旭路以西</t>
  </si>
  <si>
    <t>a、b、c、d地块:＞1.0,≤1.5;e≤1.0</t>
  </si>
  <si>
    <t>城镇住宅用地、商服用地</t>
  </si>
  <si>
    <t>天津兴睿房地产开发有限公司</t>
  </si>
  <si>
    <t>天津飞旋科技股份有限公司</t>
  </si>
  <si>
    <t>天津开发区现代产业区</t>
  </si>
  <si>
    <t>≥0.5,≤2.0</t>
  </si>
  <si>
    <t>多隆(天津)国际物流有限公司</t>
  </si>
  <si>
    <t>天津凯莱英制药有限公司</t>
  </si>
  <si>
    <t>天津港保税区海港区域海滨十一路以东</t>
  </si>
  <si>
    <t>2021-03-03</t>
  </si>
  <si>
    <t>天津奥顺华懋冷链物流有限公司</t>
  </si>
  <si>
    <t>东疆港区北京道以北,澳洲路以西</t>
  </si>
  <si>
    <t>≥0.01,≤0.6</t>
  </si>
  <si>
    <t>天津港东疆建设开发有限公司</t>
  </si>
  <si>
    <t>天津泽通产业园发展有限公司</t>
  </si>
  <si>
    <t>天津开发区一汽大众华北生产基地</t>
  </si>
  <si>
    <t>2021-02-24</t>
  </si>
  <si>
    <t>天津奕力汽车装饰有限公司</t>
  </si>
  <si>
    <t>2021-02-10</t>
  </si>
  <si>
    <t>天津亿金房地产开发有限公司</t>
  </si>
  <si>
    <t>滨海新区塘沽欣展道以北、嘉丰路以西</t>
  </si>
  <si>
    <t>交通服务场站用地(社会停车场)</t>
  </si>
  <si>
    <t>2021-02-07</t>
  </si>
  <si>
    <t>钟荣</t>
  </si>
  <si>
    <t>天津滨海高新区京津合作示范区</t>
  </si>
  <si>
    <t>≥1.0,≤1.5</t>
  </si>
  <si>
    <t>2021-01-27</t>
  </si>
  <si>
    <t>碧家顺厨科技(天津)有限公司</t>
  </si>
  <si>
    <t>天津滨海高新区华苑科技园</t>
  </si>
  <si>
    <t>≥1.0,≤1.7</t>
  </si>
  <si>
    <t>三角科技(天津)有限公司</t>
  </si>
  <si>
    <t>恒大恒驰新能源汽车(天津)有限公司</t>
  </si>
  <si>
    <t>天津港北疆港区</t>
  </si>
  <si>
    <t>≤1.0</t>
  </si>
  <si>
    <t>2021-01-20</t>
  </si>
  <si>
    <t>天津克运国际物流集团有限公司</t>
  </si>
  <si>
    <t>天津港保税区临港区域渤海十二北路以北</t>
  </si>
  <si>
    <t>≥0.6</t>
  </si>
  <si>
    <t>2021-01-13</t>
  </si>
  <si>
    <t>液化空气天津滨海有限公司</t>
  </si>
  <si>
    <t>0.5-2.0</t>
  </si>
  <si>
    <t>2021-01-06</t>
  </si>
  <si>
    <t>中国石化集团石油商业储备有限公司天津分公司</t>
  </si>
  <si>
    <t>滨海新区胡家园街</t>
  </si>
  <si>
    <t>a地块＞1.0且≤2.7;b地块＞1.0且≤2.2;c地块≤0.8</t>
  </si>
  <si>
    <t>A、B地块土地用途为城镇住宅用地;C地块土地用途为科教用地</t>
  </si>
  <si>
    <t>2020-12-30</t>
  </si>
  <si>
    <t>天津万鸿达房地产开发有限公司</t>
  </si>
  <si>
    <t>滨海新区中部新城北起步区金岸六道以南、银河一路以西</t>
  </si>
  <si>
    <t>＞1.0且≤1.6</t>
  </si>
  <si>
    <t>天津云璟房地产开发有限公司</t>
  </si>
  <si>
    <t>滨海新区南片区大港中塘镇工业东区安港三路以西、板厂路以北</t>
  </si>
  <si>
    <t>0.7-1.2</t>
  </si>
  <si>
    <t>天津快乐门业有限公司</t>
  </si>
  <si>
    <t>天津滨海高新区华苑科技园内</t>
  </si>
  <si>
    <t>＞1.0且≤2.5</t>
  </si>
  <si>
    <t>天津波汇光电技术有限公司</t>
  </si>
  <si>
    <t>天津开发区西区</t>
    <phoneticPr fontId="140" type="noConversion"/>
  </si>
  <si>
    <t>a地块＞1.0且≤2.0;b地块＞1.0且≤2.0;c地块≤0.9</t>
  </si>
  <si>
    <t>A、B地块土地用途为城镇住宅用地;C地块土地用途为教育用地</t>
  </si>
  <si>
    <t>天津滨海高新区渤龙湖科技园内</t>
  </si>
  <si>
    <t>中国兵器工业第五九研究所</t>
  </si>
  <si>
    <t>天津东疆保税港区澳洲北路和拉萨路交口东南侧</t>
  </si>
  <si>
    <t>0.01-2.00</t>
  </si>
  <si>
    <t>天津万疆冷链仓储有限公司</t>
  </si>
  <si>
    <t>滨海新区大港港东新城港东七道以南、海景四路以东</t>
  </si>
  <si>
    <t>＞1.0且≤1.1</t>
  </si>
  <si>
    <t>2020-12-23</t>
  </si>
  <si>
    <t>天津本泰房地产开发有限公司</t>
  </si>
  <si>
    <t>滨海新区南片区港东新城海景六路以东,港东五道以北</t>
  </si>
  <si>
    <t>天津金石融拓房地产开发有限公司</t>
  </si>
  <si>
    <t>滨海高新区海洋科技园内</t>
  </si>
  <si>
    <t>≤0.2</t>
  </si>
  <si>
    <t>天津滨海新区渤油石化产品有限公司</t>
  </si>
  <si>
    <t>滨海新区大港振兴路南侧、凯旋苑幼儿园西侧</t>
  </si>
  <si>
    <t>≤2.0</t>
  </si>
  <si>
    <t>商服用地</t>
  </si>
  <si>
    <t>天津港联华商贸有限公司</t>
  </si>
  <si>
    <t>天津港保税区空港经济区津北路以南</t>
  </si>
  <si>
    <t>德新仓储服务(天津)有限公司</t>
  </si>
  <si>
    <t>滨海新区中部新城南起步区永明道以北,中吉路以东</t>
  </si>
  <si>
    <t>≥1.0且≤1.3</t>
  </si>
  <si>
    <t>2020-12-16</t>
  </si>
  <si>
    <t>天津海景新都置业有限公司</t>
  </si>
  <si>
    <t>汉沽瑞通路以东</t>
  </si>
  <si>
    <t>0.7-*1.5</t>
  </si>
  <si>
    <t>天津德丰利胜环保科技有限公司</t>
  </si>
  <si>
    <t>滨海新区塘沽区域</t>
  </si>
  <si>
    <t>c＞1.0且≤2.0;d≤0.8</t>
  </si>
  <si>
    <t>A公园与绿地;B交通服务场站用地;C城镇住宅用地;D教育用地;E公园与绿地;F城镇村道路用地;G城镇村道路用地;H公园与绿地;I公园与绿地;J水域及水利设施用地;K水域及水利设施用地</t>
  </si>
  <si>
    <t>天津港城房地产经营有限公司</t>
  </si>
  <si>
    <t>滨海中关村科技园</t>
  </si>
  <si>
    <t>＞1.0且≤1.7</t>
  </si>
  <si>
    <t>2020-12-11</t>
  </si>
  <si>
    <t>天津滨海新区建投房地产开发有限公司</t>
  </si>
  <si>
    <t>天津港保税区空港经济区西十一道以南、中心大道以西</t>
  </si>
  <si>
    <t>≥1.3</t>
  </si>
  <si>
    <t>2020-12-09</t>
  </si>
  <si>
    <t>上海复地真金实业发展有限公司</t>
  </si>
  <si>
    <t>滨海高新区渤龙湖科技园</t>
  </si>
  <si>
    <t>＞1.0且≤1.5</t>
  </si>
  <si>
    <t>城镇住宅、商服用地</t>
  </si>
  <si>
    <t>天津博广置业有限公司</t>
  </si>
  <si>
    <t>≤2.5</t>
  </si>
  <si>
    <t>天津海明置业有限公司</t>
  </si>
  <si>
    <t>天津万锦溪房地产开发有限公司</t>
  </si>
  <si>
    <t>滨海高新区渤龙湖科技园内</t>
  </si>
  <si>
    <t>a≤0.8;b＞1.0且≤1.5</t>
  </si>
  <si>
    <t>A教育用地;B城镇住宅、商服用地</t>
  </si>
  <si>
    <t>天津港保税区海港区域海滨十五路以西</t>
  </si>
  <si>
    <t>1.0-1.2</t>
  </si>
  <si>
    <t>2020-12-02</t>
  </si>
  <si>
    <t>益海嘉里食品工业(天津)有限公司</t>
  </si>
  <si>
    <t>天津空港经济区纬一路以南、经四路以东</t>
  </si>
  <si>
    <t>a＞1.0且≤1.4;b＞1.0且≤1.3;c＞1.0且≤1.5;e≤1.0</t>
  </si>
  <si>
    <t>A城镇住宅用地;B城镇住宅用地;C城镇住宅用地;D公园与绿地;E教育用地;F城镇村道路用地;G城镇村道路用地</t>
  </si>
  <si>
    <t>天津港保税区临港区域渤海三十二路与黄河道交口</t>
  </si>
  <si>
    <t>≥0.7</t>
  </si>
  <si>
    <t>深蓝(天津)智能制造有限责任公司</t>
  </si>
  <si>
    <t>滨海高新区华苑科技园内</t>
  </si>
  <si>
    <t>a＞1.0且≤2.0;b≤2.0;c≤1.0;d≤1.5</t>
  </si>
  <si>
    <t>A城镇住宅用地;B商服用地;C教育用地;D医疗卫生用地</t>
  </si>
  <si>
    <t>天津瑞明商业管理有限公司</t>
  </si>
  <si>
    <t>天津港保税区空港经济区航天路以东</t>
  </si>
  <si>
    <t>1.5-2.5</t>
  </si>
  <si>
    <t>天津天保建设发展有限公司</t>
  </si>
  <si>
    <t>滨海新区中部新城南起步区中天路以东,世纪大道以南</t>
  </si>
  <si>
    <t>≤0.4</t>
  </si>
  <si>
    <t>零售商业用地(加油加气站用地)</t>
  </si>
  <si>
    <t>天津长芦海晶集团有限公司</t>
  </si>
  <si>
    <t>滨海新区大港石化产业园区凯旋街西,园区供热中心北侧</t>
  </si>
  <si>
    <t>1.0﹣1.2</t>
  </si>
  <si>
    <t>天津洁诚洗涤科技有限公司</t>
  </si>
  <si>
    <t>中新天津生态城南部片区</t>
  </si>
  <si>
    <t>＞1.0且≤1.11</t>
  </si>
  <si>
    <t>2020-10-28</t>
  </si>
  <si>
    <t>天津市远拓置业有限公司</t>
  </si>
  <si>
    <t>生态城中部片区</t>
  </si>
  <si>
    <t>≤2.8</t>
  </si>
  <si>
    <t>教育用地</t>
  </si>
  <si>
    <t>中新生态城不动产登记中心</t>
  </si>
  <si>
    <t>天津经济技术开发区中区</t>
  </si>
  <si>
    <t>泰杏供应链管理(天津)有限公司</t>
  </si>
  <si>
    <t>华源瑞杰智能包装(天津)有限公司</t>
  </si>
  <si>
    <t>≤3.2</t>
  </si>
  <si>
    <t>中新天津生态城</t>
  </si>
  <si>
    <t>≤5.4</t>
  </si>
  <si>
    <t>商服用地、城镇住宅用地</t>
  </si>
  <si>
    <t>2020-10-21</t>
  </si>
  <si>
    <t>天津生态城投资开发有限公司</t>
  </si>
  <si>
    <t>≤0.7</t>
  </si>
  <si>
    <t>教育用地(宜建内容为幼儿园)</t>
  </si>
  <si>
    <t>纳通医用防护器材(天津)有限公司</t>
  </si>
  <si>
    <t>＞1.0且≤1.2</t>
  </si>
  <si>
    <t>商服用地(宜建内容为社区中心)</t>
  </si>
  <si>
    <t>天津联东金淇实业有限公司</t>
  </si>
  <si>
    <t>≤0.8</t>
  </si>
  <si>
    <t>教育用地(宜建内容为小学)</t>
  </si>
  <si>
    <t>2020-10-14</t>
  </si>
  <si>
    <t>滨海新区开发区中区纺一路以东、济荣街以南</t>
  </si>
  <si>
    <t>≤1.7</t>
  </si>
  <si>
    <t>其他商服用地</t>
  </si>
  <si>
    <t>华电国际电力股份有限公司天津开发区分公司</t>
  </si>
  <si>
    <t>天津港保税区空港经济区经一路以西</t>
    <phoneticPr fontId="140" type="noConversion"/>
  </si>
  <si>
    <t>0.7-1.5</t>
  </si>
  <si>
    <t>2020-09-30</t>
  </si>
  <si>
    <t>天津悦鸣腾宇通用机械设备有限公司</t>
  </si>
  <si>
    <t>天津滨海高新区海洋科技园内</t>
  </si>
  <si>
    <t>天津市海洋高新技术开发有限公司</t>
  </si>
  <si>
    <t>天津港保税区空港经济区西五道以南</t>
  </si>
  <si>
    <t>天津津航计算技术研究所</t>
  </si>
  <si>
    <t>a地块＞1.0,≤2.0;b地块＞1.0,≤2.0</t>
  </si>
  <si>
    <t>2020-09-16</t>
  </si>
  <si>
    <t>天津生态城产业园发展有限公司</t>
  </si>
  <si>
    <t>0.6-1.0</t>
  </si>
  <si>
    <t>天津滨海新区恩碧涂料制造有限公司</t>
  </si>
  <si>
    <t>0.6-1.5</t>
  </si>
  <si>
    <t>新丽华(天津)涂料有限公司</t>
  </si>
  <si>
    <t>＞1.0且≤2.0</t>
  </si>
  <si>
    <t>2020-09-09</t>
  </si>
  <si>
    <t>中农批(天津)冷链物流有限公司</t>
  </si>
  <si>
    <t>丹娜(天津)生物科技股份有限公司</t>
  </si>
  <si>
    <t>滨海新区大港万欣街东侧、金源路北侧</t>
  </si>
  <si>
    <t>2020-09-02</t>
  </si>
  <si>
    <t>中石化北化院(天津)科技发展有限公司</t>
  </si>
  <si>
    <t>天津港保税区空港经济区纬五道以南</t>
  </si>
  <si>
    <t>0.7-2.0</t>
  </si>
  <si>
    <t>天津红美供应链科技有限公司</t>
  </si>
  <si>
    <t>天津红居供应链科技有限公司</t>
  </si>
  <si>
    <t>天津滨海高新区滨海科技园内</t>
  </si>
  <si>
    <t>≥1.0且≤2.5</t>
  </si>
  <si>
    <t>2020-08-19</t>
  </si>
  <si>
    <t>天津滨海环泰科技发展有限公司</t>
  </si>
  <si>
    <t>≥1.0且≤2.0</t>
  </si>
  <si>
    <t>2020-08-12</t>
  </si>
  <si>
    <t>金三冷链物流(天津)有限公司</t>
  </si>
  <si>
    <t>0.5-1.5</t>
  </si>
  <si>
    <t>中石化润滑油(天津)有限公司</t>
  </si>
  <si>
    <t>天津未来科技城京津合作示范区内</t>
  </si>
  <si>
    <t>≥1.0且≤1.5</t>
  </si>
  <si>
    <t>佳晟(天津)金属制品有限公司</t>
  </si>
  <si>
    <t>中新天津生态城北部片区</t>
  </si>
  <si>
    <t>107-02地块＞1.5;107-05地块＞1.5</t>
  </si>
  <si>
    <t>2020-07-22</t>
  </si>
  <si>
    <t>天津普丰仓储服务有限公司</t>
  </si>
  <si>
    <t>首创经中(天津)投资有限公司</t>
  </si>
  <si>
    <t>天津港南疆港区南航东路以南</t>
  </si>
  <si>
    <t>0.01-0.35</t>
  </si>
  <si>
    <t>2020-07-15</t>
  </si>
  <si>
    <t>中海油天津液化天然气有限责任公司</t>
  </si>
  <si>
    <t>2020-07-01</t>
  </si>
  <si>
    <t>天津空港经济区环河南路与航海路交口</t>
  </si>
  <si>
    <t>天津奥源骏康医疗器械(集团)有限公司</t>
  </si>
  <si>
    <t>＞0.7且≤1.5</t>
  </si>
  <si>
    <t>天津一汽丰田汽车有限公司新能源分公司</t>
  </si>
  <si>
    <t>天津空港经济区中环西路以南</t>
  </si>
  <si>
    <t>天津鑫隆空港科技有限公司</t>
  </si>
  <si>
    <t>2020-06-24</t>
  </si>
  <si>
    <t>天津盛华汽车零部件制造有限公司</t>
  </si>
  <si>
    <t>天津港保税区海港区域东方大道以南、海滨八路以西</t>
  </si>
  <si>
    <t>2020-06-10</t>
  </si>
  <si>
    <t>悦达北方实业发展(天津)有限公司</t>
  </si>
  <si>
    <t>天津空港经济区经五路以西</t>
  </si>
  <si>
    <t>滨海高新区滨海科技园内</t>
  </si>
  <si>
    <t>2020-05-27</t>
  </si>
  <si>
    <t>天津腾讯网络技术有限公司</t>
  </si>
  <si>
    <t>天津津荣天宇精密机械股份有限公司</t>
  </si>
  <si>
    <t>滨海高新区滨海科技园</t>
  </si>
  <si>
    <t>滨海高新区未来科技城内</t>
  </si>
  <si>
    <t>≥1.0且≤1.7</t>
  </si>
  <si>
    <t>2020-05-20</t>
  </si>
  <si>
    <t>天津旗滨节能玻璃有限公司</t>
  </si>
  <si>
    <t>2020-05-13</t>
  </si>
  <si>
    <t>天津太平洋传动科技有限公司</t>
  </si>
  <si>
    <t>天津开发区逸仙园工业区</t>
  </si>
  <si>
    <t>0.8-2.0</t>
  </si>
  <si>
    <t>金山云(天津)科技发展有限公司</t>
  </si>
  <si>
    <t>滨海新区南片区中塘镇</t>
  </si>
  <si>
    <t>2020-04-29</t>
  </si>
  <si>
    <t>天津蓝标密封科技有限公司</t>
  </si>
  <si>
    <t>2020-04-22</t>
  </si>
  <si>
    <t>天津新鲲鹏化工有限公司</t>
  </si>
  <si>
    <t>2020-04-21</t>
  </si>
  <si>
    <t>天津宏安科技服务有限公司</t>
  </si>
  <si>
    <t>1.0-1.5</t>
  </si>
  <si>
    <t>2020-04-20</t>
  </si>
  <si>
    <t>明治乳业(天津)有限公司</t>
  </si>
  <si>
    <t>2020-04-17</t>
  </si>
  <si>
    <t>一汽模具(天津)有限公司</t>
  </si>
  <si>
    <t>≥0.7且≤2.5</t>
  </si>
  <si>
    <t>2020-04-16</t>
  </si>
  <si>
    <t>天津鼎盛嘉泰投资有限公司</t>
  </si>
  <si>
    <t>2020-04-13</t>
  </si>
  <si>
    <t>天津一汽综合环保科技有限公司</t>
  </si>
  <si>
    <t>天津空港经济区经三路以西</t>
  </si>
  <si>
    <t>2020-04-10</t>
  </si>
  <si>
    <t>天津华鸿科技股份有限公司</t>
  </si>
  <si>
    <t>2020-03-06</t>
  </si>
  <si>
    <t>天津博众汽车部件有限公司</t>
  </si>
  <si>
    <t>2020-03-05</t>
  </si>
  <si>
    <t>天津市滨海新区领达汽车零部件有限公司</t>
  </si>
  <si>
    <t>2020-03-04</t>
  </si>
  <si>
    <t>华达汽车科技(天津)有限公司</t>
  </si>
  <si>
    <t>2020-03-03</t>
  </si>
  <si>
    <t>天津金洪智造机械有限公司</t>
  </si>
  <si>
    <t>天津未来科技城京津合作示范区</t>
  </si>
  <si>
    <t>2020-03-02</t>
  </si>
  <si>
    <t>天津昌田鼎乘科技有限公司</t>
  </si>
  <si>
    <t>天津空港经济区西八道以北、航天路以东</t>
  </si>
  <si>
    <t>2020-02-28</t>
  </si>
  <si>
    <t>天津哈娜好医疗器械有限公司</t>
  </si>
  <si>
    <t>天津空港经济区中环西路以西</t>
  </si>
  <si>
    <t>2020-02-27</t>
  </si>
  <si>
    <t>天津高木汽车配件有限公司</t>
  </si>
  <si>
    <t>2020-01-15</t>
  </si>
  <si>
    <t>天津三星电机有限公司</t>
  </si>
  <si>
    <t>2019-12-25</t>
  </si>
  <si>
    <t>天津昌立鼎乘科技有限公司</t>
  </si>
  <si>
    <t>天津开发区一汽-大众华北生产基地</t>
  </si>
  <si>
    <t>天津开发区一汽大众基地开发建设有限公司</t>
  </si>
  <si>
    <t>天津金牛新材料有限责任公司</t>
  </si>
  <si>
    <t>东疆港区非洲路与山西道交口西北侧</t>
  </si>
  <si>
    <t>0.01-0.8</t>
  </si>
  <si>
    <t>2019-12-11</t>
  </si>
  <si>
    <t>中机科(天津)汽车检测服务有限公司</t>
  </si>
  <si>
    <t>天津民熙物联网科技有限公司</t>
  </si>
  <si>
    <t>天津港保税区空港经济区经二路以东</t>
  </si>
  <si>
    <t>0.5-1.9</t>
  </si>
  <si>
    <t>2019-11-20</t>
  </si>
  <si>
    <t>天津中快供应链管理服务有限责任公司</t>
  </si>
  <si>
    <t>2019-10-30</t>
  </si>
  <si>
    <t>天津滨海新区立邦涂料有限公司</t>
  </si>
  <si>
    <t>天津开发区</t>
  </si>
  <si>
    <t>1.0-2.5</t>
  </si>
  <si>
    <t>2019-10-09</t>
  </si>
  <si>
    <t>天津泰达科技发展集团有限公司</t>
  </si>
  <si>
    <t>零氪科技(天津)有限公司</t>
  </si>
  <si>
    <t>≥1</t>
  </si>
  <si>
    <t>2019-09-04</t>
  </si>
  <si>
    <t>立联信(天津)电子元件有限公司</t>
  </si>
  <si>
    <t>滨海新区汉沽营城工业园区</t>
  </si>
  <si>
    <t>0.8-1.0</t>
  </si>
  <si>
    <t>天津市津华化工有限公司</t>
  </si>
  <si>
    <t>≥1且≤2.5</t>
  </si>
  <si>
    <t>中国电建市政建设集团有限公司</t>
  </si>
  <si>
    <t>天津空港经济区环河西路以东、西六道以北</t>
  </si>
  <si>
    <t>2019-08-28</t>
  </si>
  <si>
    <t>天津空港经济区经二路以东</t>
  </si>
  <si>
    <t>≥1且≤1.5</t>
  </si>
  <si>
    <t>2019-08-14</t>
  </si>
  <si>
    <t>天津旻兴建设开发有限公司</t>
  </si>
  <si>
    <t>东疆港区澳洲路以西,邯郸道以南</t>
  </si>
  <si>
    <t>0.01-2.32</t>
  </si>
  <si>
    <t>2019-08-07</t>
  </si>
  <si>
    <t>天津东疆港大冷链商品交易市场有限公司</t>
  </si>
  <si>
    <t>2019-07-17</t>
  </si>
  <si>
    <t>中海油(天津)油田化工有限公司</t>
  </si>
  <si>
    <t>2019-07-10</t>
  </si>
  <si>
    <t>天津川丰电气设备有限公司</t>
  </si>
  <si>
    <t>1.0-2.0</t>
  </si>
  <si>
    <t>2019-06-19</t>
  </si>
  <si>
    <t>2019-05-29</t>
  </si>
  <si>
    <t>天津中能锂业有限公司</t>
  </si>
  <si>
    <t>天津绿菱气体有限公司</t>
  </si>
  <si>
    <t>一汽物流(天津)有限公司</t>
  </si>
  <si>
    <t>天津港保税区航空物流区通年路以东、广泽道以北</t>
  </si>
  <si>
    <t>0.5-1.0</t>
  </si>
  <si>
    <t>2019-05-22</t>
  </si>
  <si>
    <t>天津宝能供应链管理有限公司</t>
  </si>
  <si>
    <t>天津港保税区临港区域</t>
  </si>
  <si>
    <t>天津博迈科海洋工程有限公司</t>
  </si>
  <si>
    <t>天津空港经济区纬六道以北、经五路以西</t>
  </si>
  <si>
    <t>天津海河乳品有限公司</t>
  </si>
  <si>
    <t>天津港保税区航空物流区通年路以东、广成道以北</t>
  </si>
  <si>
    <t>天津经济技术开发区中区(原轻纺经济区)</t>
  </si>
  <si>
    <t>2019-05-15</t>
  </si>
  <si>
    <t>天津市唯天涂料包装器材有限公司</t>
  </si>
  <si>
    <t>2019-05-08</t>
  </si>
  <si>
    <t>长春一汽富维汽车零部件股份有限公司</t>
  </si>
  <si>
    <t>拓西(天津)传动技术有限公司</t>
  </si>
  <si>
    <t>2019-04-10</t>
  </si>
  <si>
    <t>天津市金桥焊材科技有限公司</t>
  </si>
  <si>
    <t>2019-03-27</t>
  </si>
  <si>
    <t>天津市德立汽车部件有限公司</t>
  </si>
  <si>
    <t>天津浙创实业有限公司</t>
  </si>
  <si>
    <t>0.8-1.5</t>
  </si>
  <si>
    <t>华熙生物科技(天津)有限公司</t>
  </si>
  <si>
    <t>天津空港经济区津北路以南、规划环东干道五以东</t>
  </si>
  <si>
    <t>天津市兴农资产管理有限公司</t>
  </si>
  <si>
    <t>2019-02-27</t>
  </si>
  <si>
    <t>亚普汽车部件股份有限公司</t>
  </si>
  <si>
    <t>天津保税区航空物流区广良道以北、通年路以西</t>
  </si>
  <si>
    <t>天津中远海运航空货运代理有限公司</t>
  </si>
  <si>
    <t>2019-02-20</t>
  </si>
  <si>
    <t>天津市程田新能源股份有限公司</t>
  </si>
  <si>
    <t>2019-02-13</t>
  </si>
  <si>
    <t>天津华瑞汽车零部件有限公司</t>
  </si>
  <si>
    <t>天津东大化工集团有限公司</t>
  </si>
  <si>
    <t>大众一汽平台零部件有限公司天津分公司</t>
  </si>
  <si>
    <t>天津华翔汽车顶棚系统有限公司</t>
  </si>
  <si>
    <t>天津市滨海新区天津经济技术开发区中区(原轻纺经济区)</t>
  </si>
  <si>
    <t>2019-01-30</t>
  </si>
  <si>
    <t>玛氏箭牌(欧洲)糖类有限公司</t>
  </si>
  <si>
    <t>2019-01-23</t>
  </si>
  <si>
    <t>帕尔普线路器材有限公司</t>
  </si>
  <si>
    <t>2019-01-16</t>
  </si>
  <si>
    <t>天津市天宇塑料包装材料有限公司</t>
  </si>
  <si>
    <t>2018-12-26</t>
  </si>
  <si>
    <t>PPG涂料(天津)有限公司</t>
  </si>
  <si>
    <t>天津空港经济区</t>
  </si>
  <si>
    <t>2018-12-05</t>
  </si>
  <si>
    <t>瑞幸咖啡(天津)有限公司</t>
  </si>
  <si>
    <t>2018-11-28</t>
  </si>
  <si>
    <t>天津富晟汽车部件有限公司</t>
  </si>
  <si>
    <t>2018-11-21</t>
  </si>
  <si>
    <t>天津市坤地海科技发展有限公司</t>
  </si>
  <si>
    <t>天津国通利铖汽车科技有限公司</t>
  </si>
  <si>
    <t>2018-10-31</t>
  </si>
  <si>
    <t>爱丽思生活用品(天津)有限公司</t>
  </si>
  <si>
    <t>楼面地价</t>
  </si>
  <si>
    <t>未包含在土地购买价格中</t>
  </si>
  <si>
    <t>全部缴纳</t>
  </si>
  <si>
    <t>已包含在土地取得成本中</t>
  </si>
  <si>
    <t>成本法</t>
  </si>
  <si>
    <t>按租金收入计税</t>
  </si>
  <si>
    <t>钢混</t>
  </si>
  <si>
    <t>生产用房</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</si>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</sst>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0" borderId="1" xfId="0" applyFont="1" applyBorder="1" applyAlignment="1" applyProtection="1">
      <alignment vertical="center" wrapText="1"/>
      <protection locked="0"/>
    </xf>
    <xf numFmtId="0" fontId="46" fillId="0" borderId="2" xfId="0" applyFont="1" applyBorder="1" applyAlignment="1" applyProtection="1">
      <alignment vertical="center" wrapText="1"/>
      <protection locked="0"/>
    </xf>
    <xf numFmtId="0" fontId="0" fillId="5" borderId="0" xfId="0" applyFill="1" applyAlignment="1"/>
    <xf numFmtId="0" fontId="0" fillId="5" borderId="0" xfId="0" applyFill="1">
      <alignment vertical="center"/>
    </xf>
    <xf numFmtId="0" fontId="0" fillId="13" borderId="0" xfId="0" applyFill="1" applyAlignment="1"/>
    <xf numFmtId="0" fontId="0" fillId="13" borderId="0" xfId="0" applyFill="1">
      <alignment vertical="center"/>
    </xf>
    <xf numFmtId="0" fontId="98" fillId="0" borderId="0" xfId="0" applyFont="1" applyFill="1" applyAlignment="1"/>
    <xf numFmtId="0" fontId="0" fillId="0" borderId="0" xfId="0" applyFill="1" applyAlignment="1"/>
    <xf numFmtId="0" fontId="0" fillId="0"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估价对象为房地产，为所有。根据《国有土地使用证》[]，估价对象（分摊）出让国有建设用地使用权面积为60655.3平方米，建筑面积为32069.72平方米。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估价对象为房地产,属开发建设的，该项目尚在开发建设中。根据《国有土地使用证》[]，估价对象（分摊）出让国有建设用地使用权面积为60655.3平方米，规划建筑面积为32069.72平方米。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2021年6月24日（评估专业人员实地查勘之日）</v>
      </c>
    </row>
    <row r="13" spans="1:2" s="1365" customFormat="1">
      <c r="A13" s="1363" t="s">
        <v>1194</v>
      </c>
      <c r="B13" s="1364" t="str">
        <f>'预评函-1'!A18</f>
        <v>本次估价的“房地产价值”是指在正常市场情况下，在价值时点2021年6月24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13688</v>
      </c>
    </row>
    <row r="21" spans="1:2" s="1365" customFormat="1">
      <c r="A21" s="1363" t="s">
        <v>1202</v>
      </c>
      <c r="B21" s="1364">
        <f ca="1">'预评函-2'!D7</f>
        <v>4268</v>
      </c>
    </row>
    <row r="22" spans="1:2" s="1365" customFormat="1">
      <c r="A22" s="1363" t="s">
        <v>1203</v>
      </c>
      <c r="B22" s="1364" t="str">
        <f ca="1">'预评函-2'!D6</f>
        <v>壹亿叁仟陆佰捌拾捌万元整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13688</v>
      </c>
    </row>
    <row r="31" spans="1:2" s="1365" customFormat="1">
      <c r="A31" s="1363" t="s">
        <v>1241</v>
      </c>
      <c r="B31" s="1364">
        <f ca="1">'预评函-2'!D15</f>
        <v>4268</v>
      </c>
    </row>
    <row r="32" spans="1:2" s="1365" customFormat="1">
      <c r="A32" s="1363" t="s">
        <v>1208</v>
      </c>
      <c r="B32" s="1364" t="str">
        <f ca="1">'预评函-2'!D14</f>
        <v>壹亿叁仟陆佰捌拾捌万元整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32069.72</v>
      </c>
    </row>
    <row r="44" spans="1:2" s="1365" customFormat="1">
      <c r="A44" s="1363" t="s">
        <v>1240</v>
      </c>
      <c r="B44" s="1364" t="str">
        <f>'预评函-3'!C2</f>
        <v>(分摊)土地面积</v>
      </c>
    </row>
    <row r="45" spans="1:2" s="1365" customFormat="1">
      <c r="A45" s="1363" t="s">
        <v>1212</v>
      </c>
      <c r="B45" s="1364">
        <f>'预评函-3'!C4</f>
        <v>60655.3</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739" t="s">
        <v>832</v>
      </c>
      <c r="C54" s="1736" t="s">
        <v>1248</v>
      </c>
    </row>
    <row r="55" spans="1:4">
      <c r="A55" s="3111"/>
      <c r="B55" s="1739" t="s">
        <v>833</v>
      </c>
      <c r="C55" s="1736" t="s">
        <v>1249</v>
      </c>
    </row>
    <row r="56" spans="1:4">
      <c r="A56" s="3111"/>
      <c r="B56" s="1739" t="s">
        <v>834</v>
      </c>
      <c r="C56" s="1736" t="s">
        <v>1253</v>
      </c>
    </row>
    <row r="57" spans="1:4">
      <c r="A57" s="311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2" t="str">
        <f>IF(B10="北京市","北京市",C10)&amp;F10&amp;IF(结果表!G1="在建","出让国有建设用地使用权及在建建筑物",IF(结果表!G1="土地","出让国有建设用地使用权",))&amp;B9&amp;"预评估"</f>
        <v>房地产抵押价值预评估</v>
      </c>
      <c r="C1" s="3113"/>
      <c r="D1" s="3113"/>
      <c r="E1" s="3113"/>
      <c r="F1" s="3113"/>
      <c r="G1" s="3113"/>
      <c r="H1" s="3113"/>
      <c r="I1" s="311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2916</v>
      </c>
      <c r="B3" s="2597">
        <f>D3</f>
        <v>44371</v>
      </c>
      <c r="C3" s="2598" t="s">
        <v>2917</v>
      </c>
      <c r="D3" s="2597">
        <v>44371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3064</v>
      </c>
      <c r="C8" s="2614"/>
      <c r="D8" s="3115" t="s">
        <v>2923</v>
      </c>
      <c r="E8" s="2615" t="s">
        <v>3065</v>
      </c>
      <c r="F8" s="2616"/>
      <c r="G8" s="2890"/>
      <c r="H8" s="2890"/>
      <c r="I8" s="2890"/>
      <c r="J8" s="2665"/>
      <c r="K8" s="2840"/>
      <c r="L8" s="2839"/>
      <c r="M8" s="2839"/>
      <c r="N8" s="2665"/>
      <c r="O8" s="2676"/>
      <c r="P8" s="2665"/>
      <c r="Q8" s="2665"/>
      <c r="R8" s="2665"/>
    </row>
    <row r="9" spans="1:28" ht="13.5" thickBot="1">
      <c r="A9" s="2617" t="s">
        <v>2924</v>
      </c>
      <c r="B9" s="2618" t="s">
        <v>3065</v>
      </c>
      <c r="C9" s="2619"/>
      <c r="D9" s="3116"/>
      <c r="E9" s="2618"/>
      <c r="F9" s="2620"/>
      <c r="G9" s="2892"/>
      <c r="H9" s="2892"/>
      <c r="I9" s="2892"/>
      <c r="J9" s="2665"/>
      <c r="K9" s="2842"/>
      <c r="L9" s="2839"/>
      <c r="M9" s="2839"/>
      <c r="N9" s="2665"/>
      <c r="O9" s="2676"/>
      <c r="P9" s="2665"/>
      <c r="Q9" s="2665"/>
      <c r="R9" s="2665"/>
    </row>
    <row r="10" spans="1:28" ht="13.5" thickTop="1">
      <c r="A10" s="2621" t="s">
        <v>2925</v>
      </c>
      <c r="B10" s="2622"/>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c r="C11" s="2627"/>
      <c r="D11" s="2628"/>
      <c r="E11" s="2594"/>
      <c r="F11" s="2594"/>
      <c r="G11" s="2594"/>
      <c r="H11" s="2594"/>
      <c r="I11" s="2594"/>
      <c r="J11" s="2665"/>
      <c r="K11" s="2842"/>
      <c r="L11" s="2839"/>
      <c r="M11" s="2839"/>
      <c r="N11" s="2665"/>
      <c r="O11" s="2676"/>
      <c r="P11" s="2665"/>
      <c r="Q11" s="2665"/>
      <c r="R11" s="2665"/>
    </row>
    <row r="12" spans="1:28">
      <c r="A12" s="2629" t="s">
        <v>2928</v>
      </c>
      <c r="B12" s="2626" t="s">
        <v>3063</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v>59300</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40.9</v>
      </c>
      <c r="J15" s="2665"/>
      <c r="K15" s="2844"/>
      <c r="L15" s="2677"/>
      <c r="M15" s="2677"/>
      <c r="N15" s="2735"/>
      <c r="O15" s="2677"/>
      <c r="P15" s="2735"/>
      <c r="Q15" s="2665"/>
      <c r="R15" s="2665"/>
    </row>
    <row r="16" spans="1:28">
      <c r="A16" s="2624" t="s">
        <v>2939</v>
      </c>
      <c r="B16" s="3122"/>
      <c r="C16" s="3123"/>
      <c r="D16" s="3124"/>
      <c r="E16" s="2639" t="s">
        <v>2940</v>
      </c>
      <c r="F16" s="3125"/>
      <c r="G16" s="3126"/>
      <c r="H16" s="3126"/>
      <c r="I16" s="3127"/>
      <c r="J16" s="2665"/>
      <c r="K16" s="2844"/>
      <c r="L16" s="2677"/>
      <c r="M16" s="2677"/>
      <c r="N16" s="2735"/>
      <c r="O16" s="2677"/>
      <c r="P16" s="2735"/>
      <c r="Q16" s="2665"/>
      <c r="R16" s="2665"/>
    </row>
    <row r="17" spans="1:28">
      <c r="A17" s="319" t="s">
        <v>2941</v>
      </c>
      <c r="B17" s="308" t="s">
        <v>2942</v>
      </c>
      <c r="C17" s="11">
        <f>'数据-汇总表'!E3</f>
        <v>32069.72</v>
      </c>
      <c r="D17" s="2545" t="s">
        <v>2943</v>
      </c>
      <c r="E17" s="3128" t="s">
        <v>2944</v>
      </c>
      <c r="F17" s="3129"/>
      <c r="G17" s="3129"/>
      <c r="H17" s="3129"/>
      <c r="I17" s="3130"/>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60655.3</v>
      </c>
      <c r="D18" s="1252" t="s">
        <v>2947</v>
      </c>
      <c r="E18" s="3131" t="s">
        <v>2948</v>
      </c>
      <c r="F18" s="3132"/>
      <c r="G18" s="3132"/>
      <c r="H18" s="3132"/>
      <c r="I18" s="3133"/>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8" t="s">
        <v>2952</v>
      </c>
      <c r="C20" s="3119"/>
      <c r="D20" s="3120" t="s">
        <v>2953</v>
      </c>
      <c r="E20" s="3121"/>
      <c r="F20" s="2874" t="s">
        <v>1742</v>
      </c>
      <c r="G20" s="2891"/>
      <c r="H20" s="2891"/>
      <c r="I20" s="2891"/>
      <c r="J20" s="2665"/>
      <c r="K20" s="311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5"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5"/>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5"/>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6"/>
      <c r="B30" s="308" t="s">
        <v>2964</v>
      </c>
      <c r="C30" s="3137"/>
      <c r="D30" s="3138"/>
      <c r="E30" s="2891"/>
      <c r="F30" s="2891"/>
      <c r="G30" s="2891"/>
      <c r="H30" s="2891"/>
      <c r="I30" s="2891"/>
      <c r="J30" s="2665"/>
      <c r="K30" s="2842"/>
      <c r="L30" s="2839"/>
      <c r="M30" s="2839"/>
      <c r="N30" s="2665"/>
      <c r="O30" s="2676"/>
      <c r="P30" s="2665"/>
      <c r="Q30" s="2665"/>
      <c r="R30" s="2665"/>
      <c r="S30" s="2665"/>
      <c r="T30" s="2665"/>
      <c r="U30" s="2665"/>
      <c r="V30" s="2665"/>
    </row>
    <row r="31" spans="1:28">
      <c r="A31" s="3139"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34" t="s">
        <v>2974</v>
      </c>
      <c r="T34" s="2654" t="str">
        <f>NUMBERSTRING(7-K34,1)&amp;"通"</f>
        <v>七通</v>
      </c>
      <c r="U34" s="2665"/>
      <c r="V34" s="2665"/>
    </row>
    <row r="35" spans="1:30">
      <c r="A35" s="2655"/>
      <c r="B35" s="3141" t="s">
        <v>2975</v>
      </c>
      <c r="C35" s="3141"/>
      <c r="D35" s="3141"/>
      <c r="E35" s="3141"/>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60655.3</v>
      </c>
      <c r="B3" s="14">
        <f>IF(C3="否",G5-AT5,G5)</f>
        <v>32069.72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32069.72</v>
      </c>
      <c r="H5" s="16">
        <f t="shared" ref="H5:AT5" si="0">SUM(H13:H656)</f>
        <v>32069.72</v>
      </c>
      <c r="I5" s="16">
        <f t="shared" si="0"/>
        <v>20.72</v>
      </c>
      <c r="J5" s="16">
        <f t="shared" si="0"/>
        <v>0</v>
      </c>
      <c r="K5" s="16">
        <f t="shared" si="0"/>
        <v>14644.17</v>
      </c>
      <c r="L5" s="16">
        <f t="shared" si="0"/>
        <v>0</v>
      </c>
      <c r="M5" s="16">
        <f t="shared" si="0"/>
        <v>17404.830000000002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32069.72</v>
      </c>
      <c r="BA5" s="18">
        <f t="shared" si="1"/>
        <v>32069.72</v>
      </c>
      <c r="BB5" s="18">
        <f t="shared" si="1"/>
        <v>20.72</v>
      </c>
      <c r="BC5" s="18">
        <f t="shared" si="1"/>
        <v>14644.17</v>
      </c>
      <c r="BD5" s="18">
        <f t="shared" si="1"/>
        <v>17404.830000000002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60655.3</v>
      </c>
      <c r="F6" s="16" t="s">
        <v>1</v>
      </c>
      <c r="G6" s="16" t="s">
        <v>2</v>
      </c>
      <c r="H6" s="20">
        <f>SUMIF(I$12:AB$12,"总值",I6:AB6)</f>
        <v>60655.3</v>
      </c>
      <c r="I6" s="16">
        <f t="shared" ref="I6:AB6" si="2">ROUND($A$3*I5/$B$3,2)</f>
        <v>39.19</v>
      </c>
      <c r="J6" s="16">
        <f t="shared" si="2"/>
        <v>0</v>
      </c>
      <c r="K6" s="16">
        <f t="shared" si="2"/>
        <v>27697.360000000001</v>
      </c>
      <c r="L6" s="16">
        <f t="shared" si="2"/>
        <v>0</v>
      </c>
      <c r="M6" s="16">
        <f t="shared" si="2"/>
        <v>32918.75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60655.3</v>
      </c>
      <c r="AZ6" s="16" t="s">
        <v>3</v>
      </c>
      <c r="BA6" s="16">
        <f>ROUND($AY$6*BA5/$AZ$5,2)</f>
        <v>60655.3</v>
      </c>
      <c r="BB6" s="16">
        <f>ROUND($AY$6*BB5/$AZ$5,2)</f>
        <v>39.19</v>
      </c>
      <c r="BC6" s="16">
        <f t="shared" ref="BC6:BH6" si="4">ROUND($AY$6*BC5/$AZ$5,2)</f>
        <v>27697.360000000001</v>
      </c>
      <c r="BD6" s="16">
        <f t="shared" si="4"/>
        <v>32918.75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3077</v>
      </c>
      <c r="J9" s="918"/>
      <c r="K9" s="1788" t="s">
        <v>3077</v>
      </c>
      <c r="L9" s="918"/>
      <c r="M9" s="1788" t="s">
        <v>3077</v>
      </c>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t="s">
        <v>6</v>
      </c>
      <c r="L10" s="918"/>
      <c r="M10" s="1794" t="s">
        <v>6</v>
      </c>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地上</v>
      </c>
      <c r="BD10" s="29" t="str">
        <f>M9</f>
        <v>地上</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t="str">
        <f>M10</f>
        <v>工业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0" t="s">
        <v>3066</v>
      </c>
      <c r="D13" s="1810" t="s">
        <v>3076</v>
      </c>
      <c r="E13" s="16">
        <f>IF($C$3="是",ROUND($A$3*G13/$B$3,2),ROUND($A$3*(G13-AT13)/$B$3,2))</f>
        <v>39.19</v>
      </c>
      <c r="F13" s="32"/>
      <c r="G13" s="33">
        <f>H13+AC13+AT13</f>
        <v>20.72</v>
      </c>
      <c r="H13" s="20">
        <f>SUMIF(I$12:AB$12,"总值",I13:AB13)</f>
        <v>20.72</v>
      </c>
      <c r="I13" s="1811">
        <v>20.72</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1#</v>
      </c>
      <c r="AY13" s="1533">
        <f>ROUND($AY$6*AZ13/$AZ$5,2)</f>
        <v>39.19</v>
      </c>
      <c r="AZ13" s="16">
        <f>BA13+BL13</f>
        <v>20.72</v>
      </c>
      <c r="BA13" s="16">
        <f>SUM(BB13:BK13)</f>
        <v>20.72</v>
      </c>
      <c r="BB13" s="16">
        <f>IF($D13="是",I13-J13,0)</f>
        <v>20.72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3060" t="s">
        <v>3067</v>
      </c>
      <c r="D14" s="1810" t="s">
        <v>3076</v>
      </c>
      <c r="E14" s="16">
        <f>IF($C$3="是",ROUND($A$3*G14/$B$3,2),ROUND($A$3*(G14-AT14)/$B$3,2))</f>
        <v>82.9</v>
      </c>
      <c r="F14" s="32"/>
      <c r="G14" s="33">
        <f>H14+AC14+AT14</f>
        <v>43.83</v>
      </c>
      <c r="H14" s="20">
        <f>SUMIF(I$12:AB$12,"总值",I14:AB14)</f>
        <v>43.83</v>
      </c>
      <c r="I14" s="1811"/>
      <c r="J14" s="1811"/>
      <c r="K14" s="1811">
        <v>43.83</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2#</v>
      </c>
      <c r="AY14" s="1533">
        <f>ROUND($AY$6*AZ14/$AZ$5,2)</f>
        <v>82.9</v>
      </c>
      <c r="AZ14" s="16">
        <f>BA14+BL14</f>
        <v>43.83</v>
      </c>
      <c r="BA14" s="16">
        <f>SUM(BB14:BK14)</f>
        <v>43.83</v>
      </c>
      <c r="BB14" s="16">
        <f>IF($D14="是",I14-J14,0)</f>
        <v>0</v>
      </c>
      <c r="BC14" s="16">
        <f>IF($D14="是",K14-L14,0)</f>
        <v>43.83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3060" t="s">
        <v>3068</v>
      </c>
      <c r="D15" s="1810" t="s">
        <v>3076</v>
      </c>
      <c r="E15" s="16">
        <f>IF($C$3="是",ROUND($A$3*G15/$B$3,2),ROUND($A$3*(G15-AT15)/$B$3,2))</f>
        <v>19061.78</v>
      </c>
      <c r="F15" s="32"/>
      <c r="G15" s="33">
        <f>H15+AC15+AT15</f>
        <v>10078.36</v>
      </c>
      <c r="H15" s="20">
        <f>SUMIF(I$12:AB$12,"总值",I15:AB15)</f>
        <v>10078.36</v>
      </c>
      <c r="I15" s="1811"/>
      <c r="J15" s="1811"/>
      <c r="K15" s="1811"/>
      <c r="L15" s="1811"/>
      <c r="M15" s="1811">
        <v>10078.36</v>
      </c>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3#</v>
      </c>
      <c r="AY15" s="1533">
        <f>ROUND($AY$6*AZ15/$AZ$5,2)</f>
        <v>19061.78</v>
      </c>
      <c r="AZ15" s="16">
        <f>BA15+BL15</f>
        <v>10078.36</v>
      </c>
      <c r="BA15" s="16">
        <f>SUM(BB15:BK15)</f>
        <v>10078.36</v>
      </c>
      <c r="BB15" s="16">
        <f>IF($D15="是",I15-J15,0)</f>
        <v>0</v>
      </c>
      <c r="BC15" s="16">
        <f>IF($D15="是",K15-L15,0)</f>
        <v>0</v>
      </c>
      <c r="BD15" s="16">
        <f>IF($D15="是",M15-N15,0)</f>
        <v>10078.36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3060" t="s">
        <v>3069</v>
      </c>
      <c r="D16" s="1810" t="s">
        <v>3076</v>
      </c>
      <c r="E16" s="16">
        <f>IF($C$3="是",ROUND($A$3*G16/$B$3,2),ROUND($A$3*(G16-AT16)/$B$3,2))</f>
        <v>7248.49</v>
      </c>
      <c r="F16" s="32"/>
      <c r="G16" s="33">
        <f>H16+AC16+AT16</f>
        <v>3832.43</v>
      </c>
      <c r="H16" s="20">
        <f>SUMIF(I$12:AB$12,"总值",I16:AB16)</f>
        <v>3832.43</v>
      </c>
      <c r="I16" s="1811"/>
      <c r="J16" s="1811"/>
      <c r="K16" s="1811"/>
      <c r="L16" s="1811"/>
      <c r="M16" s="1811">
        <v>3832.43</v>
      </c>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4#</v>
      </c>
      <c r="AY16" s="1533">
        <f>ROUND($AY$6*AZ16/$AZ$5,2)</f>
        <v>7248.49</v>
      </c>
      <c r="AZ16" s="16">
        <f>BA16+BL16</f>
        <v>3832.43</v>
      </c>
      <c r="BA16" s="16">
        <f>SUM(BB16:BK16)</f>
        <v>3832.43</v>
      </c>
      <c r="BB16" s="16">
        <f>IF($D16="是",I16-J16,0)</f>
        <v>0</v>
      </c>
      <c r="BC16" s="16">
        <f>IF($D16="是",K16-L16,0)</f>
        <v>0</v>
      </c>
      <c r="BD16" s="16">
        <f>IF($D16="是",M16-N16,0)</f>
        <v>3832.43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3060" t="s">
        <v>3070</v>
      </c>
      <c r="D17" s="1810" t="s">
        <v>3076</v>
      </c>
      <c r="E17" s="16">
        <f>IF($C$3="是",ROUND($A$3*G17/$B$3,2),ROUND($A$3*(G17-AT17)/$B$3,2))</f>
        <v>1272.33</v>
      </c>
      <c r="F17" s="32"/>
      <c r="G17" s="33">
        <f>H17+AC17+AT17</f>
        <v>672.71</v>
      </c>
      <c r="H17" s="20">
        <f>SUMIF(I$12:AB$12,"总值",I17:AB17)</f>
        <v>672.71</v>
      </c>
      <c r="I17" s="1811"/>
      <c r="J17" s="1811"/>
      <c r="K17" s="1811">
        <v>672.71</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5#-1</v>
      </c>
      <c r="AY17" s="1533">
        <f>ROUND($AY$6*AZ17/$AZ$5,2)</f>
        <v>1272.33</v>
      </c>
      <c r="AZ17" s="16">
        <f>BA17+BL17</f>
        <v>672.71</v>
      </c>
      <c r="BA17" s="16">
        <f>SUM(BB17:BK17)</f>
        <v>672.71</v>
      </c>
      <c r="BB17" s="16">
        <f>IF($D17="是",I17-J17,0)</f>
        <v>0</v>
      </c>
      <c r="BC17" s="16">
        <f>IF($D17="是",K17-L17,0)</f>
        <v>672.71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60" t="s">
        <v>3071</v>
      </c>
      <c r="D18" s="1815" t="s">
        <v>3076</v>
      </c>
      <c r="E18" s="35">
        <f t="shared" ref="E18:E112" si="7">IF($C$3="是",ROUND($A$3*G18/$B$3,2),ROUND($A$3*(G18-AT18)/$B$3,2))</f>
        <v>6608.48</v>
      </c>
      <c r="F18" s="36"/>
      <c r="G18" s="37">
        <f t="shared" ref="G18:G109" si="8">H18+AC18+AT18</f>
        <v>3494.04</v>
      </c>
      <c r="H18" s="38">
        <f t="shared" ref="H18:H109" si="9">SUMIF(I$12:AB$12,"总值",I18:AB18)</f>
        <v>3494.04</v>
      </c>
      <c r="I18" s="39"/>
      <c r="J18" s="39"/>
      <c r="K18" s="39"/>
      <c r="L18" s="39"/>
      <c r="M18" s="39">
        <v>3494.04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5#-2</v>
      </c>
      <c r="AY18" s="42">
        <f t="shared" ref="AY18:AY109" si="14">ROUND($AY$6*AZ18/$AZ$5,2)</f>
        <v>6608.48</v>
      </c>
      <c r="AZ18" s="35">
        <f t="shared" ref="AZ18:AZ109" si="15">BA18+BL18</f>
        <v>3494.04</v>
      </c>
      <c r="BA18" s="35">
        <f t="shared" ref="BA18:BA109" si="16">SUM(BB18:BK18)</f>
        <v>3494.04</v>
      </c>
      <c r="BB18" s="35">
        <f t="shared" ref="BB18:BB109" si="17">IF($D18="是",I18-J18,0)</f>
        <v>0</v>
      </c>
      <c r="BC18" s="35">
        <f t="shared" ref="BC18:BC109" si="18">IF($D18="是",K18-L18,0)</f>
        <v>0</v>
      </c>
      <c r="BD18" s="35">
        <f t="shared" ref="BD18:BD109" si="19">IF($D18="是",M18-N18,0)</f>
        <v>3494.04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60" t="s">
        <v>3072</v>
      </c>
      <c r="D19" s="1815" t="s">
        <v>3076</v>
      </c>
      <c r="E19" s="35">
        <f t="shared" si="7"/>
        <v>9063.7999999999993</v>
      </c>
      <c r="F19" s="36"/>
      <c r="G19" s="37">
        <f t="shared" si="8"/>
        <v>4792.22</v>
      </c>
      <c r="H19" s="38">
        <f t="shared" si="9"/>
        <v>4792.22</v>
      </c>
      <c r="I19" s="39"/>
      <c r="J19" s="39"/>
      <c r="K19" s="39">
        <v>4792.22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6#</v>
      </c>
      <c r="AY19" s="42">
        <f t="shared" si="14"/>
        <v>9063.7999999999993</v>
      </c>
      <c r="AZ19" s="35">
        <f t="shared" si="15"/>
        <v>4792.22</v>
      </c>
      <c r="BA19" s="35">
        <f t="shared" si="16"/>
        <v>4792.22</v>
      </c>
      <c r="BB19" s="35">
        <f t="shared" si="17"/>
        <v>0</v>
      </c>
      <c r="BC19" s="35">
        <f t="shared" si="18"/>
        <v>4792.22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060" t="s">
        <v>3073</v>
      </c>
      <c r="D20" s="1815" t="s">
        <v>3076</v>
      </c>
      <c r="E20" s="35">
        <f t="shared" si="7"/>
        <v>6924.86</v>
      </c>
      <c r="F20" s="36"/>
      <c r="G20" s="37">
        <f t="shared" si="8"/>
        <v>3661.32</v>
      </c>
      <c r="H20" s="38">
        <f t="shared" si="9"/>
        <v>3661.32</v>
      </c>
      <c r="I20" s="39"/>
      <c r="J20" s="39"/>
      <c r="K20" s="39">
        <v>3661.32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7#</v>
      </c>
      <c r="AY20" s="42">
        <f t="shared" si="14"/>
        <v>6924.86</v>
      </c>
      <c r="AZ20" s="35">
        <f t="shared" si="15"/>
        <v>3661.32</v>
      </c>
      <c r="BA20" s="35">
        <f t="shared" si="16"/>
        <v>3661.32</v>
      </c>
      <c r="BB20" s="35">
        <f t="shared" si="17"/>
        <v>0</v>
      </c>
      <c r="BC20" s="35">
        <f t="shared" si="18"/>
        <v>3661.32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060" t="s">
        <v>3074</v>
      </c>
      <c r="D21" s="1815" t="s">
        <v>3076</v>
      </c>
      <c r="E21" s="35">
        <f t="shared" si="7"/>
        <v>6135.7</v>
      </c>
      <c r="F21" s="36"/>
      <c r="G21" s="37">
        <f t="shared" si="8"/>
        <v>3244.07</v>
      </c>
      <c r="H21" s="38">
        <f t="shared" si="9"/>
        <v>3244.07</v>
      </c>
      <c r="I21" s="39"/>
      <c r="J21" s="39"/>
      <c r="K21" s="39">
        <v>3244.07</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8#</v>
      </c>
      <c r="AY21" s="42">
        <f t="shared" si="14"/>
        <v>6135.7</v>
      </c>
      <c r="AZ21" s="35">
        <f t="shared" si="15"/>
        <v>3244.07</v>
      </c>
      <c r="BA21" s="35">
        <f t="shared" si="16"/>
        <v>3244.07</v>
      </c>
      <c r="BB21" s="35">
        <f t="shared" si="17"/>
        <v>0</v>
      </c>
      <c r="BC21" s="35">
        <f t="shared" si="18"/>
        <v>3244.07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61" t="s">
        <v>3075</v>
      </c>
      <c r="D22" s="1815" t="s">
        <v>3076</v>
      </c>
      <c r="E22" s="35">
        <f t="shared" si="7"/>
        <v>4217.76</v>
      </c>
      <c r="F22" s="36"/>
      <c r="G22" s="37">
        <f t="shared" si="8"/>
        <v>2230.02</v>
      </c>
      <c r="H22" s="38">
        <f t="shared" si="9"/>
        <v>2230.02</v>
      </c>
      <c r="I22" s="39"/>
      <c r="J22" s="39"/>
      <c r="K22" s="39">
        <v>2230.02</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9#</v>
      </c>
      <c r="AY22" s="42">
        <f t="shared" si="14"/>
        <v>4217.76</v>
      </c>
      <c r="AZ22" s="35">
        <f t="shared" si="15"/>
        <v>2230.02</v>
      </c>
      <c r="BA22" s="35">
        <f t="shared" si="16"/>
        <v>2230.02</v>
      </c>
      <c r="BB22" s="35">
        <f t="shared" si="17"/>
        <v>0</v>
      </c>
      <c r="BC22" s="35">
        <f t="shared" si="18"/>
        <v>2230.02</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3" t="s">
        <v>1817</v>
      </c>
      <c r="B2" s="3153"/>
      <c r="C2" s="3153"/>
      <c r="D2" s="904" t="s">
        <v>1793</v>
      </c>
      <c r="E2" s="1824" t="s">
        <v>1794</v>
      </c>
      <c r="F2" s="2886"/>
      <c r="G2" s="2877"/>
      <c r="H2" s="2878"/>
      <c r="I2" s="2548" t="s">
        <v>1818</v>
      </c>
      <c r="J2" s="2886"/>
      <c r="K2" s="2886"/>
      <c r="L2" s="2886"/>
      <c r="M2" s="2886"/>
      <c r="N2" s="2888"/>
      <c r="O2" s="2886"/>
      <c r="P2" s="2886"/>
    </row>
    <row r="3" spans="1:16" ht="15.75" thickBot="1">
      <c r="A3" s="3154" t="s">
        <v>1791</v>
      </c>
      <c r="B3" s="3154"/>
      <c r="C3" s="3154"/>
      <c r="D3" s="46">
        <f>'数据-基础表'!AY6</f>
        <v>60655.3</v>
      </c>
      <c r="E3" s="46">
        <f>'数据-基础表'!AZ5</f>
        <v>32069.72</v>
      </c>
      <c r="F3" s="2886"/>
      <c r="G3" s="1307"/>
      <c r="H3" s="1157" t="s">
        <v>1792</v>
      </c>
      <c r="I3" s="964">
        <f>ROUND('数据-基础表'!B3/'数据-基础表'!A3,2)</f>
        <v>0.53</v>
      </c>
      <c r="J3" s="2886"/>
      <c r="K3" s="2886"/>
      <c r="L3" s="2886"/>
      <c r="M3" s="2886"/>
      <c r="N3" s="2888"/>
      <c r="O3" s="2886"/>
      <c r="P3" s="2886"/>
    </row>
    <row r="4" spans="1:16" ht="15">
      <c r="A4" s="3155"/>
      <c r="B4" s="3156"/>
      <c r="C4" s="3157"/>
      <c r="D4" s="1826" t="s">
        <v>1793</v>
      </c>
      <c r="E4" s="1827" t="s">
        <v>1794</v>
      </c>
      <c r="F4" s="2886"/>
      <c r="G4" s="2879" t="s">
        <v>1819</v>
      </c>
      <c r="H4" s="1157" t="s">
        <v>1799</v>
      </c>
      <c r="I4" s="964">
        <f>ROUND(SUMIF('数据-基础表'!I9:AS9,"地上",'数据-基础表'!I5:AS5)/'数据-基础表'!A3,2)</f>
        <v>0.53</v>
      </c>
      <c r="J4" s="2886"/>
      <c r="K4" s="2886"/>
      <c r="L4" s="2886"/>
      <c r="M4" s="2886"/>
      <c r="N4" s="2888"/>
      <c r="O4" s="2886"/>
      <c r="P4" s="2886"/>
    </row>
    <row r="5" spans="1:16">
      <c r="A5" s="47" t="s">
        <v>1795</v>
      </c>
      <c r="B5" s="3158" t="s">
        <v>1796</v>
      </c>
      <c r="C5" s="3158"/>
      <c r="D5" s="48">
        <f>ROUND($D$3*E5/$E$3,2)</f>
        <v>0</v>
      </c>
      <c r="E5" s="49">
        <f>SUMIF('数据-基础表'!$11:$11,"住宅",'数据-基础表'!$5:$5)</f>
        <v>0</v>
      </c>
      <c r="F5" s="2886"/>
      <c r="G5" s="1307"/>
      <c r="H5" s="1157" t="s">
        <v>1792</v>
      </c>
      <c r="I5" s="964">
        <f>ROUND(E31/D31,2)</f>
        <v>0.53</v>
      </c>
      <c r="J5" s="2886"/>
      <c r="K5" s="2886"/>
      <c r="L5" s="2886"/>
      <c r="M5" s="2886"/>
      <c r="N5" s="2886"/>
      <c r="O5" s="2886"/>
      <c r="P5" s="2886"/>
    </row>
    <row r="6" spans="1:16" ht="15" thickBot="1">
      <c r="A6" s="1829"/>
      <c r="B6" s="3158" t="s">
        <v>1797</v>
      </c>
      <c r="C6" s="3158"/>
      <c r="D6" s="48">
        <f>ROUND($D$3*E6/$E$3,2)</f>
        <v>60655.3</v>
      </c>
      <c r="E6" s="49">
        <f>E3-E5</f>
        <v>32069.72</v>
      </c>
      <c r="F6" s="2886"/>
      <c r="G6" s="2880" t="s">
        <v>1798</v>
      </c>
      <c r="H6" s="1308" t="s">
        <v>1799</v>
      </c>
      <c r="I6" s="2881">
        <f>ROUND(F31/D31,2)</f>
        <v>0.53</v>
      </c>
      <c r="J6" s="2886"/>
      <c r="K6" s="2886"/>
      <c r="L6" s="2886"/>
      <c r="M6" s="2886"/>
      <c r="N6" s="2886"/>
      <c r="O6" s="2886"/>
      <c r="P6" s="2886"/>
    </row>
    <row r="7" spans="1:16" ht="15.75" thickBot="1">
      <c r="A7" s="3150"/>
      <c r="B7" s="3151"/>
      <c r="C7" s="3152"/>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60655.3</v>
      </c>
      <c r="E8" s="51">
        <f>SUMIF('数据-基础表'!BB10:BK10,"地上",'数据-基础表'!BB5:BK5)</f>
        <v>32069.72</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60655.3</v>
      </c>
      <c r="E16" s="53">
        <f>SUM(E8:E15)</f>
        <v>32069.72</v>
      </c>
      <c r="F16" s="2886"/>
      <c r="G16" s="2887"/>
      <c r="H16" s="1833" t="s">
        <v>1821</v>
      </c>
      <c r="I16" s="1834"/>
      <c r="J16" s="1301"/>
      <c r="K16" s="3147" t="s">
        <v>1821</v>
      </c>
      <c r="L16" s="3148"/>
      <c r="M16" s="3148"/>
      <c r="N16" s="3148"/>
      <c r="O16" s="3148"/>
      <c r="P16" s="3149"/>
    </row>
    <row r="17" spans="1:19" ht="15">
      <c r="A17" s="1835" t="s">
        <v>1822</v>
      </c>
      <c r="B17" s="1836" t="s">
        <v>1823</v>
      </c>
      <c r="C17" s="1837" t="s">
        <v>1824</v>
      </c>
      <c r="D17" s="1838" t="s">
        <v>1812</v>
      </c>
      <c r="E17" s="1839" t="s">
        <v>1813</v>
      </c>
      <c r="F17" s="1840"/>
      <c r="G17" s="1841"/>
      <c r="H17" s="1842" t="s">
        <v>1825</v>
      </c>
      <c r="I17" s="1843" t="s">
        <v>1810</v>
      </c>
      <c r="J17" s="1301"/>
      <c r="K17" s="3144" t="s">
        <v>1826</v>
      </c>
      <c r="L17" s="3145"/>
      <c r="M17" s="3146"/>
      <c r="N17" s="3144" t="s">
        <v>1827</v>
      </c>
      <c r="O17" s="3145"/>
      <c r="P17" s="314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
        <v>6</v>
      </c>
      <c r="D19" s="48">
        <f>ROUND($D$3*E19/$E$3,2)</f>
        <v>60655.3</v>
      </c>
      <c r="E19" s="56">
        <f t="shared" ref="E19:E26" si="1">SUM(F19:G19)</f>
        <v>32069.72</v>
      </c>
      <c r="F19" s="3026">
        <f>'数据-基础表'!B3</f>
        <v>32069.72</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60655.3</v>
      </c>
      <c r="S19" s="1158">
        <f t="shared" si="5"/>
        <v>32069.72</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60655.3</v>
      </c>
      <c r="E27" s="1303">
        <f>IF(SUM(E19:E26)='数据-基础表'!BA5,SUM(E19:E26),IF(F27="地上面积有误","面积有误","地下面积有误"))</f>
        <v>32069.72</v>
      </c>
      <c r="F27" s="1302">
        <f>IF(SUM(F19:F26)=E8,SUM(F19:F26),"地上面积有误")</f>
        <v>32069.72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60655.3</v>
      </c>
      <c r="S27" s="1157">
        <f>IF(SUM(S19:S26)=$E$3,SUM(S19:S26),SUM(S19:S26)&amp;"误差"&amp;ROUND(SUM(S19:S26)-E3,2))</f>
        <v>32069.72</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60655.3</v>
      </c>
      <c r="E31" s="685">
        <f>E27+E30</f>
        <v>32069.72</v>
      </c>
      <c r="F31" s="686">
        <f>F27+F30</f>
        <v>32069.72</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24"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44371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3078</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59300</v>
      </c>
      <c r="F6" s="68">
        <f>SUMIF(项目基本情况!D$12:I$12,C6,项目基本情况!D$15:I$15)</f>
        <v>40.9</v>
      </c>
      <c r="G6" s="69">
        <f>IF(ISERROR(ROUND(POWER(1+H6,D6-F6)*(POWER(1+H6,F6)-1)/(POWER(1+H6,D6)-1),3)),0,ROUND(POWER(1+H6,D6-F6)*(POWER(1+H6,F6)-1)/(POWER(1+H6,D6)-1),3))</f>
        <v>0.93899999999999995</v>
      </c>
      <c r="H6" s="741">
        <v>4.4999999999999998E-2</v>
      </c>
      <c r="I6" s="741">
        <v>0.05</v>
      </c>
      <c r="J6" s="70">
        <v>8.5000000000000006E-2</v>
      </c>
      <c r="K6" s="1161">
        <f>SUMIF('数据-汇总表'!C$19:C$33,A6,'数据-汇总表'!E$19:E$33)</f>
        <v>32069.72</v>
      </c>
      <c r="L6" s="742">
        <v>2800</v>
      </c>
      <c r="M6" s="71">
        <f t="shared" ref="M6:M14" si="0">ROUND(K6*L6/10000,0)</f>
        <v>8980</v>
      </c>
      <c r="N6" s="740">
        <f>ROUND((1-(2021-2014)/收益法!J64),2)</f>
        <v>0.86</v>
      </c>
      <c r="O6" s="71" t="str">
        <f>IF($N$5="成新度","——",ROUND(M6*N6,0))</f>
        <v>——</v>
      </c>
      <c r="P6" s="72" t="str">
        <f>IF($N$5="成新度","——",M6-O6)</f>
        <v>——</v>
      </c>
      <c r="Q6" s="743">
        <v>0.08</v>
      </c>
      <c r="R6" s="73">
        <f ca="1">SUMIF('数据-汇总表'!C$19:C$33,A6,'数据-汇总表'!R$19:R$27)</f>
        <v>60655.3</v>
      </c>
      <c r="S6" s="54">
        <f>IF('数据-汇总表'!$I$17="按面积比例",SUMIF('数据-汇总表'!C$19:C$33,A6,'数据-汇总表'!K$19:K$33),SUMIF('数据-汇总表'!C$19:C$33,A6,'数据-汇总表'!N$19:N$33))</f>
        <v>0</v>
      </c>
      <c r="T6" s="1334">
        <f>ROUND($L$14*S6/10000,0)</f>
        <v>0</v>
      </c>
      <c r="U6" s="74">
        <v>0.8</v>
      </c>
      <c r="V6" s="75">
        <v>0.03</v>
      </c>
      <c r="W6" s="75">
        <v>0.1</v>
      </c>
      <c r="X6" s="1171"/>
      <c r="Y6" s="76">
        <f>N6</f>
        <v>0.86</v>
      </c>
      <c r="Z6" s="77"/>
      <c r="AA6" s="70"/>
      <c r="AB6" s="70"/>
      <c r="AC6" s="1171"/>
      <c r="AD6" s="78"/>
      <c r="AE6" s="1172">
        <f ca="1">IF(AN6="",0,SUMIF(INDIRECT("'"&amp;AN6&amp;"'"&amp;"!E:E"),$AE$5,INDIRECT("'"&amp;AN6&amp;"'"&amp;"!F:F")))</f>
        <v>40.9</v>
      </c>
      <c r="AF6" s="1532"/>
      <c r="AG6" s="143">
        <f>IF(AF6="",0,AE6-AF6)</f>
        <v>0</v>
      </c>
      <c r="AH6" s="79">
        <f>'数据-基础表'!B3-'数据-基础表'!K22</f>
        <v>29839.7</v>
      </c>
      <c r="AI6" s="81">
        <v>365</v>
      </c>
      <c r="AJ6" s="82"/>
      <c r="AK6" s="83">
        <v>0.01</v>
      </c>
      <c r="AL6" s="84">
        <v>1.5E-3</v>
      </c>
      <c r="AM6" s="85">
        <v>0.01</v>
      </c>
      <c r="AN6" s="1901" t="s">
        <v>3079</v>
      </c>
      <c r="AO6" s="55">
        <f ca="1">SUMIF(INDIRECT("'"&amp;AN6&amp;"'"&amp;"!A:A"),"总价",INDIRECT("'"&amp;AN6&amp;"'"&amp;"!B:B"))</f>
        <v>13479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0.93899999999999995</v>
      </c>
      <c r="H16" s="95">
        <f>ROUND(SUMPRODUCT(H6:H13,K6:K13)/SUMPRODUCT((H6:H13&gt;0)*(K6:K13)),3)</f>
        <v>4.4999999999999998E-2</v>
      </c>
      <c r="I16" s="96"/>
      <c r="J16" s="96"/>
      <c r="K16" s="97">
        <f>SUM(K6:K15)</f>
        <v>32069.72</v>
      </c>
      <c r="L16" s="98">
        <f>ROUND(M16*10000/SUM(K6:K14),0)</f>
        <v>2800</v>
      </c>
      <c r="M16" s="98">
        <f>SUM(M6:M14)</f>
        <v>8980</v>
      </c>
      <c r="N16" s="99">
        <f>ROUND(SUMPRODUCT(M6:M14,N6:N14)/M16,3)</f>
        <v>0.86</v>
      </c>
      <c r="O16" s="98">
        <f>SUM(O6:O14)</f>
        <v>0</v>
      </c>
      <c r="P16" s="98">
        <f>SUM(P6:P14)</f>
        <v>0</v>
      </c>
      <c r="Q16" s="100">
        <f>ROUND(SUMPRODUCT(Q6:Q13,K6:K13)/SUMPRODUCT((Q6:Q13&gt;0)*(K6:K13)),2)</f>
        <v>0.08</v>
      </c>
      <c r="R16" s="1165">
        <f ca="1">SUM(R6:R13)</f>
        <v>60655.3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1.5</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2.5000000000000001E-2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3080</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9" t="s">
        <v>3032</v>
      </c>
      <c r="B1" s="3160"/>
      <c r="C1" s="3160"/>
      <c r="D1" s="3160"/>
      <c r="E1" s="3160"/>
      <c r="F1" s="3160"/>
      <c r="G1" s="316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4" sqref="E3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32069.72</v>
      </c>
      <c r="C1" s="2915"/>
      <c r="D1" s="2915"/>
      <c r="E1" s="2915"/>
      <c r="F1" s="2915"/>
      <c r="G1" s="2916"/>
      <c r="H1" s="2917"/>
      <c r="I1" s="2917"/>
      <c r="J1" s="2917"/>
      <c r="K1" s="2917"/>
    </row>
    <row r="2" spans="1:11" ht="16.5">
      <c r="A2" s="2738" t="s">
        <v>1319</v>
      </c>
      <c r="B2" s="2738">
        <f>SUM(C14:C23)</f>
        <v>60655.3</v>
      </c>
      <c r="C2" s="2915"/>
      <c r="D2" s="2915"/>
      <c r="E2" s="2915"/>
      <c r="F2" s="2915"/>
      <c r="G2" s="2916"/>
      <c r="H2" s="2917"/>
      <c r="I2" s="2917"/>
      <c r="J2" s="2917"/>
      <c r="K2" s="2917"/>
    </row>
    <row r="3" spans="1:11" ht="16.5">
      <c r="A3" s="2738" t="s">
        <v>1328</v>
      </c>
      <c r="B3" s="2740">
        <f>项目基本情况!D3</f>
        <v>44371</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13688</v>
      </c>
      <c r="C5" s="2738">
        <f ca="1">ROUND(B5*10000/$B$1,0)</f>
        <v>4268</v>
      </c>
      <c r="D5" s="2738">
        <f ca="1">ROUND(B5*10000/$B$2,0)</f>
        <v>2257</v>
      </c>
      <c r="E5" s="2915"/>
      <c r="F5" s="2916"/>
      <c r="G5" s="2916"/>
      <c r="H5" s="2917"/>
      <c r="I5" s="2917"/>
      <c r="J5" s="2917"/>
      <c r="K5" s="2917"/>
    </row>
    <row r="6" spans="1:11" ht="16.5">
      <c r="A6" s="2738" t="s">
        <v>1322</v>
      </c>
      <c r="B6" s="2738">
        <f ca="1">SUM(G14:G23)</f>
        <v>13688</v>
      </c>
      <c r="C6" s="2738">
        <f ca="1">ROUND(B6*10000/$B$1,0)</f>
        <v>4268</v>
      </c>
      <c r="D6" s="2738">
        <f ca="1">ROUND(B6*10000/$B$2,0)</f>
        <v>2257</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32069.72</v>
      </c>
      <c r="C14" s="2744">
        <f>结果表!C118</f>
        <v>60655.3</v>
      </c>
      <c r="D14" s="2744">
        <f ca="1">结果表!H118</f>
        <v>13688</v>
      </c>
      <c r="E14" s="2744">
        <f ca="1">ROUND(D14*10000/B14,0)</f>
        <v>4268</v>
      </c>
      <c r="F14" s="2744">
        <f ca="1">ROUND(D14*10000/C14,0)</f>
        <v>2257</v>
      </c>
      <c r="G14" s="2744">
        <f ca="1">结果表!D122</f>
        <v>13688</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85" zoomScaleNormal="100" zoomScaleSheetLayoutView="85" zoomScalePageLayoutView="80" workbookViewId="0">
      <selection activeCell="G37" sqref="G3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31" t="str">
        <f>项目基本情况!S2</f>
        <v>房地产</v>
      </c>
      <c r="B2" s="3232"/>
      <c r="C2" s="3232"/>
      <c r="D2" s="3232"/>
      <c r="E2" s="3232"/>
      <c r="F2" s="3232"/>
      <c r="G2" s="3232"/>
      <c r="H2" s="3232"/>
      <c r="I2" s="3233"/>
    </row>
    <row r="3" spans="1:12" ht="12.75">
      <c r="A3" s="3235" t="s">
        <v>1950</v>
      </c>
      <c r="B3" s="3236"/>
      <c r="C3" s="3236"/>
      <c r="D3" s="3236"/>
      <c r="E3" s="3236"/>
      <c r="F3" s="3236"/>
      <c r="G3" s="3236"/>
      <c r="H3" s="3236"/>
      <c r="I3" s="3236"/>
    </row>
    <row r="4" spans="1:12" ht="14.25">
      <c r="A4" s="1940" t="s">
        <v>1951</v>
      </c>
      <c r="B4" s="1941" t="s">
        <v>1952</v>
      </c>
      <c r="C4" s="1942" t="s">
        <v>3574</v>
      </c>
      <c r="D4" s="1942" t="s">
        <v>3079</v>
      </c>
      <c r="E4" s="3240" t="s">
        <v>1953</v>
      </c>
      <c r="F4" s="3241"/>
      <c r="G4" s="3241"/>
      <c r="H4" s="3241"/>
      <c r="I4" s="324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6" t="s">
        <v>1954</v>
      </c>
      <c r="B5" s="3234">
        <v>25</v>
      </c>
      <c r="C5" s="3237"/>
      <c r="D5" s="3225"/>
      <c r="E5" s="136" t="s">
        <v>1955</v>
      </c>
      <c r="F5" s="1943"/>
      <c r="G5" s="1943"/>
      <c r="H5" s="1943"/>
      <c r="I5" s="1557"/>
    </row>
    <row r="6" spans="1:12" ht="12.75">
      <c r="A6" s="3176"/>
      <c r="B6" s="3234"/>
      <c r="C6" s="3239"/>
      <c r="D6" s="3225"/>
      <c r="E6" s="136" t="s">
        <v>1956</v>
      </c>
      <c r="F6" s="1943"/>
      <c r="G6" s="1943"/>
      <c r="H6" s="1943"/>
      <c r="I6" s="1557"/>
    </row>
    <row r="7" spans="1:12" ht="12.75">
      <c r="A7" s="3176"/>
      <c r="B7" s="3234"/>
      <c r="C7" s="3238"/>
      <c r="D7" s="3225"/>
      <c r="E7" s="136" t="s">
        <v>1957</v>
      </c>
      <c r="F7" s="1943"/>
      <c r="G7" s="1943"/>
      <c r="H7" s="1943"/>
      <c r="I7" s="1557"/>
    </row>
    <row r="8" spans="1:12" ht="12.75">
      <c r="A8" s="3176" t="s">
        <v>1958</v>
      </c>
      <c r="B8" s="3234">
        <v>15</v>
      </c>
      <c r="C8" s="3237"/>
      <c r="D8" s="3225"/>
      <c r="E8" s="136" t="s">
        <v>1959</v>
      </c>
      <c r="F8" s="1943"/>
      <c r="G8" s="1943"/>
      <c r="H8" s="1943"/>
      <c r="I8" s="1557"/>
    </row>
    <row r="9" spans="1:12" ht="12.75">
      <c r="A9" s="3176"/>
      <c r="B9" s="3234"/>
      <c r="C9" s="3238"/>
      <c r="D9" s="3225"/>
      <c r="E9" s="136" t="s">
        <v>1960</v>
      </c>
      <c r="F9" s="1943"/>
      <c r="G9" s="1943"/>
      <c r="H9" s="1943"/>
      <c r="I9" s="1557"/>
    </row>
    <row r="10" spans="1:12" ht="12.75">
      <c r="A10" s="3176" t="s">
        <v>1961</v>
      </c>
      <c r="B10" s="3234">
        <v>15</v>
      </c>
      <c r="C10" s="3237"/>
      <c r="D10" s="3225"/>
      <c r="E10" s="136" t="s">
        <v>1962</v>
      </c>
      <c r="F10" s="1943"/>
      <c r="G10" s="1943"/>
      <c r="H10" s="1943"/>
      <c r="I10" s="1557"/>
    </row>
    <row r="11" spans="1:12" ht="12.75">
      <c r="A11" s="3176"/>
      <c r="B11" s="3234"/>
      <c r="C11" s="3238"/>
      <c r="D11" s="3225"/>
      <c r="E11" s="136" t="s">
        <v>1963</v>
      </c>
      <c r="F11" s="1943"/>
      <c r="G11" s="1943"/>
      <c r="H11" s="1943"/>
      <c r="I11" s="1557"/>
    </row>
    <row r="12" spans="1:12" ht="12.75">
      <c r="A12" s="3176" t="s">
        <v>1964</v>
      </c>
      <c r="B12" s="3234">
        <v>15</v>
      </c>
      <c r="C12" s="3237"/>
      <c r="D12" s="3225"/>
      <c r="E12" s="136" t="s">
        <v>1965</v>
      </c>
      <c r="F12" s="1943"/>
      <c r="G12" s="1943"/>
      <c r="H12" s="1943"/>
      <c r="I12" s="1557"/>
    </row>
    <row r="13" spans="1:12" ht="12.75">
      <c r="A13" s="3176"/>
      <c r="B13" s="3234"/>
      <c r="C13" s="3238"/>
      <c r="D13" s="3225"/>
      <c r="E13" s="136" t="s">
        <v>1966</v>
      </c>
      <c r="F13" s="1943"/>
      <c r="G13" s="1943"/>
      <c r="H13" s="1943"/>
      <c r="I13" s="1557"/>
    </row>
    <row r="14" spans="1:12" ht="12.75">
      <c r="A14" s="3176" t="s">
        <v>1967</v>
      </c>
      <c r="B14" s="3234">
        <v>30</v>
      </c>
      <c r="C14" s="3237">
        <v>5</v>
      </c>
      <c r="D14" s="3225">
        <v>5</v>
      </c>
      <c r="E14" s="136" t="s">
        <v>1968</v>
      </c>
      <c r="F14" s="1943"/>
      <c r="G14" s="1943"/>
      <c r="H14" s="1943"/>
      <c r="I14" s="1557"/>
    </row>
    <row r="15" spans="1:12" ht="12.75">
      <c r="A15" s="3176"/>
      <c r="B15" s="3234"/>
      <c r="C15" s="3239"/>
      <c r="D15" s="3225"/>
      <c r="E15" s="136" t="s">
        <v>1969</v>
      </c>
      <c r="F15" s="1943"/>
      <c r="G15" s="1943"/>
      <c r="H15" s="1943"/>
      <c r="I15" s="1557"/>
    </row>
    <row r="16" spans="1:12" ht="12.75">
      <c r="A16" s="3176"/>
      <c r="B16" s="3234"/>
      <c r="C16" s="3238"/>
      <c r="D16" s="3225"/>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6" t="s">
        <v>2873</v>
      </c>
      <c r="F18" s="3257"/>
      <c r="G18" s="3257"/>
      <c r="H18" s="3257"/>
      <c r="I18" s="3257"/>
      <c r="K18" s="308" t="s">
        <v>1975</v>
      </c>
      <c r="L18" s="308">
        <f>IF(C1="",'数据-汇总表'!E3,SUMIF(项目类型,C1,'数据-汇总表'!E17:E26)+SUMIF(项目类型,C1,'数据-汇总表'!I17:I26))</f>
        <v>32069.72</v>
      </c>
      <c r="M18" s="308">
        <f>IF(C1="",'数据-汇总表'!E3,SUMIF(项目类型,C1,'数据-汇总表'!E17:E26))</f>
        <v>32069.72</v>
      </c>
    </row>
    <row r="19" spans="1:36" ht="15">
      <c r="A19" s="1947" t="s">
        <v>1976</v>
      </c>
      <c r="B19" s="1948" t="s">
        <v>1977</v>
      </c>
      <c r="C19" s="139">
        <f ca="1">SUMIF(INDIRECT("'"&amp;C4&amp;"'"&amp;"!A:A"),结果表!B19,INDIRECT("'"&amp;C4&amp;"'"&amp;"!B:B"))</f>
        <v>13897</v>
      </c>
      <c r="D19" s="140">
        <f ca="1">SUMIF(INDIRECT("'"&amp;D4&amp;"'"&amp;"!A:A"),结果表!B19,INDIRECT("'"&amp;D4&amp;"'"&amp;"!B:B"))</f>
        <v>13479</v>
      </c>
      <c r="E19" s="1947" t="s">
        <v>1978</v>
      </c>
      <c r="F19" s="1948" t="s">
        <v>1977</v>
      </c>
      <c r="G19" s="141">
        <f ca="1">ROUND(C19*$C$18+D19*$D$18,0)</f>
        <v>13688</v>
      </c>
      <c r="H19" s="1949" t="s">
        <v>1979</v>
      </c>
      <c r="I19" s="134"/>
      <c r="K19" s="308" t="s">
        <v>1980</v>
      </c>
      <c r="L19" s="308">
        <f>IF(C1="",'数据-汇总表'!D3,SUMIF(项目类型,C1,'数据-汇总表'!D17:D26)+SUMIF(项目类型,C1,'数据-汇总表'!H17:H27))</f>
        <v>60655.3</v>
      </c>
      <c r="M19" s="308">
        <f>IF(C1="",'数据-汇总表'!D3,SUMIF(项目类型,C1,'数据-汇总表'!D17:D26))</f>
        <v>60655.3</v>
      </c>
    </row>
    <row r="20" spans="1:36" ht="15">
      <c r="A20" s="1950"/>
      <c r="B20" s="1157" t="s">
        <v>1981</v>
      </c>
      <c r="C20" s="142">
        <f ca="1">SUMIF(INDIRECT("'"&amp;C4&amp;"'"&amp;"!A:A"),结果表!B20,INDIRECT("'"&amp;C4&amp;"'"&amp;"!B:B"))</f>
        <v>4333</v>
      </c>
      <c r="D20" s="143">
        <f ca="1">SUMIF(INDIRECT("'"&amp;D4&amp;"'"&amp;"!A:A"),结果表!B20,INDIRECT("'"&amp;D4&amp;"'"&amp;"!B:B"))</f>
        <v>4203</v>
      </c>
      <c r="E20" s="1950"/>
      <c r="F20" s="1157" t="s">
        <v>1981</v>
      </c>
      <c r="G20" s="144">
        <f ca="1">ROUND(C20*$C$18+D20*$D$18,0)</f>
        <v>4268</v>
      </c>
      <c r="H20" s="917" t="s">
        <v>1982</v>
      </c>
      <c r="I20" s="134"/>
    </row>
    <row r="21" spans="1:36" ht="15" customHeight="1" thickBot="1">
      <c r="A21" s="937"/>
      <c r="B21" s="1951" t="s">
        <v>1983</v>
      </c>
      <c r="C21" s="728">
        <f ca="1">ROUND(C19*10000/L19,0)</f>
        <v>2291</v>
      </c>
      <c r="D21" s="729">
        <f ca="1">ROUND(D19*10000/L19,0)</f>
        <v>2222</v>
      </c>
      <c r="E21" s="937"/>
      <c r="F21" s="1951" t="s">
        <v>1983</v>
      </c>
      <c r="G21" s="145">
        <f ca="1">ROUND(G19*10000/L19,0)</f>
        <v>2257</v>
      </c>
      <c r="H21" s="1952" t="s">
        <v>1982</v>
      </c>
      <c r="I21" s="134"/>
    </row>
    <row r="22" spans="1:36" ht="15" thickBot="1">
      <c r="A22" s="1874" t="s">
        <v>1984</v>
      </c>
      <c r="B22" s="1953"/>
      <c r="C22" s="1954"/>
      <c r="D22" s="730">
        <f ca="1">IF(C19&lt;D19,D19/C19-1,C19/D19-1)</f>
        <v>3.1011202611469724E-2</v>
      </c>
      <c r="E22" s="134"/>
      <c r="F22" s="134"/>
      <c r="G22" s="134"/>
      <c r="H22" s="134"/>
      <c r="I22" s="134"/>
    </row>
    <row r="23" spans="1:36" ht="13.5" thickBot="1">
      <c r="A23" s="1933"/>
      <c r="B23" s="1933"/>
      <c r="C23" s="1933"/>
      <c r="D23" s="1933"/>
      <c r="E23" s="134"/>
      <c r="F23" s="134"/>
      <c r="G23" s="134"/>
      <c r="H23" s="134"/>
      <c r="I23" s="134"/>
    </row>
    <row r="24" spans="1:36" ht="14.25">
      <c r="A24" s="3249" t="s">
        <v>1985</v>
      </c>
      <c r="B24" s="1948" t="s">
        <v>1977</v>
      </c>
      <c r="C24" s="141">
        <f>IF(B30=0,0,D30)</f>
        <v>0</v>
      </c>
      <c r="D24" s="1955"/>
      <c r="E24" s="134"/>
      <c r="F24" s="134"/>
      <c r="G24" s="134"/>
      <c r="H24" s="134"/>
      <c r="I24" s="134"/>
    </row>
    <row r="25" spans="1:36" ht="14.25">
      <c r="A25" s="325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13688</v>
      </c>
      <c r="D32" s="1961" t="s">
        <v>3578</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26" t="s">
        <v>1998</v>
      </c>
      <c r="B36" s="1973" t="s">
        <v>1999</v>
      </c>
      <c r="C36" s="150"/>
      <c r="D36" s="1974"/>
      <c r="E36" s="1975"/>
      <c r="F36" s="1976"/>
      <c r="G36" s="134"/>
      <c r="H36" s="134"/>
      <c r="I36" s="134"/>
    </row>
    <row r="37" spans="1:15" ht="15.75" thickBot="1">
      <c r="A37" s="3227"/>
      <c r="B37" s="1860" t="s">
        <v>2000</v>
      </c>
      <c r="C37" s="152"/>
      <c r="D37" s="1301"/>
      <c r="E37" s="1301"/>
      <c r="F37" s="1976"/>
      <c r="G37" s="134"/>
      <c r="H37" s="134"/>
      <c r="I37" s="134"/>
    </row>
    <row r="38" spans="1:15" ht="15.75" thickBot="1">
      <c r="A38" s="322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6" t="s">
        <v>2012</v>
      </c>
      <c r="B45" s="3247"/>
      <c r="C45" s="3248"/>
      <c r="D45" s="160">
        <f ca="1">ROUND(H101*F45,0)</f>
        <v>13688</v>
      </c>
      <c r="E45" s="161" t="s">
        <v>2013</v>
      </c>
      <c r="F45" s="162">
        <v>1</v>
      </c>
      <c r="G45" s="163" t="s">
        <v>2014</v>
      </c>
      <c r="H45" s="134"/>
      <c r="I45" s="134"/>
      <c r="J45" s="3163" t="s">
        <v>2015</v>
      </c>
      <c r="K45" s="3163"/>
      <c r="L45" s="3163"/>
      <c r="M45" s="3163"/>
      <c r="N45" s="3163"/>
      <c r="O45" s="3163"/>
    </row>
    <row r="46" spans="1:15" ht="14.25" customHeight="1">
      <c r="A46" s="3243" t="s">
        <v>2016</v>
      </c>
      <c r="B46" s="3244"/>
      <c r="C46" s="3244"/>
      <c r="D46" s="3244"/>
      <c r="E46" s="3244"/>
      <c r="F46" s="3244"/>
      <c r="G46" s="3245"/>
      <c r="H46" s="1992"/>
      <c r="I46" s="164"/>
      <c r="J46" s="2749">
        <v>1</v>
      </c>
      <c r="K46" s="3164" t="s">
        <v>2017</v>
      </c>
      <c r="L46" s="3164"/>
      <c r="M46" s="3165"/>
      <c r="N46" s="3165"/>
      <c r="O46" s="3165"/>
    </row>
    <row r="47" spans="1:15" ht="12" customHeight="1">
      <c r="A47" s="165" t="s">
        <v>2018</v>
      </c>
      <c r="B47" s="166"/>
      <c r="C47" s="167"/>
      <c r="D47" s="1247" t="s">
        <v>2019</v>
      </c>
      <c r="E47" s="308" t="s">
        <v>2020</v>
      </c>
      <c r="F47" s="168" t="s">
        <v>2021</v>
      </c>
      <c r="G47" s="2772" t="s">
        <v>2022</v>
      </c>
      <c r="H47" s="2773"/>
      <c r="I47" s="164"/>
      <c r="J47" s="2749">
        <v>2</v>
      </c>
      <c r="K47" s="3164" t="s">
        <v>2023</v>
      </c>
      <c r="L47" s="3164"/>
      <c r="M47" s="3166">
        <f>'数据-取费表'!B2</f>
        <v>44371</v>
      </c>
      <c r="N47" s="3166"/>
      <c r="O47" s="3166"/>
    </row>
    <row r="48" spans="1:15" ht="25.5">
      <c r="A48" s="3229" t="s">
        <v>2024</v>
      </c>
      <c r="B48" s="3230"/>
      <c r="C48" s="323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64" t="s">
        <v>2026</v>
      </c>
      <c r="L48" s="3164"/>
      <c r="M48" s="3167">
        <f ca="1">H101</f>
        <v>13688</v>
      </c>
      <c r="N48" s="3167"/>
      <c r="O48" s="3167"/>
    </row>
    <row r="49" spans="1:35" ht="25.5" customHeight="1">
      <c r="A49" s="2556" t="s">
        <v>2027</v>
      </c>
      <c r="B49" s="3212" t="s">
        <v>2028</v>
      </c>
      <c r="C49" s="3212"/>
      <c r="D49" s="1775">
        <v>0</v>
      </c>
      <c r="E49" s="330" t="s">
        <v>2029</v>
      </c>
      <c r="F49" s="2650" t="s">
        <v>34</v>
      </c>
      <c r="G49" s="3195"/>
      <c r="H49" s="2528" t="s">
        <v>2876</v>
      </c>
      <c r="I49" s="2529"/>
      <c r="J49" s="2749">
        <v>4</v>
      </c>
      <c r="K49" s="3164" t="str">
        <f>IF(项目基本情况!E8="房地产抵押价值","房地产抵押价值","抵押担保权已注销时的房地产抵押价值")</f>
        <v>房地产抵押价值</v>
      </c>
      <c r="L49" s="3164"/>
      <c r="M49" s="3167">
        <f ca="1">IF(项目基本情况!E8="房地产抵押价值",H107,H109)</f>
        <v>13688</v>
      </c>
      <c r="N49" s="3167"/>
      <c r="O49" s="3167"/>
    </row>
    <row r="50" spans="1:35" ht="25.5" customHeight="1">
      <c r="A50" s="2777"/>
      <c r="B50" s="3212" t="s">
        <v>2030</v>
      </c>
      <c r="C50" s="3212"/>
      <c r="D50" s="2778"/>
      <c r="E50" s="338"/>
      <c r="F50" s="2650"/>
      <c r="G50" s="3196"/>
      <c r="H50" s="2530" t="s">
        <v>2877</v>
      </c>
      <c r="I50" s="2529"/>
      <c r="J50" s="3163" t="s">
        <v>2031</v>
      </c>
      <c r="K50" s="3163"/>
      <c r="L50" s="3163"/>
      <c r="M50" s="3163"/>
      <c r="N50" s="3163"/>
      <c r="O50" s="3163"/>
    </row>
    <row r="51" spans="1:35" ht="20.45" customHeight="1">
      <c r="A51" s="2779"/>
      <c r="B51" s="3212" t="s">
        <v>2032</v>
      </c>
      <c r="C51" s="3212"/>
      <c r="D51" s="1247"/>
      <c r="E51" s="333"/>
      <c r="F51" s="2650"/>
      <c r="G51" s="3197"/>
      <c r="H51" s="2530" t="s">
        <v>2878</v>
      </c>
      <c r="I51" s="2529"/>
      <c r="J51" s="2750" t="s">
        <v>2033</v>
      </c>
      <c r="K51" s="3164" t="s">
        <v>2034</v>
      </c>
      <c r="L51" s="3164"/>
      <c r="M51" s="2750" t="s">
        <v>2035</v>
      </c>
      <c r="N51" s="2750" t="s">
        <v>2036</v>
      </c>
      <c r="O51" s="2750" t="s">
        <v>2037</v>
      </c>
    </row>
    <row r="52" spans="1:35" ht="24" customHeight="1">
      <c r="A52" s="2558" t="s">
        <v>2038</v>
      </c>
      <c r="B52" s="3212" t="s">
        <v>2039</v>
      </c>
      <c r="C52" s="3212"/>
      <c r="D52" s="1247">
        <f ca="1">ROUND(D45*'数据-取费表'!B41/(1+'数据-取费表'!C42),0)</f>
        <v>730</v>
      </c>
      <c r="E52" s="2557" t="s">
        <v>2040</v>
      </c>
      <c r="F52" s="2780">
        <f>'数据-取费表'!B41</f>
        <v>5.6000000000000001E-2</v>
      </c>
      <c r="G52" s="2781"/>
      <c r="H52" s="2770"/>
      <c r="I52" s="1993"/>
      <c r="J52" s="2749">
        <v>1</v>
      </c>
      <c r="K52" s="3189" t="s">
        <v>2041</v>
      </c>
      <c r="L52" s="3189"/>
      <c r="M52" s="2751" t="b">
        <f>D48</f>
        <v>0</v>
      </c>
      <c r="N52" s="2749" t="str">
        <f>E48</f>
        <v>销售额×税（费）率</v>
      </c>
      <c r="O52" s="2752">
        <f>F48</f>
        <v>5.6000000000000001E-2</v>
      </c>
    </row>
    <row r="53" spans="1:35" ht="12" customHeight="1">
      <c r="A53" s="2558" t="s">
        <v>2042</v>
      </c>
      <c r="B53" s="3213" t="s">
        <v>3037</v>
      </c>
      <c r="C53" s="3214"/>
      <c r="D53" s="1247">
        <f ca="1">ROUND(D45*'数据-取费表'!B41/(1+'数据-取费表'!C42),0)</f>
        <v>730</v>
      </c>
      <c r="E53" s="2557" t="s">
        <v>2040</v>
      </c>
      <c r="F53" s="2780">
        <f>'数据-取费表'!B41</f>
        <v>5.6000000000000001E-2</v>
      </c>
      <c r="G53" s="2781"/>
      <c r="H53" s="2770"/>
      <c r="I53" s="1993"/>
      <c r="J53" s="2749">
        <v>2</v>
      </c>
      <c r="K53" s="3189" t="s">
        <v>2043</v>
      </c>
      <c r="L53" s="3189"/>
      <c r="M53" s="2751">
        <f t="shared" ref="M53:O54" ca="1" si="0">D55</f>
        <v>7</v>
      </c>
      <c r="N53" s="2749" t="str">
        <f t="shared" si="0"/>
        <v>销售额×税（费）率</v>
      </c>
      <c r="O53" s="2752" t="str">
        <f t="shared" si="0"/>
        <v>免征</v>
      </c>
    </row>
    <row r="54" spans="1:35" ht="12" customHeight="1">
      <c r="A54" s="2558" t="s">
        <v>2044</v>
      </c>
      <c r="B54" s="3213" t="s">
        <v>3038</v>
      </c>
      <c r="C54" s="3214"/>
      <c r="D54" s="1247">
        <f ca="1">C68</f>
        <v>730</v>
      </c>
      <c r="E54" s="333" t="s">
        <v>2045</v>
      </c>
      <c r="F54" s="2780">
        <f>'数据-取费表'!B41</f>
        <v>5.6000000000000001E-2</v>
      </c>
      <c r="G54" s="2781"/>
      <c r="H54" s="2782"/>
      <c r="I54" s="1993"/>
      <c r="J54" s="2749">
        <v>3</v>
      </c>
      <c r="K54" s="3189" t="s">
        <v>2046</v>
      </c>
      <c r="L54" s="3189"/>
      <c r="M54" s="2751">
        <f t="shared" ca="1" si="0"/>
        <v>7748</v>
      </c>
      <c r="N54" s="2749" t="str">
        <f t="shared" si="0"/>
        <v>增值额×税（费）率</v>
      </c>
      <c r="O54" s="2753" t="str">
        <f t="shared" si="0"/>
        <v>免征</v>
      </c>
    </row>
    <row r="55" spans="1:35" ht="24" customHeight="1">
      <c r="A55" s="3252" t="s">
        <v>2047</v>
      </c>
      <c r="B55" s="3230"/>
      <c r="C55" s="3230"/>
      <c r="D55" s="2547">
        <f ca="1">IF(H55="个人住宅",0,ROUND(D45*I55,0))</f>
        <v>7</v>
      </c>
      <c r="E55" s="2557" t="s">
        <v>2048</v>
      </c>
      <c r="F55" s="2780" t="str">
        <f>IF(H55="正常",I55,"免征")</f>
        <v>免征</v>
      </c>
      <c r="G55" s="2781"/>
      <c r="H55" s="2776"/>
      <c r="I55" s="170">
        <f>'数据-取费表'!B49</f>
        <v>5.0000000000000001E-4</v>
      </c>
      <c r="J55" s="2749">
        <f>IF(H59="非个人房产","",4)</f>
        <v>4</v>
      </c>
      <c r="K55" s="3189" t="str">
        <f>IF(H59="非个人房产","——","个人所得税")</f>
        <v>个人所得税</v>
      </c>
      <c r="L55" s="3189"/>
      <c r="M55" s="2754">
        <f ca="1">D59</f>
        <v>130</v>
      </c>
      <c r="N55" s="2228" t="str">
        <f>E59</f>
        <v>差额计税</v>
      </c>
      <c r="O55" s="2755">
        <f>F59</f>
        <v>0.01</v>
      </c>
    </row>
    <row r="56" spans="1:35" ht="24.75">
      <c r="A56" s="3252" t="s">
        <v>2049</v>
      </c>
      <c r="B56" s="3230"/>
      <c r="C56" s="3230"/>
      <c r="D56" s="2547">
        <f ca="1">IF(H56="个人住宅",D57,D58)</f>
        <v>7748</v>
      </c>
      <c r="E56" s="2557" t="s">
        <v>2050</v>
      </c>
      <c r="F56" s="2780" t="str">
        <f>IF(H56="正常",F58,"免征")</f>
        <v>免征</v>
      </c>
      <c r="G56" s="2783" t="s">
        <v>2051</v>
      </c>
      <c r="H56" s="2784"/>
      <c r="I56" s="1994"/>
      <c r="J56" s="2749" t="str">
        <f>IF(项目基本情况!K6="上海银行",IF(J55="",4,J55+1),"")</f>
        <v/>
      </c>
      <c r="K56" s="3170" t="str">
        <f>IF(项目基本情况!K6="上海银行","其他处置费用","")</f>
        <v/>
      </c>
      <c r="L56" s="3171"/>
      <c r="M56" s="2751" t="str">
        <f>IF(项目基本情况!K6="上海银行",M69,"")</f>
        <v/>
      </c>
      <c r="N56" s="3170" t="str">
        <f>IF(项目基本情况!K6="上海银行","包含处置中涉及的律师、诉讼、拍卖、评估等费用","")</f>
        <v/>
      </c>
      <c r="O56" s="3173"/>
    </row>
    <row r="57" spans="1:35" ht="12.75">
      <c r="A57" s="2558" t="s">
        <v>2027</v>
      </c>
      <c r="B57" s="3213" t="s">
        <v>2052</v>
      </c>
      <c r="C57" s="3214"/>
      <c r="D57" s="1775">
        <v>0</v>
      </c>
      <c r="E57" s="330" t="s">
        <v>2029</v>
      </c>
      <c r="F57" s="308"/>
      <c r="G57" s="2781"/>
      <c r="H57" s="2785"/>
      <c r="I57" s="1994"/>
      <c r="J57" s="3189">
        <f>IF(AND(J55="",J56=""),4,IF(项目基本情况!K6="上海银行",结果表!J56+1,结果表!J55+1))</f>
        <v>5</v>
      </c>
      <c r="K57" s="3189" t="s">
        <v>2053</v>
      </c>
      <c r="L57" s="2756" t="s">
        <v>2054</v>
      </c>
      <c r="M57" s="2757"/>
      <c r="N57" s="2758">
        <f ca="1">SUMIF(M52:M56,"&lt;9e307")</f>
        <v>7885</v>
      </c>
      <c r="O57" s="2759"/>
      <c r="P57" s="2919">
        <f ca="1">N57/M49</f>
        <v>0.57605201636469905</v>
      </c>
    </row>
    <row r="58" spans="1:35" ht="24.75">
      <c r="A58" s="2558" t="s">
        <v>2038</v>
      </c>
      <c r="B58" s="3213" t="s">
        <v>2055</v>
      </c>
      <c r="C58" s="3212"/>
      <c r="D58" s="2547">
        <f ca="1">IF(H58="转让取得",C81,C97)</f>
        <v>7748</v>
      </c>
      <c r="E58" s="2557" t="s">
        <v>2050</v>
      </c>
      <c r="F58" s="308" t="s">
        <v>34</v>
      </c>
      <c r="G58" s="2781"/>
      <c r="H58" s="2784"/>
      <c r="I58" s="1994"/>
      <c r="J58" s="3189"/>
      <c r="K58" s="3189"/>
      <c r="L58" s="2756" t="s">
        <v>2056</v>
      </c>
      <c r="M58" s="2760"/>
      <c r="N58" s="2761" t="str">
        <f ca="1">NUMBERSTRING(INT(N57*10000),2)&amp;"元整"</f>
        <v>柒仟捌佰捌拾伍万元整</v>
      </c>
      <c r="O58" s="2762"/>
    </row>
    <row r="59" spans="1:35" ht="24.75" thickBot="1">
      <c r="A59" s="3193" t="s">
        <v>2057</v>
      </c>
      <c r="B59" s="3194"/>
      <c r="C59" s="3194"/>
      <c r="D59" s="2786">
        <f ca="1">IF(H59="非个人房产","——",IF(H59="个人住宅（满五唯一有凭证）",0,IF(H59="个人其他（无凭证）",ROUND(D45*F59,0),ROUND(C67*F59,0))))</f>
        <v>130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191">
        <f>J57+1</f>
        <v>6</v>
      </c>
      <c r="K59" s="3189" t="s">
        <v>2058</v>
      </c>
      <c r="L59" s="2749" t="s">
        <v>2054</v>
      </c>
      <c r="M59" s="2763"/>
      <c r="N59" s="2764">
        <f ca="1">M49-N57</f>
        <v>5803</v>
      </c>
      <c r="O59" s="2765"/>
    </row>
    <row r="60" spans="1:35" ht="12" customHeight="1">
      <c r="A60" s="1995"/>
      <c r="B60" s="1933"/>
      <c r="C60" s="1933"/>
      <c r="D60" s="1933"/>
      <c r="E60" s="1763"/>
      <c r="F60" s="1994"/>
      <c r="G60" s="1994"/>
      <c r="H60" s="1996"/>
      <c r="I60" s="134"/>
      <c r="J60" s="3192"/>
      <c r="K60" s="3189"/>
      <c r="L60" s="2756" t="s">
        <v>2056</v>
      </c>
      <c r="M60" s="2760"/>
      <c r="N60" s="2761" t="str">
        <f ca="1">NUMBERSTRING(INT(N59*10000),2)&amp;"元整"</f>
        <v>伍仟捌佰零叁万元整</v>
      </c>
      <c r="O60" s="2762"/>
    </row>
    <row r="61" spans="1:35" ht="13.5" thickBot="1">
      <c r="A61" s="3251" t="s">
        <v>2059</v>
      </c>
      <c r="B61" s="3251"/>
      <c r="C61" s="3251"/>
      <c r="D61" s="3251"/>
      <c r="E61" s="3251"/>
      <c r="F61" s="1994"/>
      <c r="G61" s="1994"/>
      <c r="H61" s="1996"/>
      <c r="I61" s="134"/>
      <c r="J61" s="2749">
        <f>J59+1</f>
        <v>7</v>
      </c>
      <c r="K61" s="3189" t="s">
        <v>2060</v>
      </c>
      <c r="L61" s="3189"/>
      <c r="M61" s="2766"/>
      <c r="N61" s="2767">
        <f ca="1">ROUND(N59*10000/'数据-汇总表'!E3,0)</f>
        <v>1809</v>
      </c>
      <c r="O61" s="2768"/>
    </row>
    <row r="62" spans="1:35" ht="12.75">
      <c r="A62" s="3208" t="s">
        <v>2061</v>
      </c>
      <c r="B62" s="3209"/>
      <c r="C62" s="2209"/>
      <c r="D62" s="2209" t="s">
        <v>2062</v>
      </c>
      <c r="E62" s="171" t="s">
        <v>2063</v>
      </c>
      <c r="F62" s="1994"/>
      <c r="G62" s="1994"/>
      <c r="H62" s="1996"/>
      <c r="I62" s="134"/>
    </row>
    <row r="63" spans="1:35" ht="12.75">
      <c r="A63" s="178" t="s">
        <v>775</v>
      </c>
      <c r="B63" s="172" t="s">
        <v>2064</v>
      </c>
      <c r="C63" s="2790">
        <f ca="1">ROUND((C64+C65)/(1+'数据-取费表'!C42),0)</f>
        <v>13036</v>
      </c>
      <c r="D63" s="172"/>
      <c r="E63" s="173"/>
      <c r="F63" s="1994"/>
      <c r="G63" s="1994"/>
      <c r="H63" s="1996"/>
      <c r="I63" s="134"/>
      <c r="J63" s="3172" t="s">
        <v>2065</v>
      </c>
      <c r="K63" s="1501" t="s">
        <v>2066</v>
      </c>
      <c r="L63" s="1501">
        <f ca="1">IF(M49&gt;10000,M49*0.5%,IF(AND(M49&gt;1000,M49&lt;=10000),M49*1%,IF(AND(M49&gt;100,M49&lt;=1000),M49*3%,IF(AND(M49&gt;10,M49&lt;=100),M49*5%,M49*8%))))</f>
        <v>68.44</v>
      </c>
      <c r="M63" s="308">
        <f ca="1">ROUND(L63,1)</f>
        <v>68.400000000000006</v>
      </c>
      <c r="N63" s="2769"/>
      <c r="Z63" s="1938"/>
      <c r="AI63" s="1939"/>
    </row>
    <row r="64" spans="1:35" ht="14.25" customHeight="1">
      <c r="A64" s="174" t="s">
        <v>770</v>
      </c>
      <c r="B64" s="175" t="s">
        <v>2067</v>
      </c>
      <c r="C64" s="2791">
        <f ca="1">D45</f>
        <v>13688</v>
      </c>
      <c r="D64" s="175" t="s">
        <v>32</v>
      </c>
      <c r="E64" s="177"/>
      <c r="F64" s="1994"/>
      <c r="G64" s="1994"/>
      <c r="H64" s="1996"/>
      <c r="I64" s="134"/>
      <c r="J64" s="3172"/>
      <c r="K64" s="1501" t="s">
        <v>2068</v>
      </c>
      <c r="L64" s="1501">
        <f ca="1">IF(M49&gt;2000,M49*0.5%,IF(AND(M49&gt;1000,M49&lt;=2000),M49*0.6%,IF(AND(M49&gt;500,M49&lt;=1000),M49*0.7%,IF(AND(M49&gt;200,M49&lt;=500),M49*0.8%,IF(AND(M49&gt;100,M49&lt;=200),M49*0.9%,IF(AND(M49&gt;50,M49&lt;=100),M49*1%,IF(AND(M49&gt;20,M49&lt;=50),M49*1.5%,IF(AND(M49&gt;10,M49&lt;=20),M49*2%,IF(AND(M49&gt;1,M49&lt;=10),M49*2.5%)))))))))</f>
        <v>68.44</v>
      </c>
      <c r="M64" s="308">
        <f t="shared" ref="M64:M65" ca="1" si="1">ROUND(L64,1)</f>
        <v>68.400000000000006</v>
      </c>
      <c r="N64" s="2770" t="s">
        <v>2069</v>
      </c>
      <c r="Z64" s="1938"/>
      <c r="AI64" s="1939"/>
    </row>
    <row r="65" spans="1:35" ht="14.25" customHeight="1">
      <c r="A65" s="174" t="s">
        <v>771</v>
      </c>
      <c r="B65" s="175" t="s">
        <v>2070</v>
      </c>
      <c r="C65" s="2792"/>
      <c r="D65" s="175"/>
      <c r="E65" s="177"/>
      <c r="F65" s="1994"/>
      <c r="G65" s="1994"/>
      <c r="H65" s="1996"/>
      <c r="I65" s="134"/>
      <c r="J65" s="3172"/>
      <c r="K65" s="1501" t="s">
        <v>2071</v>
      </c>
      <c r="L65" s="1501">
        <f ca="1">IF(M49&gt;1000,M49*0.1%,IF(AND(M49&gt;500,M49&lt;=1000),M49*0.5%,IF(AND(M49&gt;50,M49&lt;=500),M49*1%,IF(AND(M49&gt;1,M49&lt;=50),M49*1.5%))))</f>
        <v>13.688000000000001</v>
      </c>
      <c r="M65" s="308">
        <f t="shared" ca="1" si="1"/>
        <v>13.7</v>
      </c>
      <c r="N65" s="2770" t="s">
        <v>2069</v>
      </c>
      <c r="Z65" s="1938"/>
      <c r="AI65" s="1939"/>
    </row>
    <row r="66" spans="1:35" ht="14.25" customHeight="1">
      <c r="A66" s="178" t="s">
        <v>772</v>
      </c>
      <c r="B66" s="179" t="s">
        <v>2072</v>
      </c>
      <c r="C66" s="2793"/>
      <c r="D66" s="179" t="s">
        <v>32</v>
      </c>
      <c r="E66" s="1509" t="s">
        <v>1337</v>
      </c>
      <c r="F66" s="1994"/>
      <c r="G66" s="1994"/>
      <c r="H66" s="1996"/>
      <c r="I66" s="134"/>
      <c r="J66" s="3172"/>
      <c r="K66" s="1501" t="s">
        <v>2073</v>
      </c>
      <c r="L66" s="1501">
        <f ca="1">M49*0.5%</f>
        <v>68.44</v>
      </c>
      <c r="M66" s="308">
        <f ca="1">IF(L66&gt;0.5,0.5,ROUND(L66,0))</f>
        <v>0.5</v>
      </c>
      <c r="N66" s="2770" t="s">
        <v>2074</v>
      </c>
      <c r="Z66" s="1938"/>
      <c r="AI66" s="1939"/>
    </row>
    <row r="67" spans="1:35" ht="14.25" customHeight="1">
      <c r="A67" s="178" t="s">
        <v>773</v>
      </c>
      <c r="B67" s="179" t="s">
        <v>2075</v>
      </c>
      <c r="C67" s="2794">
        <f ca="1">C63-C66</f>
        <v>13036</v>
      </c>
      <c r="D67" s="175" t="s">
        <v>32</v>
      </c>
      <c r="E67" s="177"/>
      <c r="F67" s="1994"/>
      <c r="G67" s="1994"/>
      <c r="H67" s="1996"/>
      <c r="I67" s="134"/>
      <c r="J67" s="3172"/>
      <c r="K67" s="1501" t="s">
        <v>2076</v>
      </c>
      <c r="L67" s="1501">
        <f ca="1">IF(M49&gt;=10000,(8.25+(M49-10000)*0.01%),IF(AND(M49&gt;=8000,M49&lt;10000),(7.85+(M49-8000)*0.02%),IF(AND(M49&gt;=5000,M49&lt;8000),(6.65+(M49-5000)*0.04%),IF(AND(M49&gt;=2000,M49&lt;5000),(4.25+(PM49-2000)*0.08%),IF(AND(M49&gt;=1000,M49&lt;2000),(2.75+(M49-1000)*0.15%),IF(AND(M49&gt;=100,M49&lt;1000),(0.5+(M49-100)*0.25%),IF(AND(M49&gt;0,M49&lt;100),M49*0.5%)))))))</f>
        <v>8.6188000000000002</v>
      </c>
      <c r="M67" s="308">
        <f ca="1">ROUND(L67*0.9,1)</f>
        <v>7.8</v>
      </c>
      <c r="N67" s="2769"/>
      <c r="Z67" s="1938"/>
      <c r="AI67" s="1939"/>
    </row>
    <row r="68" spans="1:35" ht="14.25" customHeight="1" thickBot="1">
      <c r="A68" s="181" t="s">
        <v>774</v>
      </c>
      <c r="B68" s="182" t="s">
        <v>2077</v>
      </c>
      <c r="C68" s="2795">
        <f ca="1">IF(C67&lt;=0,0,ROUND(C67*D68,0))</f>
        <v>730</v>
      </c>
      <c r="D68" s="2796">
        <f>'数据-取费表'!B41</f>
        <v>5.6000000000000001E-2</v>
      </c>
      <c r="E68" s="184"/>
      <c r="F68" s="1994"/>
      <c r="G68" s="1994"/>
      <c r="H68" s="1996"/>
      <c r="I68" s="134"/>
      <c r="J68" s="3172"/>
      <c r="K68" s="1501" t="s">
        <v>2078</v>
      </c>
      <c r="L68" s="1501">
        <f ca="1">IF(M49&gt;10000,M49*0.5%,IF(AND(M49&gt;5000,M49&lt;=10000),M49*1%,IF(AND(M49&gt;1000,M49&lt;=5000),M49*2%,IF(AND(M49&gt;200,M49&lt;=1000),M49*3%,M49*5%))))</f>
        <v>68.44</v>
      </c>
      <c r="M68" s="308">
        <f ca="1">ROUND(L68,1)</f>
        <v>68.400000000000006</v>
      </c>
      <c r="N68" s="2769"/>
      <c r="Z68" s="1938"/>
      <c r="AI68" s="1939"/>
    </row>
    <row r="69" spans="1:35" s="1958" customFormat="1" ht="16.5" customHeight="1">
      <c r="A69" s="1997"/>
      <c r="B69" s="1998"/>
      <c r="C69" s="1999"/>
      <c r="D69" s="2000"/>
      <c r="E69" s="2001"/>
      <c r="F69" s="1763"/>
      <c r="G69" s="1763"/>
      <c r="H69" s="1762"/>
      <c r="I69" s="1933"/>
      <c r="J69" s="3172"/>
      <c r="K69" s="1501" t="s">
        <v>2079</v>
      </c>
      <c r="L69" s="1501"/>
      <c r="M69" s="308">
        <f ca="1">ROUND(SUM(M63:M68),0)</f>
        <v>227</v>
      </c>
      <c r="N69" s="2771">
        <f ca="1">M69/M49</f>
        <v>1.658386908240795E-2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6" t="s">
        <v>2080</v>
      </c>
      <c r="B70" s="3217"/>
      <c r="C70" s="3217"/>
      <c r="D70" s="3217"/>
      <c r="E70" s="3217"/>
      <c r="F70" s="3217"/>
      <c r="G70" s="3217"/>
      <c r="H70" s="321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8" t="s">
        <v>2061</v>
      </c>
      <c r="B71" s="3209"/>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13036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78</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13" t="s">
        <v>2088</v>
      </c>
      <c r="F76" s="3212"/>
      <c r="G76" s="3212"/>
      <c r="H76" s="321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78</v>
      </c>
      <c r="D78" s="2803">
        <f>'数据-取费表'!B43</f>
        <v>6.000000000000001E-3</v>
      </c>
      <c r="E78" s="3205" t="s">
        <v>2092</v>
      </c>
      <c r="F78" s="3206"/>
      <c r="G78" s="3206"/>
      <c r="H78" s="320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12958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166.12820512820514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7748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6" t="s">
        <v>2096</v>
      </c>
      <c r="B83" s="3217"/>
      <c r="C83" s="3217"/>
      <c r="D83" s="3217"/>
      <c r="E83" s="3217"/>
      <c r="F83" s="3217"/>
      <c r="G83" s="3217"/>
      <c r="H83" s="321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8" t="s">
        <v>2061</v>
      </c>
      <c r="B84" s="320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13036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78</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74" t="s">
        <v>2871</v>
      </c>
      <c r="H90" s="3175"/>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05" t="s">
        <v>2105</v>
      </c>
      <c r="F91" s="3206"/>
      <c r="G91" s="320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05" t="s">
        <v>2108</v>
      </c>
      <c r="F92" s="3206"/>
      <c r="G92" s="3206"/>
      <c r="H92" s="3207"/>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78</v>
      </c>
      <c r="D93" s="2803">
        <f>'数据-取费表'!B43</f>
        <v>6.000000000000001E-3</v>
      </c>
      <c r="E93" s="3205" t="s">
        <v>2092</v>
      </c>
      <c r="F93" s="3206"/>
      <c r="G93" s="3206"/>
      <c r="H93" s="320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53" t="s">
        <v>2112</v>
      </c>
      <c r="F94" s="3254"/>
      <c r="G94" s="3254"/>
      <c r="H94" s="325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12958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166.12820512820514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7748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5" t="s">
        <v>2114</v>
      </c>
      <c r="B100" s="3156"/>
      <c r="C100" s="3156"/>
      <c r="D100" s="3190"/>
      <c r="E100" s="3156" t="s">
        <v>2115</v>
      </c>
      <c r="F100" s="3156"/>
      <c r="G100" s="3156"/>
      <c r="H100" s="3190"/>
      <c r="I100" s="134"/>
    </row>
    <row r="101" spans="1:35" ht="18.75" customHeight="1">
      <c r="A101" s="3198" t="s">
        <v>2116</v>
      </c>
      <c r="B101" s="3199"/>
      <c r="C101" s="2811" t="str">
        <f>C4</f>
        <v>成本法</v>
      </c>
      <c r="D101" s="2812" t="str">
        <f>D4</f>
        <v>收益法</v>
      </c>
      <c r="E101" s="3168" t="s">
        <v>2117</v>
      </c>
      <c r="F101" s="3169"/>
      <c r="G101" s="2013" t="s">
        <v>2118</v>
      </c>
      <c r="H101" s="2821">
        <f ca="1">H118</f>
        <v>13688</v>
      </c>
      <c r="I101" s="134"/>
    </row>
    <row r="102" spans="1:35" ht="18.75" customHeight="1">
      <c r="A102" s="3200" t="s">
        <v>2119</v>
      </c>
      <c r="B102" s="2810" t="s">
        <v>2118</v>
      </c>
      <c r="C102" s="2811">
        <f ca="1">C19</f>
        <v>13897</v>
      </c>
      <c r="D102" s="2812">
        <f ca="1">D19</f>
        <v>13479</v>
      </c>
      <c r="E102" s="3168"/>
      <c r="F102" s="3169"/>
      <c r="G102" s="2013" t="s">
        <v>2120</v>
      </c>
      <c r="H102" s="2781">
        <f ca="1">I118</f>
        <v>4268</v>
      </c>
      <c r="I102" s="134"/>
    </row>
    <row r="103" spans="1:35" ht="42.75" customHeight="1">
      <c r="A103" s="3200"/>
      <c r="B103" s="2810" t="s">
        <v>2120</v>
      </c>
      <c r="C103" s="2813">
        <f ca="1">C20</f>
        <v>4333</v>
      </c>
      <c r="D103" s="2814">
        <f ca="1">D20</f>
        <v>4203</v>
      </c>
      <c r="E103" s="3161" t="s">
        <v>2121</v>
      </c>
      <c r="F103" s="3162"/>
      <c r="G103" s="2014" t="s">
        <v>2122</v>
      </c>
      <c r="H103" s="2821">
        <f>IF(D36="正常操作",H104+H105+H106,H105+H106)</f>
        <v>0</v>
      </c>
      <c r="I103" s="134"/>
    </row>
    <row r="104" spans="1:35" ht="18.75" customHeight="1">
      <c r="A104" s="3200" t="s">
        <v>2123</v>
      </c>
      <c r="B104" s="2815" t="s">
        <v>2118</v>
      </c>
      <c r="C104" s="2816">
        <f ca="1">H118</f>
        <v>13688</v>
      </c>
      <c r="D104" s="2817"/>
      <c r="E104" s="1860" t="s">
        <v>2124</v>
      </c>
      <c r="F104" s="1851"/>
      <c r="G104" s="2014" t="s">
        <v>2122</v>
      </c>
      <c r="H104" s="2822">
        <f>IF(D36="同一抵押权人同一抵押物续贷",C36&amp;"（续贷，未扣减，详见特别提示）",C36)</f>
        <v>0</v>
      </c>
      <c r="I104" s="134"/>
    </row>
    <row r="105" spans="1:35" ht="18.75" customHeight="1" thickBot="1">
      <c r="A105" s="3210"/>
      <c r="B105" s="2818" t="s">
        <v>2120</v>
      </c>
      <c r="C105" s="2819">
        <f ca="1">I118</f>
        <v>4268</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01" t="str">
        <f>IF(项目基本情况!E8="已注销","——","3.房地产抵押价值")</f>
        <v>3.房地产抵押价值</v>
      </c>
      <c r="F107" s="3169"/>
      <c r="G107" s="2013" t="s">
        <v>2118</v>
      </c>
      <c r="H107" s="2821">
        <f ca="1">IF(E107="——","——",H101-H103)</f>
        <v>13688</v>
      </c>
      <c r="I107" s="134"/>
    </row>
    <row r="108" spans="1:35" ht="18.75" customHeight="1">
      <c r="A108" s="134"/>
      <c r="B108" s="134"/>
      <c r="C108" s="134"/>
      <c r="D108" s="134"/>
      <c r="E108" s="3201"/>
      <c r="F108" s="3169"/>
      <c r="G108" s="2013" t="s">
        <v>2120</v>
      </c>
      <c r="H108" s="2781">
        <f ca="1">ROUND(H107*10000/'数据-汇总表'!E3,0)</f>
        <v>4268</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v>
      </c>
      <c r="F109" s="3169"/>
      <c r="G109" s="2013" t="s">
        <v>2118</v>
      </c>
      <c r="H109" s="2824" t="str">
        <f>IF(E109="——","——",H101-H105-H106)</f>
        <v>——</v>
      </c>
      <c r="I109" s="134"/>
    </row>
    <row r="110" spans="1:35" ht="18.75" customHeight="1">
      <c r="A110" s="134"/>
      <c r="B110" s="134"/>
      <c r="C110" s="134"/>
      <c r="D110" s="134"/>
      <c r="E110" s="3201"/>
      <c r="F110" s="3169"/>
      <c r="G110" s="2013" t="s">
        <v>2120</v>
      </c>
      <c r="H110" s="2781" t="str">
        <f>IF(H109="——","——",ROUND(H109*10000/'数据-汇总表'!E3,0))</f>
        <v>——</v>
      </c>
      <c r="I110" s="134"/>
    </row>
    <row r="111" spans="1:35" ht="18.75" customHeight="1">
      <c r="A111" s="134"/>
      <c r="B111" s="134"/>
      <c r="C111" s="134"/>
      <c r="D111" s="134"/>
      <c r="E111" s="3202" t="str">
        <f>IF(项目基本情况!E9="抵押净值",IF(OR(项目基本情况!E8="已注销",项目基本情况!E8="房地产抵押价值"),"4.抵押净值","5.抵押净值"),"——")</f>
        <v>——</v>
      </c>
      <c r="F111" s="3188"/>
      <c r="G111" s="2013" t="s">
        <v>2118</v>
      </c>
      <c r="H111" s="2821" t="str">
        <f>IF(E111="——","——",N59)</f>
        <v>——</v>
      </c>
      <c r="I111" s="134"/>
    </row>
    <row r="112" spans="1:35" ht="18.75" customHeight="1" thickBot="1">
      <c r="A112" s="134"/>
      <c r="B112" s="134"/>
      <c r="C112" s="134"/>
      <c r="D112" s="134"/>
      <c r="E112" s="3203"/>
      <c r="F112" s="3204"/>
      <c r="G112" s="2016" t="s">
        <v>2120</v>
      </c>
      <c r="H112" s="2825" t="str">
        <f>IF(E111="——","——",N61)</f>
        <v>——</v>
      </c>
      <c r="I112" s="134"/>
    </row>
    <row r="113" spans="1:27" ht="18.75" customHeight="1">
      <c r="A113" s="134"/>
      <c r="B113" s="134"/>
      <c r="C113" s="134"/>
      <c r="D113" s="134"/>
      <c r="E113" s="3211" t="s">
        <v>2126</v>
      </c>
      <c r="F113" s="3211"/>
      <c r="G113" s="3211"/>
      <c r="H113" s="3211"/>
      <c r="I113" s="134"/>
    </row>
    <row r="114" spans="1:27" ht="3.75" customHeight="1">
      <c r="A114" s="1933"/>
      <c r="B114" s="1933"/>
      <c r="C114" s="1933"/>
      <c r="D114" s="1933"/>
      <c r="E114" s="1995"/>
      <c r="F114" s="1995"/>
      <c r="G114" s="1995"/>
      <c r="H114" s="1995"/>
      <c r="I114" s="1933"/>
    </row>
    <row r="115" spans="1:27" ht="18.75" customHeight="1">
      <c r="A115" s="3222" t="s">
        <v>2128</v>
      </c>
      <c r="B115" s="3223"/>
      <c r="C115" s="3223"/>
      <c r="D115" s="3223"/>
      <c r="E115" s="3223"/>
      <c r="F115" s="3223"/>
      <c r="G115" s="3223"/>
      <c r="H115" s="3223"/>
      <c r="I115" s="3224"/>
    </row>
    <row r="116" spans="1:27" ht="27" customHeight="1">
      <c r="A116" s="3176" t="s">
        <v>2129</v>
      </c>
      <c r="B116" s="3180" t="s">
        <v>2130</v>
      </c>
      <c r="C116" s="3180" t="s">
        <v>2131</v>
      </c>
      <c r="D116" s="3186" t="s">
        <v>2132</v>
      </c>
      <c r="E116" s="3187"/>
      <c r="F116" s="3218" t="s">
        <v>2133</v>
      </c>
      <c r="G116" s="3218"/>
      <c r="H116" s="3176" t="s">
        <v>2134</v>
      </c>
      <c r="I116" s="3176"/>
    </row>
    <row r="117" spans="1:27" ht="18.75" customHeight="1">
      <c r="A117" s="3176"/>
      <c r="B117" s="3181"/>
      <c r="C117" s="3181"/>
      <c r="D117" s="2552" t="s">
        <v>2135</v>
      </c>
      <c r="E117" s="2552" t="s">
        <v>2136</v>
      </c>
      <c r="F117" s="2552" t="s">
        <v>2135</v>
      </c>
      <c r="G117" s="2552" t="s">
        <v>2137</v>
      </c>
      <c r="H117" s="2552" t="s">
        <v>2135</v>
      </c>
      <c r="I117" s="2552" t="s">
        <v>2137</v>
      </c>
    </row>
    <row r="118" spans="1:27" ht="24.75" customHeight="1">
      <c r="A118" s="2826" t="str">
        <f>项目基本情况!S2</f>
        <v>房地产</v>
      </c>
      <c r="B118" s="2552">
        <f>M18</f>
        <v>32069.72</v>
      </c>
      <c r="C118" s="2552">
        <f>M19</f>
        <v>60655.3</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13688</v>
      </c>
      <c r="I118" s="2552">
        <f ca="1">ROUND(IF(D32="楼面单价",C32,H118*10000/B118),0)</f>
        <v>4268</v>
      </c>
    </row>
    <row r="119" spans="1:27" ht="18.75" customHeight="1">
      <c r="A119" s="3176" t="s">
        <v>2138</v>
      </c>
      <c r="B119" s="3176"/>
      <c r="C119" s="3176"/>
      <c r="D119" s="3182" t="e">
        <f ca="1">NUMBERSTRING(INT(D118*10000),2)&amp;"元整"</f>
        <v>#REF!</v>
      </c>
      <c r="E119" s="3183"/>
      <c r="F119" s="3182" t="e">
        <f ca="1">NUMBERSTRING(INT(F118*10000),2)&amp;"元整"</f>
        <v>#REF!</v>
      </c>
      <c r="G119" s="3183"/>
      <c r="H119" s="3182" t="str">
        <f ca="1">NUMBERSTRING(INT(H118*10000),2)&amp;"元整"</f>
        <v>壹亿叁仟陆佰捌拾捌万元整</v>
      </c>
      <c r="I119" s="3183"/>
    </row>
    <row r="120" spans="1:27" ht="18.75" customHeight="1">
      <c r="A120" s="3177" t="str">
        <f>IF(项目基本情况!B9="房地产市场价值","",MID(E103,3,LEN(E103)-2))</f>
        <v>估价师知悉的法定优先受偿款</v>
      </c>
      <c r="B120" s="3178"/>
      <c r="C120" s="3179"/>
      <c r="D120" s="3177">
        <f>H103</f>
        <v>0</v>
      </c>
      <c r="E120" s="3178"/>
      <c r="F120" s="3178"/>
      <c r="G120" s="3178"/>
      <c r="H120" s="3178"/>
      <c r="I120" s="317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9" t="s">
        <v>2138</v>
      </c>
      <c r="B121" s="3220"/>
      <c r="C121" s="3221"/>
      <c r="D121" s="3182" t="str">
        <f>IF(D120=0,"零元整",NUMBERSTRING(INT(D120*10000),2)&amp;"元整")</f>
        <v>零元整</v>
      </c>
      <c r="E121" s="3184"/>
      <c r="F121" s="3184"/>
      <c r="G121" s="3184"/>
      <c r="H121" s="3184"/>
      <c r="I121" s="3183"/>
      <c r="AA121" s="734"/>
    </row>
    <row r="122" spans="1:27" ht="18.75" customHeight="1">
      <c r="A122" s="3188" t="str">
        <f>IF(项目基本情况!B9="房地产市场价值","",MID(E107,3,LEN(E107)-2))</f>
        <v>房地产抵押价值</v>
      </c>
      <c r="B122" s="3188"/>
      <c r="C122" s="3188"/>
      <c r="D122" s="3177">
        <f ca="1">H107</f>
        <v>13688</v>
      </c>
      <c r="E122" s="3178"/>
      <c r="F122" s="3178"/>
      <c r="G122" s="3178"/>
      <c r="H122" s="3178"/>
      <c r="I122" s="3179"/>
      <c r="AA122" s="734"/>
    </row>
    <row r="123" spans="1:27" ht="18.75" customHeight="1">
      <c r="A123" s="3176" t="s">
        <v>2138</v>
      </c>
      <c r="B123" s="3176"/>
      <c r="C123" s="3176"/>
      <c r="D123" s="3182" t="str">
        <f ca="1">NUMBERSTRING(INT(D122*10000),2)&amp;"元整"</f>
        <v>壹亿叁仟陆佰捌拾捌万元整</v>
      </c>
      <c r="E123" s="3184"/>
      <c r="F123" s="3184"/>
      <c r="G123" s="3184"/>
      <c r="H123" s="3184"/>
      <c r="I123" s="3183"/>
      <c r="AA123" s="734"/>
    </row>
    <row r="124" spans="1:27" ht="18.75" customHeight="1">
      <c r="A124" s="3188" t="str">
        <f>IF(项目基本情况!B9="房地产市场价值","",MID(E109,3,LEN(E109)-2))</f>
        <v/>
      </c>
      <c r="B124" s="3188"/>
      <c r="C124" s="3188"/>
      <c r="D124" s="3177" t="str">
        <f>H109</f>
        <v>——</v>
      </c>
      <c r="E124" s="3178"/>
      <c r="F124" s="3178"/>
      <c r="G124" s="3178"/>
      <c r="H124" s="3178"/>
      <c r="I124" s="3179"/>
      <c r="AA124" s="734"/>
    </row>
    <row r="125" spans="1:27" ht="18.75" customHeight="1">
      <c r="A125" s="3176" t="s">
        <v>2138</v>
      </c>
      <c r="B125" s="3176"/>
      <c r="C125" s="3176"/>
      <c r="D125" s="3182" t="e">
        <f>NUMBERSTRING(INT(D124*10000),2)&amp;"元整"</f>
        <v>#VALUE!</v>
      </c>
      <c r="E125" s="3184"/>
      <c r="F125" s="3184"/>
      <c r="G125" s="3184"/>
      <c r="H125" s="3184"/>
      <c r="I125" s="3183"/>
      <c r="AA125" s="734"/>
    </row>
    <row r="126" spans="1:27" ht="18.75" customHeight="1">
      <c r="A126" s="3188" t="str">
        <f>IF(项目基本情况!B9="房地产市场价值","",MID(E111,3,LEN(E111)-2))</f>
        <v/>
      </c>
      <c r="B126" s="3188"/>
      <c r="C126" s="3188"/>
      <c r="D126" s="3177" t="str">
        <f>H111</f>
        <v>——</v>
      </c>
      <c r="E126" s="3178"/>
      <c r="F126" s="3178"/>
      <c r="G126" s="3178"/>
      <c r="H126" s="3178"/>
      <c r="I126" s="3179"/>
      <c r="AA126" s="734"/>
    </row>
    <row r="127" spans="1:27" ht="18.75" customHeight="1">
      <c r="A127" s="3176" t="s">
        <v>2138</v>
      </c>
      <c r="B127" s="3176"/>
      <c r="C127" s="3176"/>
      <c r="D127" s="3182" t="e">
        <f>NUMBERSTRING(INT(D126*10000),2)&amp;"元整"</f>
        <v>#VALUE!</v>
      </c>
      <c r="E127" s="3184"/>
      <c r="F127" s="3184"/>
      <c r="G127" s="3184"/>
      <c r="H127" s="3184"/>
      <c r="I127" s="3183"/>
      <c r="AA127" s="734"/>
    </row>
    <row r="128" spans="1:27" ht="21.75" customHeight="1">
      <c r="A128" s="3185" t="s">
        <v>2139</v>
      </c>
      <c r="B128" s="3185"/>
      <c r="C128" s="3185"/>
      <c r="D128" s="3185"/>
      <c r="E128" s="3185"/>
      <c r="F128" s="3185"/>
      <c r="G128" s="3185"/>
      <c r="H128" s="3185"/>
      <c r="I128" s="318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49" sqref="D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13897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4333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2505</v>
      </c>
      <c r="D5" s="217" t="s">
        <v>2155</v>
      </c>
      <c r="E5" s="218" t="s">
        <v>2156</v>
      </c>
      <c r="F5" s="218" t="s">
        <v>2157</v>
      </c>
      <c r="G5" s="219"/>
    </row>
    <row r="6" spans="1:9" s="220" customFormat="1" ht="13.5" customHeight="1">
      <c r="A6" s="886" t="s">
        <v>2158</v>
      </c>
      <c r="B6" s="221" t="s">
        <v>2159</v>
      </c>
      <c r="C6" s="222">
        <f>'土地比较法-工业'!B2</f>
        <v>2431</v>
      </c>
      <c r="D6" s="223"/>
      <c r="E6" s="224"/>
      <c r="F6" s="224"/>
      <c r="G6" s="225"/>
    </row>
    <row r="7" spans="1:9" s="220" customFormat="1" ht="13.5" customHeight="1">
      <c r="A7" s="886" t="s">
        <v>2160</v>
      </c>
      <c r="B7" s="221" t="s">
        <v>2161</v>
      </c>
      <c r="C7" s="226">
        <f>ROUND(C6*F7,0)</f>
        <v>74</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3571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3572</v>
      </c>
      <c r="H9" s="1299"/>
      <c r="I9" s="2044"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32069.72</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32069.72</v>
      </c>
      <c r="E19" s="217">
        <f>'数据-取费表'!B31</f>
        <v>200</v>
      </c>
      <c r="F19" s="237"/>
      <c r="G19" s="2042" t="s">
        <v>3573</v>
      </c>
    </row>
    <row r="20" spans="1:7" s="220" customFormat="1" ht="13.5" customHeight="1">
      <c r="A20" s="261" t="s">
        <v>2179</v>
      </c>
      <c r="B20" s="216" t="s">
        <v>2180</v>
      </c>
      <c r="C20" s="238">
        <f>ROUND((C5+C19)*F20,0)</f>
        <v>63</v>
      </c>
      <c r="D20" s="238"/>
      <c r="E20" s="238"/>
      <c r="F20" s="239">
        <f>'数据-取费表'!B37</f>
        <v>2.5000000000000001E-2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167</v>
      </c>
      <c r="D22" s="241">
        <f ca="1">C26</f>
        <v>8.0000000000000004E-4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165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205</v>
      </c>
      <c r="D27" s="241">
        <f ca="1">C29</f>
        <v>2E-3</v>
      </c>
      <c r="E27" s="242" t="s">
        <v>2200</v>
      </c>
      <c r="F27" s="252">
        <f ca="1">IF(B1="",'数据-取费表'!Q16,INDIRECT("'数据-取费表'!q"&amp;$G$1))</f>
        <v>0.08</v>
      </c>
      <c r="G27" s="253" t="s">
        <v>2201</v>
      </c>
    </row>
    <row r="28" spans="1:7" s="220" customFormat="1" ht="13.5" customHeight="1">
      <c r="A28" s="888" t="s">
        <v>791</v>
      </c>
      <c r="B28" s="254" t="s">
        <v>2202</v>
      </c>
      <c r="C28" s="255">
        <f ca="1">ROUND((C5+C19+C20)*F27*'数据-取费表'!B21/'数据-取费表'!B20,0)</f>
        <v>205</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3199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10025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8980</v>
      </c>
      <c r="D34" s="223"/>
      <c r="E34" s="226"/>
      <c r="F34" s="263">
        <f ca="1">IF('数据-取费表'!B24=0,1,IF(B1="",'数据-取费表'!N16,INDIRECT("'数据-取费表'!n"&amp;$G$1)))</f>
        <v>1</v>
      </c>
      <c r="G34" s="225" t="s">
        <v>2212</v>
      </c>
    </row>
    <row r="35" spans="1:7" ht="13.5" customHeight="1">
      <c r="A35" s="888" t="s">
        <v>796</v>
      </c>
      <c r="B35" s="221" t="s">
        <v>2213</v>
      </c>
      <c r="C35" s="226">
        <f ca="1">ROUND(C34*F35,0)</f>
        <v>269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641</v>
      </c>
      <c r="D37" s="223">
        <f ca="1">D19</f>
        <v>32069.72</v>
      </c>
      <c r="E37" s="255">
        <f>'数据-取费表'!B35</f>
        <v>200</v>
      </c>
      <c r="F37" s="265"/>
      <c r="G37" s="267" t="s">
        <v>2218</v>
      </c>
    </row>
    <row r="38" spans="1:7" ht="13.5" customHeight="1">
      <c r="A38" s="888" t="s">
        <v>799</v>
      </c>
      <c r="B38" s="221" t="s">
        <v>2219</v>
      </c>
      <c r="C38" s="226">
        <f ca="1">ROUND(C34*F38,0)</f>
        <v>135</v>
      </c>
      <c r="D38" s="226"/>
      <c r="E38" s="226"/>
      <c r="F38" s="265">
        <f>'数据-取费表'!B36</f>
        <v>1.4999999999999999E-2</v>
      </c>
      <c r="G38" s="225" t="s">
        <v>2214</v>
      </c>
    </row>
    <row r="39" spans="1:7" s="220" customFormat="1" ht="13.5" customHeight="1">
      <c r="A39" s="261" t="s">
        <v>2220</v>
      </c>
      <c r="B39" s="216" t="s">
        <v>2221</v>
      </c>
      <c r="C39" s="238">
        <f ca="1">ROUND(C33*F20,0)</f>
        <v>251</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333</v>
      </c>
      <c r="D41" s="241">
        <f ca="1">C44</f>
        <v>8.0000000000000004E-4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325</v>
      </c>
      <c r="D42" s="244"/>
      <c r="E42" s="244"/>
      <c r="F42" s="245"/>
      <c r="G42" s="3258" t="s">
        <v>2230</v>
      </c>
    </row>
    <row r="43" spans="1:7" ht="13.5" customHeight="1">
      <c r="A43" s="888" t="s">
        <v>792</v>
      </c>
      <c r="B43" s="221" t="s">
        <v>2231</v>
      </c>
      <c r="C43" s="244">
        <f ca="1">ROUND(IF('数据-取费表'!B22&lt;=1,C39*F22*'数据-取费表'!B21/2,C39*(POWER((1+F22),'数据-取费表'!B21/2)-1)),0)</f>
        <v>8</v>
      </c>
      <c r="D43" s="244"/>
      <c r="E43" s="244"/>
      <c r="F43" s="245"/>
      <c r="G43" s="3259"/>
    </row>
    <row r="44" spans="1:7" ht="13.5" customHeight="1">
      <c r="A44" s="888" t="s">
        <v>793</v>
      </c>
      <c r="B44" s="221" t="s">
        <v>2232</v>
      </c>
      <c r="C44" s="244">
        <f ca="1">ROUND(IF('数据-取费表'!B22&lt;=1,C40*F22*'数据-取费表'!B21/2,C40*(POWER((1+F22),'数据-取费表'!B21/2)-1)),4)</f>
        <v>8.0000000000000004E-4</v>
      </c>
      <c r="D44" s="244"/>
      <c r="E44" s="244"/>
      <c r="F44" s="245"/>
      <c r="G44" s="3260"/>
    </row>
    <row r="45" spans="1:7" s="220" customFormat="1" ht="13.5" customHeight="1">
      <c r="A45" s="261" t="s">
        <v>2233</v>
      </c>
      <c r="B45" s="250" t="s">
        <v>2199</v>
      </c>
      <c r="C45" s="251">
        <f ca="1">C46</f>
        <v>822</v>
      </c>
      <c r="D45" s="241">
        <f ca="1">C47</f>
        <v>2E-3</v>
      </c>
      <c r="E45" s="242" t="s">
        <v>2225</v>
      </c>
      <c r="F45" s="2537">
        <f ca="1">F27</f>
        <v>0.08</v>
      </c>
      <c r="G45" s="253" t="s">
        <v>2234</v>
      </c>
    </row>
    <row r="46" spans="1:7" s="220" customFormat="1" ht="13.5" customHeight="1">
      <c r="A46" s="888" t="s">
        <v>791</v>
      </c>
      <c r="B46" s="254" t="s">
        <v>2235</v>
      </c>
      <c r="C46" s="255">
        <f ca="1">ROUND((C33+C39)*F27,0)</f>
        <v>822</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12440</v>
      </c>
      <c r="D49" s="238"/>
      <c r="E49" s="238"/>
      <c r="F49" s="270"/>
      <c r="G49" s="240" t="s">
        <v>2240</v>
      </c>
    </row>
    <row r="50" spans="1:7" s="264" customFormat="1" ht="24">
      <c r="A50" s="261" t="s">
        <v>2241</v>
      </c>
      <c r="B50" s="216" t="s">
        <v>2242</v>
      </c>
      <c r="C50" s="238"/>
      <c r="D50" s="238"/>
      <c r="E50" s="238"/>
      <c r="F50" s="270">
        <f>IF('数据-取费表'!B24=0,'数据-取费表'!N16,1)</f>
        <v>0.86</v>
      </c>
      <c r="G50" s="253" t="s">
        <v>2243</v>
      </c>
    </row>
    <row r="51" spans="1:7" ht="16.5" customHeight="1">
      <c r="A51" s="261" t="s">
        <v>2244</v>
      </c>
      <c r="B51" s="216" t="s">
        <v>2245</v>
      </c>
      <c r="C51" s="238">
        <f ca="1">ROUND(C49*F50,0)</f>
        <v>10698</v>
      </c>
      <c r="D51" s="238"/>
      <c r="E51" s="238"/>
      <c r="F51" s="270"/>
      <c r="G51" s="240" t="s">
        <v>2246</v>
      </c>
    </row>
    <row r="52" spans="1:7" s="214" customFormat="1" ht="16.5" thickBot="1">
      <c r="A52" s="271" t="s">
        <v>2247</v>
      </c>
      <c r="B52" s="272"/>
      <c r="C52" s="273">
        <f ca="1">C31+C51</f>
        <v>13897</v>
      </c>
      <c r="D52" s="272"/>
      <c r="E52" s="272"/>
      <c r="F52" s="272"/>
      <c r="G52" s="274"/>
    </row>
    <row r="55" spans="1:7" ht="15">
      <c r="B55" s="276" t="s">
        <v>2248</v>
      </c>
      <c r="C55" s="277"/>
    </row>
    <row r="56" spans="1:7">
      <c r="B56" s="279" t="s">
        <v>1478</v>
      </c>
      <c r="C56" s="281">
        <f ca="1">1-C57</f>
        <v>0.22999999999999998</v>
      </c>
    </row>
    <row r="57" spans="1:7">
      <c r="B57" s="279" t="s">
        <v>1479</v>
      </c>
      <c r="C57" s="280">
        <f ca="1">ROUND(C51/C52,3)</f>
        <v>0.77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9" t="str">
        <f>项目基本情况!B1</f>
        <v>房地产抵押价值预评估</v>
      </c>
      <c r="C37" s="3069"/>
      <c r="D37" s="3069"/>
      <c r="E37" s="3069"/>
      <c r="F37" s="3069"/>
      <c r="G37" s="3069"/>
      <c r="H37" s="3069"/>
      <c r="I37" s="306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11518</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3592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32069.72</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6413944</v>
      </c>
      <c r="D19" s="958">
        <f ca="1">D9+D10</f>
        <v>32069.72</v>
      </c>
      <c r="E19" s="217">
        <f>'数据-取费表'!B31</f>
        <v>200</v>
      </c>
      <c r="F19" s="237"/>
      <c r="G19" s="2042"/>
    </row>
    <row r="20" spans="1:7" s="220" customFormat="1" ht="13.5" customHeight="1">
      <c r="A20" s="261" t="s">
        <v>2260</v>
      </c>
      <c r="B20" s="216" t="s">
        <v>2261</v>
      </c>
      <c r="C20" s="238">
        <f ca="1">ROUND((C5+C19)*F20,0)</f>
        <v>160349</v>
      </c>
      <c r="D20" s="238"/>
      <c r="E20" s="238"/>
      <c r="F20" s="239">
        <f>'数据-取费表'!B37</f>
        <v>2.5000000000000001E-2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428232</v>
      </c>
      <c r="D22" s="241">
        <f ca="1">C26</f>
        <v>8.0000000000000004E-4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423029</v>
      </c>
      <c r="D24" s="244"/>
      <c r="E24" s="244"/>
      <c r="F24" s="245"/>
      <c r="G24" s="246" t="s">
        <v>2272</v>
      </c>
    </row>
    <row r="25" spans="1:7" s="220" customFormat="1" ht="24">
      <c r="A25" s="888" t="s">
        <v>2162</v>
      </c>
      <c r="B25" s="221" t="s">
        <v>2273</v>
      </c>
      <c r="C25" s="1290">
        <f ca="1">ROUND(IF('数据-取费表'!B22&lt;=1,C20*F22*'数据-取费表'!B22/2,C20*(POWER((1+F22),'数据-取费表'!B22/2)-1)),0)</f>
        <v>5203</v>
      </c>
      <c r="D25" s="244"/>
      <c r="E25" s="247"/>
      <c r="F25" s="245"/>
      <c r="G25" s="248" t="s">
        <v>2274</v>
      </c>
    </row>
    <row r="26" spans="1:7" s="220" customFormat="1">
      <c r="A26" s="888" t="s">
        <v>795</v>
      </c>
      <c r="B26" s="221" t="s">
        <v>2197</v>
      </c>
      <c r="C26" s="244">
        <f ca="1">ROUND(IF('数据-取费表'!B22&lt;=1,F21*F22*'数据-取费表'!B22/2,F21*(POWER((1+F22),'数据-取费表'!B22/2)-1)),4)</f>
        <v>8.0000000000000004E-4</v>
      </c>
      <c r="D26" s="244"/>
      <c r="E26" s="247"/>
      <c r="F26" s="245"/>
      <c r="G26" s="249"/>
    </row>
    <row r="27" spans="1:7" s="220" customFormat="1" ht="24.75">
      <c r="A27" s="261" t="s">
        <v>2198</v>
      </c>
      <c r="B27" s="250" t="s">
        <v>2199</v>
      </c>
      <c r="C27" s="251">
        <f ca="1">C28</f>
        <v>525943</v>
      </c>
      <c r="D27" s="241">
        <f ca="1">C29</f>
        <v>2E-3</v>
      </c>
      <c r="E27" s="242" t="s">
        <v>2200</v>
      </c>
      <c r="F27" s="252">
        <f ca="1">IF(B1="",'数据-取费表'!Q16,INDIRECT("'数据-取费表'!q"&amp;$G$1))</f>
        <v>0.08</v>
      </c>
      <c r="G27" s="253" t="s">
        <v>2201</v>
      </c>
    </row>
    <row r="28" spans="1:7" s="220" customFormat="1" ht="13.5" customHeight="1">
      <c r="A28" s="888" t="s">
        <v>791</v>
      </c>
      <c r="B28" s="254" t="s">
        <v>2202</v>
      </c>
      <c r="C28" s="255">
        <f ca="1">ROUND((C5+C19+C20)*F27,0)</f>
        <v>525943</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8192913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100249944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89795216</v>
      </c>
      <c r="D34" s="223"/>
      <c r="E34" s="226"/>
      <c r="F34" s="263"/>
      <c r="G34" s="225"/>
    </row>
    <row r="35" spans="1:7" ht="13.5" customHeight="1">
      <c r="A35" s="888" t="s">
        <v>796</v>
      </c>
      <c r="B35" s="221" t="s">
        <v>2213</v>
      </c>
      <c r="C35" s="226">
        <f ca="1">ROUND(C34*F35,0)</f>
        <v>2693856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6413944</v>
      </c>
      <c r="D37" s="223">
        <f ca="1">D19</f>
        <v>32069.72</v>
      </c>
      <c r="E37" s="255">
        <f>'数据-取费表'!B35</f>
        <v>200</v>
      </c>
      <c r="F37" s="265"/>
      <c r="G37" s="267"/>
    </row>
    <row r="38" spans="1:7" ht="13.5" customHeight="1">
      <c r="A38" s="888" t="s">
        <v>799</v>
      </c>
      <c r="B38" s="221" t="s">
        <v>2219</v>
      </c>
      <c r="C38" s="226">
        <f ca="1">ROUND(C34*F38,0)</f>
        <v>1346928</v>
      </c>
      <c r="D38" s="226"/>
      <c r="E38" s="226"/>
      <c r="F38" s="265">
        <f>'数据-取费表'!B36</f>
        <v>1.4999999999999999E-2</v>
      </c>
      <c r="G38" s="225" t="s">
        <v>2214</v>
      </c>
    </row>
    <row r="39" spans="1:7" s="220" customFormat="1" ht="13.5" customHeight="1">
      <c r="A39" s="261" t="s">
        <v>2220</v>
      </c>
      <c r="B39" s="216" t="s">
        <v>2221</v>
      </c>
      <c r="C39" s="238">
        <f ca="1">ROUND(C33*F20,0)</f>
        <v>2506249</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3334515</v>
      </c>
      <c r="D41" s="241">
        <f ca="1">C44</f>
        <v>8.0000000000000004E-4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3253185</v>
      </c>
      <c r="D42" s="244"/>
      <c r="E42" s="244"/>
      <c r="F42" s="245"/>
      <c r="G42" s="3258" t="s">
        <v>2277</v>
      </c>
    </row>
    <row r="43" spans="1:7" ht="13.5" customHeight="1">
      <c r="A43" s="888" t="s">
        <v>792</v>
      </c>
      <c r="B43" s="221" t="s">
        <v>2231</v>
      </c>
      <c r="C43" s="244">
        <f ca="1">ROUND(IF('数据-取费表'!B22&lt;=1,C39*F22*'数据-取费表'!B20/2,C39*(POWER((1+F22),'数据-取费表'!B20/2)-1)),0)</f>
        <v>81330</v>
      </c>
      <c r="D43" s="244"/>
      <c r="E43" s="244"/>
      <c r="F43" s="245"/>
      <c r="G43" s="3259"/>
    </row>
    <row r="44" spans="1:7" ht="13.5" customHeight="1">
      <c r="A44" s="888" t="s">
        <v>793</v>
      </c>
      <c r="B44" s="221" t="s">
        <v>2232</v>
      </c>
      <c r="C44" s="244">
        <f ca="1">ROUND(IF('数据-取费表'!B22&lt;=1,C40*F22*'数据-取费表'!B20/2,C40*(POWER((1+F22),'数据-取费表'!B20/2)-1)),4)</f>
        <v>8.0000000000000004E-4</v>
      </c>
      <c r="D44" s="244"/>
      <c r="E44" s="244"/>
      <c r="F44" s="245"/>
      <c r="G44" s="3260"/>
    </row>
    <row r="45" spans="1:7" s="220" customFormat="1" ht="13.5" customHeight="1">
      <c r="A45" s="261" t="s">
        <v>2233</v>
      </c>
      <c r="B45" s="250" t="s">
        <v>2199</v>
      </c>
      <c r="C45" s="251">
        <f ca="1">C46</f>
        <v>8220495</v>
      </c>
      <c r="D45" s="241">
        <f ca="1">C47</f>
        <v>2E-3</v>
      </c>
      <c r="E45" s="242" t="s">
        <v>2225</v>
      </c>
      <c r="F45" s="2537">
        <f ca="1">F27</f>
        <v>0.08</v>
      </c>
      <c r="G45" s="253" t="s">
        <v>2234</v>
      </c>
    </row>
    <row r="46" spans="1:7" s="220" customFormat="1" ht="13.5" customHeight="1">
      <c r="A46" s="888" t="s">
        <v>791</v>
      </c>
      <c r="B46" s="254" t="s">
        <v>2235</v>
      </c>
      <c r="C46" s="255">
        <f ca="1">ROUND((C33+C39)*F27,0)</f>
        <v>8220495</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124400047</v>
      </c>
      <c r="D49" s="238"/>
      <c r="E49" s="238"/>
      <c r="F49" s="270"/>
      <c r="G49" s="240" t="s">
        <v>2240</v>
      </c>
    </row>
    <row r="50" spans="1:7" s="264" customFormat="1">
      <c r="A50" s="261" t="s">
        <v>2241</v>
      </c>
      <c r="B50" s="216" t="s">
        <v>2242</v>
      </c>
      <c r="C50" s="238"/>
      <c r="D50" s="238"/>
      <c r="E50" s="238"/>
      <c r="F50" s="270">
        <f>IF('数据-取费表'!B24=0,'数据-取费表'!N16,1)</f>
        <v>0.86</v>
      </c>
      <c r="G50" s="253"/>
    </row>
    <row r="51" spans="1:7" ht="16.5" customHeight="1">
      <c r="A51" s="261" t="s">
        <v>2244</v>
      </c>
      <c r="B51" s="216" t="s">
        <v>2279</v>
      </c>
      <c r="C51" s="238">
        <f ca="1">ROUND(C49*F50,0)</f>
        <v>106984040</v>
      </c>
      <c r="D51" s="238"/>
      <c r="E51" s="238"/>
      <c r="F51" s="270"/>
      <c r="G51" s="240" t="s">
        <v>2246</v>
      </c>
    </row>
    <row r="52" spans="1:7" s="214" customFormat="1" ht="16.5" thickBot="1">
      <c r="A52" s="271" t="s">
        <v>2247</v>
      </c>
      <c r="B52" s="272"/>
      <c r="C52" s="273">
        <f ca="1">C31+C51</f>
        <v>115176953</v>
      </c>
      <c r="D52" s="272"/>
      <c r="E52" s="272"/>
      <c r="F52" s="272"/>
      <c r="G52" s="274"/>
    </row>
    <row r="55" spans="1:7" ht="15">
      <c r="B55" s="276" t="s">
        <v>2248</v>
      </c>
      <c r="C55" s="277"/>
    </row>
    <row r="56" spans="1:7">
      <c r="B56" s="279" t="s">
        <v>1478</v>
      </c>
      <c r="C56" s="281">
        <f ca="1">1-C57</f>
        <v>7.0999999999999952E-2</v>
      </c>
    </row>
    <row r="57" spans="1:7">
      <c r="B57" s="279" t="s">
        <v>1479</v>
      </c>
      <c r="C57" s="280">
        <f ca="1">ROUND(C51/C52,3)</f>
        <v>0.92900000000000005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32069.72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32069.72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32069.72</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2.5000000000000001E-2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D66" sqref="D66:M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2431</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758</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4" t="s">
        <v>2467</v>
      </c>
      <c r="D4" s="3275"/>
      <c r="E4" s="3276" t="s">
        <v>2468</v>
      </c>
      <c r="F4" s="3277"/>
      <c r="G4" s="3274" t="s">
        <v>2469</v>
      </c>
      <c r="H4" s="3275"/>
      <c r="I4" s="3274" t="s">
        <v>2470</v>
      </c>
      <c r="J4" s="3275"/>
      <c r="K4" s="567" t="s">
        <v>2471</v>
      </c>
      <c r="L4" s="2944"/>
      <c r="M4" s="2945"/>
      <c r="N4" s="2945"/>
      <c r="O4" s="2945"/>
      <c r="P4" s="3278" t="s">
        <v>2472</v>
      </c>
      <c r="Q4" s="3279"/>
      <c r="R4" s="3291" t="s">
        <v>2468</v>
      </c>
      <c r="S4" s="3292"/>
      <c r="T4" s="3291" t="s">
        <v>2469</v>
      </c>
      <c r="U4" s="3292"/>
      <c r="V4" s="3266" t="s">
        <v>2470</v>
      </c>
      <c r="W4" s="3266"/>
      <c r="X4" s="1539"/>
      <c r="Y4" s="3291" t="s">
        <v>2472</v>
      </c>
      <c r="Z4" s="3292"/>
      <c r="AA4" s="3271" t="s">
        <v>2468</v>
      </c>
      <c r="AB4" s="3272" t="s">
        <v>2469</v>
      </c>
      <c r="AC4" s="3271" t="s">
        <v>2470</v>
      </c>
    </row>
    <row r="5" spans="1:29" ht="15">
      <c r="A5" s="364"/>
      <c r="B5" s="365"/>
      <c r="C5" s="3295" t="s">
        <v>2363</v>
      </c>
      <c r="D5" s="3296"/>
      <c r="E5" s="3284" t="str">
        <f>Sheet1!A58</f>
        <v>天津空港经济区环河西路以东、西六道以北</v>
      </c>
      <c r="F5" s="3285"/>
      <c r="G5" s="3295" t="str">
        <f>Sheet1!A65</f>
        <v>天津空港经济区经五路以西</v>
      </c>
      <c r="H5" s="3296"/>
      <c r="I5" s="3295" t="str">
        <f>Sheet1!A66</f>
        <v>天津港保税区临港区域</v>
      </c>
      <c r="J5" s="3296"/>
      <c r="K5" s="567"/>
      <c r="L5" s="2944"/>
      <c r="M5" s="2945"/>
      <c r="N5" s="2945"/>
      <c r="O5" s="2945"/>
      <c r="P5" s="3280"/>
      <c r="Q5" s="3281"/>
      <c r="R5" s="3293"/>
      <c r="S5" s="3294"/>
      <c r="T5" s="3293"/>
      <c r="U5" s="3294"/>
      <c r="V5" s="3266"/>
      <c r="W5" s="3266"/>
      <c r="X5" s="1539"/>
      <c r="Y5" s="3293"/>
      <c r="Z5" s="3294"/>
      <c r="AA5" s="3272"/>
      <c r="AB5" s="3272"/>
      <c r="AC5" s="3272"/>
    </row>
    <row r="6" spans="1:29" ht="15.75" thickBot="1">
      <c r="A6" s="366"/>
      <c r="B6" s="367"/>
      <c r="C6" s="3297" t="s">
        <v>2618</v>
      </c>
      <c r="D6" s="3298"/>
      <c r="E6" s="3300" t="s">
        <v>2618</v>
      </c>
      <c r="F6" s="3301"/>
      <c r="G6" s="3297" t="s">
        <v>2618</v>
      </c>
      <c r="H6" s="3298"/>
      <c r="I6" s="3297" t="s">
        <v>2618</v>
      </c>
      <c r="J6" s="3298"/>
      <c r="K6" s="567" t="s">
        <v>2368</v>
      </c>
      <c r="L6" s="2944"/>
      <c r="M6" s="2945"/>
      <c r="N6" s="2945"/>
      <c r="O6" s="2945"/>
      <c r="P6" s="3282"/>
      <c r="Q6" s="3283"/>
      <c r="R6" s="3293"/>
      <c r="S6" s="3294"/>
      <c r="T6" s="3302"/>
      <c r="U6" s="3303"/>
      <c r="V6" s="3266"/>
      <c r="W6" s="3266"/>
      <c r="X6" s="1539"/>
      <c r="Y6" s="3302"/>
      <c r="Z6" s="3303"/>
      <c r="AA6" s="3273"/>
      <c r="AB6" s="3273"/>
      <c r="AC6" s="3273"/>
    </row>
    <row r="7" spans="1:29" s="113" customFormat="1" ht="15.75" thickBot="1">
      <c r="A7" s="368" t="s">
        <v>2369</v>
      </c>
      <c r="B7" s="369"/>
      <c r="C7" s="370">
        <f>'数据-取费表'!B2</f>
        <v>44371</v>
      </c>
      <c r="D7" s="371">
        <v>100</v>
      </c>
      <c r="E7" s="372" t="str">
        <f>Sheet1!K58</f>
        <v>2019-08-28</v>
      </c>
      <c r="F7" s="373">
        <f>SUMIF(65:65,YEAR(E7)&amp;"-"&amp;INT((MONTH(E7)+2)/3),66:66)</f>
        <v>98.59999999999998</v>
      </c>
      <c r="G7" s="2160" t="str">
        <f>Sheet1!K65</f>
        <v>2020-06-10</v>
      </c>
      <c r="H7" s="371">
        <f>SUMIF(65:65,YEAR(G7)&amp;"-"&amp;INT((MONTH(G7)+2)/3),66:66)</f>
        <v>99.199999999999989</v>
      </c>
      <c r="I7" s="2160" t="str">
        <f>Sheet1!K66</f>
        <v>2019-05-22</v>
      </c>
      <c r="J7" s="371">
        <f>SUMIF(65:65,YEAR(I7)&amp;"-"&amp;INT((MONTH(I7)+2)/3),66:66)</f>
        <v>98.399999999999977</v>
      </c>
      <c r="K7" s="568"/>
      <c r="L7" s="2946"/>
      <c r="M7" s="2947"/>
      <c r="N7" s="2947"/>
      <c r="O7" s="2947"/>
      <c r="P7" s="3286" t="s">
        <v>2370</v>
      </c>
      <c r="Q7" s="3299"/>
      <c r="R7" s="710" t="s">
        <v>17</v>
      </c>
      <c r="S7" s="711">
        <f t="shared" ref="S7:S15" si="0">F7</f>
        <v>98.59999999999998</v>
      </c>
      <c r="T7" s="710" t="s">
        <v>17</v>
      </c>
      <c r="U7" s="711">
        <f t="shared" ref="U7:U15" si="1">H7</f>
        <v>99.199999999999989</v>
      </c>
      <c r="V7" s="710" t="s">
        <v>17</v>
      </c>
      <c r="W7" s="711">
        <f t="shared" ref="W7:W15" si="2">J7</f>
        <v>98.399999999999977</v>
      </c>
      <c r="X7" s="712"/>
      <c r="Y7" s="3286" t="s">
        <v>2370</v>
      </c>
      <c r="Z7" s="3287"/>
      <c r="AA7" s="713">
        <f>D7/F7</f>
        <v>1.0141987829614607</v>
      </c>
      <c r="AB7" s="713">
        <f>D7/H7</f>
        <v>1.0080645161290325</v>
      </c>
      <c r="AC7" s="713">
        <f>D7/J7</f>
        <v>1.0162601626016263</v>
      </c>
    </row>
    <row r="8" spans="1:29" s="113" customFormat="1" ht="15.75" thickBot="1">
      <c r="A8" s="368" t="s">
        <v>2371</v>
      </c>
      <c r="B8" s="369"/>
      <c r="C8" s="374" t="s">
        <v>2372</v>
      </c>
      <c r="D8" s="371">
        <v>100</v>
      </c>
      <c r="E8" s="374" t="s">
        <v>2372</v>
      </c>
      <c r="F8" s="373">
        <f>SUMIF(68:68,E8,69:69)-SUMIF(68:68,C8,69:69)+100</f>
        <v>100</v>
      </c>
      <c r="G8" s="374" t="s">
        <v>2372</v>
      </c>
      <c r="H8" s="371">
        <f>SUMIF(68:68,G8,69:69)-SUMIF(68:68,C8,69:69)+100</f>
        <v>100</v>
      </c>
      <c r="I8" s="374" t="s">
        <v>2372</v>
      </c>
      <c r="J8" s="371">
        <f>SUMIF(68:68,I8,69:69)-SUMIF(68:68,C8,69:69)+100</f>
        <v>100</v>
      </c>
      <c r="K8" s="568"/>
      <c r="L8" s="2946"/>
      <c r="M8" s="2947"/>
      <c r="N8" s="2947"/>
      <c r="O8" s="2947"/>
      <c r="P8" s="3286" t="s">
        <v>2373</v>
      </c>
      <c r="Q8" s="3287"/>
      <c r="R8" s="710" t="s">
        <v>17</v>
      </c>
      <c r="S8" s="711">
        <f t="shared" si="0"/>
        <v>100</v>
      </c>
      <c r="T8" s="710" t="s">
        <v>17</v>
      </c>
      <c r="U8" s="711">
        <f t="shared" si="1"/>
        <v>100</v>
      </c>
      <c r="V8" s="710" t="s">
        <v>17</v>
      </c>
      <c r="W8" s="711">
        <f t="shared" si="2"/>
        <v>100</v>
      </c>
      <c r="X8" s="712"/>
      <c r="Y8" s="3286" t="s">
        <v>2373</v>
      </c>
      <c r="Z8" s="3287"/>
      <c r="AA8" s="713">
        <f t="shared" ref="AA8:AA40" si="3">D8/F8</f>
        <v>1</v>
      </c>
      <c r="AB8" s="713">
        <f t="shared" ref="AB8:AB40" si="4">D8/H8</f>
        <v>1</v>
      </c>
      <c r="AC8" s="713">
        <f t="shared" ref="AC8:AC40" si="5">D8/J8</f>
        <v>1</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64"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106</v>
      </c>
      <c r="G10" s="391"/>
      <c r="H10" s="132">
        <f>ROUND(100/'数据-取费表'!G16,0)</f>
        <v>106</v>
      </c>
      <c r="I10" s="391"/>
      <c r="J10" s="132">
        <f>ROUND(100/'数据-取费表'!G16,0)</f>
        <v>106</v>
      </c>
      <c r="K10" s="628"/>
      <c r="L10" s="2948"/>
      <c r="M10" s="2949"/>
      <c r="N10" s="2949"/>
      <c r="O10" s="3002"/>
      <c r="P10" s="3264"/>
      <c r="Q10" s="1527" t="str">
        <f t="shared" si="6"/>
        <v>土地使用年限（年）</v>
      </c>
      <c r="R10" s="710" t="s">
        <v>17</v>
      </c>
      <c r="S10" s="711">
        <f t="shared" si="0"/>
        <v>106</v>
      </c>
      <c r="T10" s="710" t="s">
        <v>17</v>
      </c>
      <c r="U10" s="711">
        <f t="shared" si="1"/>
        <v>106</v>
      </c>
      <c r="V10" s="710" t="s">
        <v>17</v>
      </c>
      <c r="W10" s="711">
        <f t="shared" si="2"/>
        <v>106</v>
      </c>
      <c r="X10" s="712"/>
      <c r="Y10" s="3234"/>
      <c r="Z10" s="55" t="str">
        <f t="shared" si="7"/>
        <v>土地使用年限（年）</v>
      </c>
      <c r="AA10" s="713">
        <f t="shared" si="3"/>
        <v>0.94339622641509435</v>
      </c>
      <c r="AB10" s="713">
        <f t="shared" si="4"/>
        <v>0.94339622641509435</v>
      </c>
      <c r="AC10" s="713">
        <f t="shared" si="5"/>
        <v>0.94339622641509435</v>
      </c>
    </row>
    <row r="11" spans="1:29" ht="15">
      <c r="A11" s="387"/>
      <c r="B11" s="381" t="s">
        <v>2379</v>
      </c>
      <c r="C11" s="388">
        <f>'数据-汇总表'!I6</f>
        <v>0.53</v>
      </c>
      <c r="D11" s="132">
        <v>100</v>
      </c>
      <c r="E11" s="388">
        <v>0.7</v>
      </c>
      <c r="F11" s="132">
        <f>LOOKUP(E11,75:75,76:76)-LOOKUP(C11,75:75,76:76)+100</f>
        <v>100</v>
      </c>
      <c r="G11" s="389">
        <v>0.7</v>
      </c>
      <c r="H11" s="132">
        <f>LOOKUP(G11,75:75,76:76)-LOOKUP(C11,75:75,76:76)+100</f>
        <v>100</v>
      </c>
      <c r="I11" s="388">
        <v>0.7</v>
      </c>
      <c r="J11" s="132">
        <f>LOOKUP(I11,75:75,76:76)-LOOKUP(C11,75:75,76:76)+100</f>
        <v>100</v>
      </c>
      <c r="K11" s="629">
        <v>2</v>
      </c>
      <c r="L11" s="2950"/>
      <c r="M11" s="2945"/>
      <c r="N11" s="2945"/>
      <c r="O11" s="3003"/>
      <c r="P11" s="3264"/>
      <c r="Q11" s="1527" t="str">
        <f t="shared" si="6"/>
        <v>容积率</v>
      </c>
      <c r="R11" s="710" t="s">
        <v>17</v>
      </c>
      <c r="S11" s="711">
        <f t="shared" si="0"/>
        <v>100</v>
      </c>
      <c r="T11" s="710" t="s">
        <v>17</v>
      </c>
      <c r="U11" s="711">
        <f t="shared" si="1"/>
        <v>100</v>
      </c>
      <c r="V11" s="710" t="s">
        <v>17</v>
      </c>
      <c r="W11" s="711">
        <f t="shared" si="2"/>
        <v>100</v>
      </c>
      <c r="X11" s="712"/>
      <c r="Y11" s="3234"/>
      <c r="Z11" s="55" t="str">
        <f t="shared" si="7"/>
        <v>容积率</v>
      </c>
      <c r="AA11" s="713">
        <f t="shared" si="3"/>
        <v>1</v>
      </c>
      <c r="AB11" s="713">
        <f t="shared" si="4"/>
        <v>1</v>
      </c>
      <c r="AC11" s="713">
        <f t="shared" si="5"/>
        <v>1</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6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6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64"/>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67" t="s">
        <v>2381</v>
      </c>
      <c r="Q15" s="1536" t="str">
        <f t="shared" si="6"/>
        <v>产业集聚程度</v>
      </c>
      <c r="R15" s="714" t="s">
        <v>17</v>
      </c>
      <c r="S15" s="715">
        <f t="shared" si="0"/>
        <v>100</v>
      </c>
      <c r="T15" s="714" t="s">
        <v>17</v>
      </c>
      <c r="U15" s="715">
        <f t="shared" si="1"/>
        <v>100</v>
      </c>
      <c r="V15" s="714" t="s">
        <v>17</v>
      </c>
      <c r="W15" s="715">
        <f t="shared" si="2"/>
        <v>100</v>
      </c>
      <c r="X15" s="1539"/>
      <c r="Y15" s="326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68"/>
      <c r="Q16" s="1536"/>
      <c r="R16" s="714"/>
      <c r="S16" s="715"/>
      <c r="T16" s="714"/>
      <c r="U16" s="715"/>
      <c r="V16" s="714"/>
      <c r="W16" s="715"/>
      <c r="X16" s="1539"/>
      <c r="Y16" s="326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68"/>
      <c r="Q17" s="1536" t="str">
        <f>B17</f>
        <v>交通便捷度</v>
      </c>
      <c r="R17" s="714" t="s">
        <v>17</v>
      </c>
      <c r="S17" s="715">
        <f>F17</f>
        <v>100</v>
      </c>
      <c r="T17" s="714" t="s">
        <v>17</v>
      </c>
      <c r="U17" s="715">
        <f>H17</f>
        <v>100</v>
      </c>
      <c r="V17" s="714" t="s">
        <v>17</v>
      </c>
      <c r="W17" s="715">
        <f>J17</f>
        <v>100</v>
      </c>
      <c r="X17" s="1539"/>
      <c r="Y17" s="326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68"/>
      <c r="Q18" s="1536"/>
      <c r="R18" s="714"/>
      <c r="S18" s="715"/>
      <c r="T18" s="714"/>
      <c r="U18" s="715"/>
      <c r="V18" s="714"/>
      <c r="W18" s="715"/>
      <c r="X18" s="1539"/>
      <c r="Y18" s="326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68"/>
      <c r="Q19" s="1536" t="str">
        <f t="shared" ref="Q19:Q33" si="8">B19</f>
        <v>区域土地利用方向</v>
      </c>
      <c r="R19" s="714" t="s">
        <v>17</v>
      </c>
      <c r="S19" s="715">
        <f>F19</f>
        <v>100</v>
      </c>
      <c r="T19" s="714" t="s">
        <v>17</v>
      </c>
      <c r="U19" s="715">
        <f>H19</f>
        <v>100</v>
      </c>
      <c r="V19" s="714" t="s">
        <v>17</v>
      </c>
      <c r="W19" s="715">
        <f>J19</f>
        <v>100</v>
      </c>
      <c r="X19" s="1539"/>
      <c r="Y19" s="326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68"/>
      <c r="Q20" s="1536"/>
      <c r="R20" s="714"/>
      <c r="S20" s="715"/>
      <c r="T20" s="714"/>
      <c r="U20" s="715"/>
      <c r="V20" s="714"/>
      <c r="W20" s="715"/>
      <c r="X20" s="1539"/>
      <c r="Y20" s="326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68"/>
      <c r="Q21" s="1536" t="str">
        <f t="shared" si="8"/>
        <v>环境状况</v>
      </c>
      <c r="R21" s="714" t="s">
        <v>17</v>
      </c>
      <c r="S21" s="715">
        <f>F21</f>
        <v>100</v>
      </c>
      <c r="T21" s="714" t="s">
        <v>17</v>
      </c>
      <c r="U21" s="715">
        <f>H21</f>
        <v>100</v>
      </c>
      <c r="V21" s="714" t="s">
        <v>17</v>
      </c>
      <c r="W21" s="715">
        <f>J21</f>
        <v>100</v>
      </c>
      <c r="X21" s="1539"/>
      <c r="Y21" s="326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68"/>
      <c r="Q22" s="1536"/>
      <c r="R22" s="714"/>
      <c r="S22" s="715"/>
      <c r="T22" s="714"/>
      <c r="U22" s="715"/>
      <c r="V22" s="714"/>
      <c r="W22" s="715"/>
      <c r="X22" s="1539"/>
      <c r="Y22" s="326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68"/>
      <c r="Q23" s="1527" t="str">
        <f t="shared" si="8"/>
        <v>公共配套设施</v>
      </c>
      <c r="R23" s="710" t="s">
        <v>17</v>
      </c>
      <c r="S23" s="711">
        <f>F23</f>
        <v>100</v>
      </c>
      <c r="T23" s="710" t="s">
        <v>17</v>
      </c>
      <c r="U23" s="711">
        <f>H23</f>
        <v>100</v>
      </c>
      <c r="V23" s="710" t="s">
        <v>17</v>
      </c>
      <c r="W23" s="711">
        <f>J23</f>
        <v>100</v>
      </c>
      <c r="X23" s="712"/>
      <c r="Y23" s="326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68"/>
      <c r="Q24" s="1527"/>
      <c r="R24" s="710"/>
      <c r="S24" s="711"/>
      <c r="T24" s="710"/>
      <c r="U24" s="711"/>
      <c r="V24" s="710"/>
      <c r="W24" s="711"/>
      <c r="X24" s="712"/>
      <c r="Y24" s="326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68"/>
      <c r="Q25" s="1527" t="str">
        <f t="shared" ref="Q25" si="9">B25</f>
        <v>基础设施水平</v>
      </c>
      <c r="R25" s="710" t="s">
        <v>17</v>
      </c>
      <c r="S25" s="711">
        <f>F25</f>
        <v>100</v>
      </c>
      <c r="T25" s="710" t="s">
        <v>17</v>
      </c>
      <c r="U25" s="711">
        <f>H25</f>
        <v>100</v>
      </c>
      <c r="V25" s="710" t="s">
        <v>17</v>
      </c>
      <c r="W25" s="711">
        <f>J25</f>
        <v>100</v>
      </c>
      <c r="X25" s="712"/>
      <c r="Y25" s="326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68"/>
      <c r="Q26" s="1527"/>
      <c r="R26" s="710"/>
      <c r="S26" s="711"/>
      <c r="T26" s="710"/>
      <c r="U26" s="711"/>
      <c r="V26" s="710"/>
      <c r="W26" s="711"/>
      <c r="X26" s="712"/>
      <c r="Y26" s="326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6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6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68"/>
      <c r="Q28" s="1536" t="str">
        <f t="shared" si="8"/>
        <v>毗邻道路的类型与等级</v>
      </c>
      <c r="R28" s="714" t="s">
        <v>17</v>
      </c>
      <c r="S28" s="715">
        <f t="shared" si="10"/>
        <v>100</v>
      </c>
      <c r="T28" s="714" t="s">
        <v>17</v>
      </c>
      <c r="U28" s="715">
        <f t="shared" si="11"/>
        <v>100</v>
      </c>
      <c r="V28" s="714" t="s">
        <v>17</v>
      </c>
      <c r="W28" s="715">
        <f t="shared" si="12"/>
        <v>100</v>
      </c>
      <c r="X28" s="1539"/>
      <c r="Y28" s="326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68"/>
      <c r="Q29" s="1536"/>
      <c r="R29" s="714"/>
      <c r="S29" s="715"/>
      <c r="T29" s="714"/>
      <c r="U29" s="715"/>
      <c r="V29" s="714"/>
      <c r="W29" s="715"/>
      <c r="X29" s="1539"/>
      <c r="Y29" s="3268"/>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68"/>
      <c r="Q30" s="1536" t="str">
        <f t="shared" si="8"/>
        <v>土地级别</v>
      </c>
      <c r="R30" s="714" t="s">
        <v>17</v>
      </c>
      <c r="S30" s="715">
        <f t="shared" si="10"/>
        <v>100</v>
      </c>
      <c r="T30" s="714" t="s">
        <v>17</v>
      </c>
      <c r="U30" s="715">
        <f t="shared" si="11"/>
        <v>100</v>
      </c>
      <c r="V30" s="714" t="s">
        <v>17</v>
      </c>
      <c r="W30" s="715">
        <f t="shared" si="12"/>
        <v>100</v>
      </c>
      <c r="X30" s="1539"/>
      <c r="Y30" s="326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68"/>
      <c r="Q31" s="1536">
        <f t="shared" si="8"/>
        <v>111</v>
      </c>
      <c r="R31" s="714" t="s">
        <v>17</v>
      </c>
      <c r="S31" s="715">
        <f t="shared" si="10"/>
        <v>100</v>
      </c>
      <c r="T31" s="714" t="s">
        <v>17</v>
      </c>
      <c r="U31" s="715">
        <f t="shared" si="11"/>
        <v>100</v>
      </c>
      <c r="V31" s="714" t="s">
        <v>17</v>
      </c>
      <c r="W31" s="715">
        <f t="shared" si="12"/>
        <v>100</v>
      </c>
      <c r="X31" s="1539"/>
      <c r="Y31" s="326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69" t="s">
        <v>2386</v>
      </c>
      <c r="Q32" s="1536">
        <f t="shared" si="8"/>
        <v>111</v>
      </c>
      <c r="R32" s="714" t="s">
        <v>17</v>
      </c>
      <c r="S32" s="715">
        <f t="shared" si="10"/>
        <v>100</v>
      </c>
      <c r="T32" s="714" t="s">
        <v>17</v>
      </c>
      <c r="U32" s="715">
        <f t="shared" si="11"/>
        <v>100</v>
      </c>
      <c r="V32" s="714" t="s">
        <v>17</v>
      </c>
      <c r="W32" s="715">
        <f t="shared" si="12"/>
        <v>100</v>
      </c>
      <c r="X32" s="1539"/>
      <c r="Y32" s="327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70"/>
      <c r="Q33" s="1536">
        <f t="shared" si="8"/>
        <v>111</v>
      </c>
      <c r="R33" s="717" t="s">
        <v>17</v>
      </c>
      <c r="S33" s="718">
        <f t="shared" si="10"/>
        <v>100</v>
      </c>
      <c r="T33" s="717" t="s">
        <v>17</v>
      </c>
      <c r="U33" s="718">
        <f t="shared" si="11"/>
        <v>100</v>
      </c>
      <c r="V33" s="717" t="s">
        <v>17</v>
      </c>
      <c r="W33" s="718">
        <f t="shared" si="12"/>
        <v>100</v>
      </c>
      <c r="X33" s="719"/>
      <c r="Y33" s="3270"/>
      <c r="Z33" s="720">
        <f t="shared" si="13"/>
        <v>111</v>
      </c>
      <c r="AA33" s="1537">
        <f t="shared" si="3"/>
        <v>1</v>
      </c>
      <c r="AB33" s="1537">
        <f t="shared" si="4"/>
        <v>1</v>
      </c>
      <c r="AC33" s="1537">
        <f t="shared" si="5"/>
        <v>1</v>
      </c>
    </row>
    <row r="34" spans="1:31" ht="15">
      <c r="A34" s="399" t="s">
        <v>2384</v>
      </c>
      <c r="B34" s="415" t="s">
        <v>2572</v>
      </c>
      <c r="C34" s="635">
        <f>'数据-基础表'!A3</f>
        <v>60655.3</v>
      </c>
      <c r="D34" s="426">
        <v>100</v>
      </c>
      <c r="E34" s="635">
        <f>Sheet1!D58</f>
        <v>62112</v>
      </c>
      <c r="F34" s="426">
        <f>LOOKUP(E34,108:108,109:109)-LOOKUP(C34,108:108,109:109)+100</f>
        <v>100</v>
      </c>
      <c r="G34" s="635">
        <f>Sheet1!D65</f>
        <v>140092.29999999999</v>
      </c>
      <c r="H34" s="426">
        <f>LOOKUP(G34,108:108,109:109)-LOOKUP(C34,108:108,109:109)+100</f>
        <v>101</v>
      </c>
      <c r="I34" s="487">
        <f>Sheet1!D66</f>
        <v>148809.79999999999</v>
      </c>
      <c r="J34" s="426">
        <f>LOOKUP(I34,108:108,109:109)-LOOKUP(C34,108:108,109:109)+100</f>
        <v>101</v>
      </c>
      <c r="K34" s="570"/>
      <c r="L34" s="2951"/>
      <c r="M34" s="2945"/>
      <c r="N34" s="2945"/>
      <c r="O34" s="3003"/>
      <c r="P34" s="3270"/>
      <c r="Q34" s="1536" t="str">
        <f>B34</f>
        <v>宗地面积</v>
      </c>
      <c r="R34" s="714" t="s">
        <v>17</v>
      </c>
      <c r="S34" s="715">
        <f t="shared" si="10"/>
        <v>100</v>
      </c>
      <c r="T34" s="714" t="s">
        <v>17</v>
      </c>
      <c r="U34" s="715">
        <f t="shared" si="11"/>
        <v>101</v>
      </c>
      <c r="V34" s="714" t="s">
        <v>17</v>
      </c>
      <c r="W34" s="715">
        <f t="shared" si="12"/>
        <v>101</v>
      </c>
      <c r="X34" s="1539"/>
      <c r="Y34" s="3270"/>
      <c r="Z34" s="1540" t="str">
        <f t="shared" si="13"/>
        <v>宗地面积</v>
      </c>
      <c r="AA34" s="1537">
        <f t="shared" si="3"/>
        <v>1</v>
      </c>
      <c r="AB34" s="1537">
        <f t="shared" si="4"/>
        <v>0.99009900990099009</v>
      </c>
      <c r="AC34" s="1537">
        <f t="shared" si="5"/>
        <v>0.99009900990099009</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70"/>
      <c r="Q35" s="1536" t="str">
        <f t="shared" ref="Q35:Q40" si="14">B35</f>
        <v>宗地形状</v>
      </c>
      <c r="R35" s="714" t="s">
        <v>17</v>
      </c>
      <c r="S35" s="715">
        <f t="shared" si="10"/>
        <v>100</v>
      </c>
      <c r="T35" s="714" t="s">
        <v>17</v>
      </c>
      <c r="U35" s="715">
        <f t="shared" si="11"/>
        <v>100</v>
      </c>
      <c r="V35" s="714" t="s">
        <v>17</v>
      </c>
      <c r="W35" s="715">
        <f t="shared" si="12"/>
        <v>100</v>
      </c>
      <c r="X35" s="1539"/>
      <c r="Y35" s="327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70"/>
      <c r="Q36" s="1536" t="str">
        <f t="shared" si="14"/>
        <v>宗地开发程度</v>
      </c>
      <c r="R36" s="710" t="s">
        <v>17</v>
      </c>
      <c r="S36" s="711">
        <f t="shared" si="10"/>
        <v>100</v>
      </c>
      <c r="T36" s="710" t="s">
        <v>17</v>
      </c>
      <c r="U36" s="711">
        <f t="shared" si="11"/>
        <v>100</v>
      </c>
      <c r="V36" s="710" t="s">
        <v>17</v>
      </c>
      <c r="W36" s="711">
        <f t="shared" si="12"/>
        <v>100</v>
      </c>
      <c r="X36" s="712"/>
      <c r="Y36" s="327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70" t="s">
        <v>2386</v>
      </c>
      <c r="Q37" s="1536" t="str">
        <f t="shared" si="14"/>
        <v>工程地质条件</v>
      </c>
      <c r="R37" s="714" t="s">
        <v>17</v>
      </c>
      <c r="S37" s="715">
        <f t="shared" si="10"/>
        <v>100</v>
      </c>
      <c r="T37" s="714" t="s">
        <v>17</v>
      </c>
      <c r="U37" s="715">
        <f t="shared" si="11"/>
        <v>100</v>
      </c>
      <c r="V37" s="714" t="s">
        <v>17</v>
      </c>
      <c r="W37" s="715">
        <f t="shared" si="12"/>
        <v>100</v>
      </c>
      <c r="X37" s="1539"/>
      <c r="Y37" s="327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70"/>
      <c r="Q38" s="1536">
        <f t="shared" si="14"/>
        <v>111</v>
      </c>
      <c r="R38" s="714" t="s">
        <v>17</v>
      </c>
      <c r="S38" s="715">
        <f t="shared" si="10"/>
        <v>100</v>
      </c>
      <c r="T38" s="714" t="s">
        <v>17</v>
      </c>
      <c r="U38" s="715">
        <f t="shared" si="11"/>
        <v>100</v>
      </c>
      <c r="V38" s="714" t="s">
        <v>17</v>
      </c>
      <c r="W38" s="715">
        <f t="shared" si="12"/>
        <v>100</v>
      </c>
      <c r="X38" s="1539"/>
      <c r="Y38" s="327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70"/>
      <c r="Q39" s="1536">
        <f t="shared" si="14"/>
        <v>111</v>
      </c>
      <c r="R39" s="714" t="s">
        <v>17</v>
      </c>
      <c r="S39" s="715">
        <f t="shared" si="10"/>
        <v>100</v>
      </c>
      <c r="T39" s="714" t="s">
        <v>17</v>
      </c>
      <c r="U39" s="715">
        <f t="shared" si="11"/>
        <v>100</v>
      </c>
      <c r="V39" s="714" t="s">
        <v>17</v>
      </c>
      <c r="W39" s="715">
        <f t="shared" si="12"/>
        <v>100</v>
      </c>
      <c r="X39" s="1539"/>
      <c r="Y39" s="327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70"/>
      <c r="Q40" s="1536">
        <f t="shared" si="14"/>
        <v>111</v>
      </c>
      <c r="R40" s="717" t="s">
        <v>17</v>
      </c>
      <c r="S40" s="718">
        <f t="shared" si="10"/>
        <v>100</v>
      </c>
      <c r="T40" s="717" t="s">
        <v>17</v>
      </c>
      <c r="U40" s="718">
        <f t="shared" si="11"/>
        <v>100</v>
      </c>
      <c r="V40" s="717" t="s">
        <v>17</v>
      </c>
      <c r="W40" s="718">
        <f t="shared" si="12"/>
        <v>100</v>
      </c>
      <c r="X40" s="719"/>
      <c r="Y40" s="3270"/>
      <c r="Z40" s="720">
        <f t="shared" si="13"/>
        <v>111</v>
      </c>
      <c r="AA40" s="1537">
        <f t="shared" si="3"/>
        <v>1</v>
      </c>
      <c r="AB40" s="1537">
        <f t="shared" si="4"/>
        <v>1</v>
      </c>
      <c r="AC40" s="1537">
        <f t="shared" si="5"/>
        <v>1</v>
      </c>
    </row>
    <row r="41" spans="1:31" ht="15">
      <c r="A41" s="438" t="s">
        <v>2541</v>
      </c>
      <c r="B41" s="2168" t="s">
        <v>3570</v>
      </c>
      <c r="C41" s="638" t="s">
        <v>1</v>
      </c>
      <c r="D41" s="440"/>
      <c r="E41" s="441">
        <f>Sheet1!N58</f>
        <v>807.29</v>
      </c>
      <c r="F41" s="442"/>
      <c r="G41" s="443">
        <f>Sheet1!N65</f>
        <v>803.54</v>
      </c>
      <c r="H41" s="444"/>
      <c r="I41" s="441">
        <f>Sheet1!N66</f>
        <v>786.24</v>
      </c>
      <c r="J41" s="444"/>
      <c r="K41" s="723"/>
      <c r="L41" s="2953"/>
      <c r="M41" s="2945"/>
      <c r="N41" s="2945"/>
      <c r="O41" s="2954"/>
      <c r="P41" s="3264" t="str">
        <f>A41</f>
        <v>成交单价</v>
      </c>
      <c r="Q41" s="3264"/>
      <c r="R41" s="3266">
        <f>E41</f>
        <v>807.29</v>
      </c>
      <c r="S41" s="3266"/>
      <c r="T41" s="3266">
        <f>G41</f>
        <v>803.54</v>
      </c>
      <c r="U41" s="3266"/>
      <c r="V41" s="3266">
        <f>I41</f>
        <v>786.24</v>
      </c>
      <c r="W41" s="3266"/>
      <c r="X41" s="699"/>
      <c r="Y41" s="721"/>
      <c r="Z41" s="699"/>
      <c r="AA41" s="699"/>
      <c r="AB41" s="699"/>
      <c r="AC41" s="699"/>
    </row>
    <row r="42" spans="1:31" ht="15.75" thickBot="1">
      <c r="A42" s="445" t="s">
        <v>2490</v>
      </c>
      <c r="B42" s="639"/>
      <c r="C42" s="448">
        <f>R43</f>
        <v>758</v>
      </c>
      <c r="D42" s="2538" t="s">
        <v>2880</v>
      </c>
      <c r="E42" s="448">
        <f>R42</f>
        <v>772</v>
      </c>
      <c r="F42" s="2539"/>
      <c r="G42" s="447">
        <f>T42</f>
        <v>757</v>
      </c>
      <c r="H42" s="2539"/>
      <c r="I42" s="448">
        <f>V42</f>
        <v>746</v>
      </c>
      <c r="J42" s="2539"/>
      <c r="K42" s="2541">
        <f>F42+H42+J42</f>
        <v>0</v>
      </c>
      <c r="L42" s="2953"/>
      <c r="M42" s="2945"/>
      <c r="N42" s="2945"/>
      <c r="O42" s="2954"/>
      <c r="P42" s="3264" t="str">
        <f>A42</f>
        <v>比较价值（元/平方米）</v>
      </c>
      <c r="Q42" s="3264"/>
      <c r="R42" s="3265">
        <f>ROUND(PRODUCT(R41,AA7:AA40),0)</f>
        <v>772</v>
      </c>
      <c r="S42" s="3265"/>
      <c r="T42" s="3265">
        <f>ROUND(PRODUCT(T41,AB7:AB40),0)</f>
        <v>757</v>
      </c>
      <c r="U42" s="3265"/>
      <c r="V42" s="3265">
        <f>ROUND(PRODUCT(V41,AC7:AC40),0)</f>
        <v>746</v>
      </c>
      <c r="W42" s="3265"/>
      <c r="X42" s="699"/>
      <c r="Y42" s="699"/>
      <c r="Z42" s="699"/>
      <c r="AA42" s="699"/>
      <c r="AB42" s="699"/>
      <c r="AC42" s="699"/>
    </row>
    <row r="43" spans="1:31" ht="15.75" thickBot="1">
      <c r="A43" s="449" t="s">
        <v>2491</v>
      </c>
      <c r="B43" s="450"/>
      <c r="C43" s="451">
        <f>R43</f>
        <v>758</v>
      </c>
      <c r="D43" s="451"/>
      <c r="E43" s="451"/>
      <c r="F43" s="451"/>
      <c r="G43" s="451"/>
      <c r="H43" s="451"/>
      <c r="I43" s="451"/>
      <c r="J43" s="451"/>
      <c r="K43" s="724"/>
      <c r="L43" s="2953"/>
      <c r="M43" s="2945"/>
      <c r="N43" s="2945"/>
      <c r="O43" s="2954"/>
      <c r="P43" s="3261" t="str">
        <f>A43</f>
        <v>估价对象XX用房的比较价值（楼面单价，元/平方米）</v>
      </c>
      <c r="Q43" s="3262"/>
      <c r="R43" s="3263">
        <f>ROUND(IF(D42="简单平均",AVERAGE(R42:W42),R42*F42+T42*H42+V42*J42),0)</f>
        <v>758</v>
      </c>
      <c r="S43" s="3263"/>
      <c r="T43" s="3263"/>
      <c r="U43" s="3263"/>
      <c r="V43" s="3263"/>
      <c r="W43" s="326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f>IF(E41&lt;E42,E42/E41-1,E41/E42-1)</f>
        <v>4.5712435233160598E-2</v>
      </c>
      <c r="F46" s="457" t="str">
        <f>IF(OR(E46&gt;=0.3,E46&lt;=-0.3),"超过30%","")</f>
        <v/>
      </c>
      <c r="G46" s="456">
        <f>IF(G41&lt;G42,G42/G41-1,G41/G42-1)</f>
        <v>6.1479524438573296E-2</v>
      </c>
      <c r="H46" s="457" t="str">
        <f>IF(OR(G46&gt;=0.3,G46&lt;=-0.3),"超过30%","")</f>
        <v/>
      </c>
      <c r="I46" s="456">
        <f>IF(I41&lt;I42,I42/I41-1,I41/I42-1)</f>
        <v>5.3941018766755944E-2</v>
      </c>
      <c r="J46" s="457"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f>IF(E42&lt;G42,G42/E42-1,E42/G42-1)</f>
        <v>1.9815059445178251E-2</v>
      </c>
      <c r="F47" s="457" t="str">
        <f>IF(OR(E47&gt;=0.2,E47&lt;=-0.2),"超过20%","")</f>
        <v/>
      </c>
      <c r="G47" s="456">
        <f>IF(G42&lt;I42,I42/G42-1,G42/I42-1)</f>
        <v>1.4745308310991856E-2</v>
      </c>
      <c r="H47" s="457" t="str">
        <f>IF(OR(G47&gt;=0.2,G47&lt;=-0.2),"超过20%","")</f>
        <v/>
      </c>
      <c r="I47" s="456">
        <f>IF(I42&lt;E42,E42/I42-1,I42/E42-1)</f>
        <v>3.4852546916890104E-2</v>
      </c>
      <c r="J47" s="457"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f>IF(E41&lt;G41,G41/E41-1,E41/G41-1)</f>
        <v>4.666849192324074E-3</v>
      </c>
      <c r="F48" s="457" t="str">
        <f>IF(OR(E48&gt;=0.3,E48&lt;=-0.3),"超过30%","")</f>
        <v/>
      </c>
      <c r="G48" s="456">
        <f>IF(G41&lt;I41,I41/G41-1,G41/I41-1)</f>
        <v>2.2003459503459499E-2</v>
      </c>
      <c r="H48" s="457" t="str">
        <f>IF(OR(G48&gt;=0.3,G48&lt;=-0.3),"超过30%","")</f>
        <v/>
      </c>
      <c r="I48" s="456">
        <f>IF(I41&lt;E41,E41/I41-1,I41/E41-1)</f>
        <v>2.6772995522995391E-2</v>
      </c>
      <c r="J48" s="457"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74" t="s">
        <v>2585</v>
      </c>
      <c r="H50" s="3288"/>
      <c r="I50" s="1540" t="s">
        <v>2621</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f>C43</f>
        <v>758</v>
      </c>
      <c r="C51" s="646">
        <v>1</v>
      </c>
      <c r="D51" s="1075">
        <v>1</v>
      </c>
      <c r="E51" s="646">
        <f>'数据-汇总表'!E8+'数据-汇总表'!E9</f>
        <v>32069.72</v>
      </c>
      <c r="F51" s="647">
        <f t="shared" ref="F51:F60" si="15">ROUND(B51*E51/10000,0)</f>
        <v>2431</v>
      </c>
      <c r="G51" s="3289"/>
      <c r="H51" s="326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f>ROUND($C$43*C52*D52,0)</f>
        <v>0</v>
      </c>
      <c r="C52" s="176">
        <f t="shared" ref="C52:C60" si="16">IF($C$50="北京市系数",I52,J52)</f>
        <v>0</v>
      </c>
      <c r="D52" s="1076">
        <v>0.25</v>
      </c>
      <c r="E52" s="650"/>
      <c r="F52" s="647">
        <f t="shared" si="15"/>
        <v>0</v>
      </c>
      <c r="G52" s="3290"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f t="shared" ref="B53:B60" si="17">ROUND($C$43*C53*D53,0)</f>
        <v>0</v>
      </c>
      <c r="C53" s="176">
        <f t="shared" si="16"/>
        <v>0</v>
      </c>
      <c r="D53" s="1076">
        <v>0.25</v>
      </c>
      <c r="E53" s="650"/>
      <c r="F53" s="647">
        <f t="shared" si="15"/>
        <v>0</v>
      </c>
      <c r="G53" s="329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f t="shared" si="17"/>
        <v>0</v>
      </c>
      <c r="C54" s="176">
        <f t="shared" si="16"/>
        <v>0</v>
      </c>
      <c r="D54" s="1076">
        <v>0.25</v>
      </c>
      <c r="E54" s="650"/>
      <c r="F54" s="647">
        <f t="shared" si="15"/>
        <v>0</v>
      </c>
      <c r="G54" s="329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f t="shared" si="17"/>
        <v>0</v>
      </c>
      <c r="C55" s="176">
        <f t="shared" si="16"/>
        <v>0</v>
      </c>
      <c r="D55" s="1076">
        <v>0.25</v>
      </c>
      <c r="E55" s="650"/>
      <c r="F55" s="647">
        <f t="shared" si="15"/>
        <v>0</v>
      </c>
      <c r="G55" s="329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f t="shared" si="17"/>
        <v>0</v>
      </c>
      <c r="C56" s="176">
        <f t="shared" si="16"/>
        <v>0</v>
      </c>
      <c r="D56" s="1076">
        <v>0.25</v>
      </c>
      <c r="E56" s="223">
        <f>'数据-汇总表'!E11</f>
        <v>0</v>
      </c>
      <c r="F56" s="647">
        <f t="shared" si="15"/>
        <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f t="shared" si="17"/>
        <v>0</v>
      </c>
      <c r="C59" s="176">
        <f t="shared" si="16"/>
        <v>0</v>
      </c>
      <c r="D59" s="1076">
        <v>0.25</v>
      </c>
      <c r="E59" s="223">
        <f>'数据-汇总表'!E14</f>
        <v>0</v>
      </c>
      <c r="F59" s="647">
        <f t="shared" si="15"/>
        <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f t="shared" si="17"/>
        <v>0</v>
      </c>
      <c r="C60" s="176">
        <f t="shared" si="16"/>
        <v>0</v>
      </c>
      <c r="D60" s="1076">
        <v>0.25</v>
      </c>
      <c r="E60" s="223">
        <f>'数据-汇总表'!E15</f>
        <v>0</v>
      </c>
      <c r="F60" s="647">
        <f t="shared" si="15"/>
        <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32069.72</v>
      </c>
      <c r="F61" s="653">
        <f>IF(B41="楼面地价",SUM(F51:F60),ROUND(C43*E61/10000,0))</f>
        <v>2431</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北京市平均增长率1.25%</v>
      </c>
      <c r="C66" s="560">
        <v>100</v>
      </c>
      <c r="D66" s="552">
        <f>C66-$C$67</f>
        <v>99.8</v>
      </c>
      <c r="E66" s="552">
        <f t="shared" ref="E66:M66" si="20">D66-$C$67</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v>0.2</v>
      </c>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v>0</v>
      </c>
      <c r="D75" s="506">
        <v>1</v>
      </c>
      <c r="E75" s="506">
        <v>2</v>
      </c>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4" t="s">
        <v>2384</v>
      </c>
      <c r="B107" s="485" t="s">
        <v>2612</v>
      </c>
      <c r="C107" s="486" t="str">
        <f t="shared" ref="C107:L107" si="26">C108&amp;"(含)"&amp;"-"&amp;D108</f>
        <v>0(含)-100000</v>
      </c>
      <c r="D107" s="486" t="str">
        <f t="shared" si="26"/>
        <v>100000(含)-200000</v>
      </c>
      <c r="E107" s="486" t="str">
        <f t="shared" si="26"/>
        <v>200000(含)-300000</v>
      </c>
      <c r="F107" s="486" t="str">
        <f t="shared" si="26"/>
        <v>300000(含)-</v>
      </c>
      <c r="G107" s="486" t="str">
        <f t="shared" si="26"/>
        <v>(含)-</v>
      </c>
      <c r="H107" s="486" t="str">
        <f t="shared" si="26"/>
        <v>(含)-</v>
      </c>
      <c r="I107" s="486" t="str">
        <f t="shared" si="26"/>
        <v>(含)-</v>
      </c>
      <c r="J107" s="486" t="str">
        <f t="shared" si="26"/>
        <v>(含)-</v>
      </c>
      <c r="K107" s="1503" t="str">
        <f t="shared" si="26"/>
        <v>(含)-</v>
      </c>
      <c r="L107" s="1503" t="str">
        <f t="shared" si="26"/>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v>0</v>
      </c>
      <c r="D108" s="552">
        <v>100000</v>
      </c>
      <c r="E108" s="552">
        <v>200000</v>
      </c>
      <c r="F108" s="552">
        <v>300000</v>
      </c>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v>100</v>
      </c>
      <c r="D109" s="548">
        <v>101</v>
      </c>
      <c r="E109" s="548">
        <v>102</v>
      </c>
      <c r="F109" s="548">
        <v>103</v>
      </c>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H50" sqref="H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c r="E1" s="1547" t="s">
        <v>1352</v>
      </c>
      <c r="F1" s="1193">
        <f ca="1">J53</f>
        <v>40.9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13479</v>
      </c>
      <c r="C2" s="1571" t="s">
        <v>1481</v>
      </c>
      <c r="D2" s="1571"/>
      <c r="E2" s="1572"/>
      <c r="F2" s="1573"/>
      <c r="G2" s="2935"/>
      <c r="H2" s="2924"/>
      <c r="I2" s="2924"/>
      <c r="J2" s="2924"/>
      <c r="K2" s="2925"/>
      <c r="L2" s="2924"/>
      <c r="M2" s="2924"/>
    </row>
    <row r="3" spans="1:37" ht="18" customHeight="1" thickBot="1">
      <c r="A3" s="1574" t="s">
        <v>1482</v>
      </c>
      <c r="B3" s="1575">
        <f ca="1">IF(ISERROR(B2*10000/F43),0,ROUND(B2*10000/F43,0))</f>
        <v>4203</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784</v>
      </c>
      <c r="D5" s="1548" t="s">
        <v>1367</v>
      </c>
      <c r="E5" s="1203"/>
      <c r="F5" s="1204"/>
      <c r="G5" s="1568"/>
      <c r="H5" s="305">
        <v>1</v>
      </c>
      <c r="I5" s="306" t="s">
        <v>1366</v>
      </c>
      <c r="J5" s="1202">
        <f ca="1">J6+J10+J12</f>
        <v>0</v>
      </c>
      <c r="K5" s="1548" t="s">
        <v>1367</v>
      </c>
      <c r="L5" s="1203"/>
      <c r="M5" s="1204"/>
    </row>
    <row r="6" spans="1:37" ht="18" customHeight="1">
      <c r="A6" s="1201" t="s">
        <v>1003</v>
      </c>
      <c r="B6" s="3306" t="s">
        <v>1368</v>
      </c>
      <c r="C6" s="1206">
        <f ca="1">ROUND(F6*F8*F7*(1-F9)/10000,0)</f>
        <v>784</v>
      </c>
      <c r="D6" s="160" t="s">
        <v>2850</v>
      </c>
      <c r="E6" s="308" t="s">
        <v>1370</v>
      </c>
      <c r="F6" s="309">
        <f ca="1">INDIRECT("'数据-取费表'!u"&amp;$G$1)</f>
        <v>0.8</v>
      </c>
      <c r="G6" s="1568"/>
      <c r="H6" s="1201" t="s">
        <v>1003</v>
      </c>
      <c r="I6" s="3306" t="s">
        <v>1368</v>
      </c>
      <c r="J6" s="307">
        <f ca="1">ROUND(M6*M8*M7*(1-M9)/10000,0)</f>
        <v>0</v>
      </c>
      <c r="K6" s="160" t="s">
        <v>2849</v>
      </c>
      <c r="L6" s="308" t="s">
        <v>1370</v>
      </c>
      <c r="M6" s="309">
        <f ca="1">INDIRECT("'数据-取费表'!z"&amp;$G$1)</f>
        <v>0</v>
      </c>
    </row>
    <row r="7" spans="1:37" ht="18" customHeight="1">
      <c r="A7" s="1205"/>
      <c r="B7" s="3307"/>
      <c r="C7" s="1207"/>
      <c r="D7" s="313"/>
      <c r="E7" s="1208" t="s">
        <v>1371</v>
      </c>
      <c r="F7" s="309">
        <f ca="1">IF(INDIRECT("'数据-取费表'!ah"&amp;$G$1)="",INDIRECT("'数据-取费表'!k"&amp;$G$1),INDIRECT("'数据-取费表'!ah"&amp;$G$1))</f>
        <v>29839.7</v>
      </c>
      <c r="G7" s="1568"/>
      <c r="H7" s="310"/>
      <c r="I7" s="3307"/>
      <c r="J7" s="312"/>
      <c r="K7" s="313"/>
      <c r="L7" s="308" t="s">
        <v>1371</v>
      </c>
      <c r="M7" s="309">
        <f ca="1">F7</f>
        <v>29839.7</v>
      </c>
    </row>
    <row r="8" spans="1:37" ht="18" customHeight="1">
      <c r="A8" s="310"/>
      <c r="B8" s="3307"/>
      <c r="C8" s="312"/>
      <c r="D8" s="313"/>
      <c r="E8" s="308" t="s">
        <v>1372</v>
      </c>
      <c r="F8" s="309">
        <f ca="1">INDIRECT("'数据-取费表'!ai"&amp;$G$1)</f>
        <v>365</v>
      </c>
      <c r="G8" s="1568"/>
      <c r="H8" s="310"/>
      <c r="I8" s="3307"/>
      <c r="J8" s="312"/>
      <c r="K8" s="313"/>
      <c r="L8" s="308" t="s">
        <v>1372</v>
      </c>
      <c r="M8" s="309">
        <f ca="1">INDIRECT("'数据-取费表'!ai"&amp;$G$1)</f>
        <v>365</v>
      </c>
    </row>
    <row r="9" spans="1:37" ht="18" customHeight="1">
      <c r="A9" s="310"/>
      <c r="B9" s="3308"/>
      <c r="C9" s="312"/>
      <c r="D9" s="313"/>
      <c r="E9" s="308" t="s">
        <v>1373</v>
      </c>
      <c r="F9" s="318">
        <f ca="1">INDIRECT("'数据-取费表'!w"&amp;$G$1)</f>
        <v>0.1</v>
      </c>
      <c r="G9" s="1568"/>
      <c r="H9" s="310"/>
      <c r="I9" s="330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10698</v>
      </c>
      <c r="D13" s="1241" t="s">
        <v>1380</v>
      </c>
      <c r="E13" s="1241" t="s">
        <v>1381</v>
      </c>
      <c r="F13" s="1242">
        <f ca="1">INDIRECT("'数据-取费表'!y"&amp;$G$1)</f>
        <v>0.86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8980</v>
      </c>
      <c r="D14" s="1529" t="s">
        <v>1383</v>
      </c>
      <c r="E14" s="1526"/>
      <c r="F14" s="325"/>
      <c r="G14" s="1568"/>
      <c r="H14" s="1113" t="s">
        <v>1003</v>
      </c>
      <c r="I14" s="308" t="s">
        <v>1384</v>
      </c>
      <c r="J14" s="24">
        <f ca="1">C29</f>
        <v>12440</v>
      </c>
      <c r="K14" s="15"/>
      <c r="L14" s="916"/>
      <c r="M14" s="917"/>
    </row>
    <row r="15" spans="1:37" s="1581" customFormat="1" ht="18" customHeight="1" thickBot="1">
      <c r="A15" s="1113" t="s">
        <v>1004</v>
      </c>
      <c r="B15" s="308" t="s">
        <v>1385</v>
      </c>
      <c r="C15" s="24">
        <f ca="1">ROUND(C14*F15,0)</f>
        <v>269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238</v>
      </c>
      <c r="K16" s="1247" t="s">
        <v>1390</v>
      </c>
      <c r="L16" s="1248"/>
      <c r="M16" s="1204"/>
    </row>
    <row r="17" spans="1:37" s="1581" customFormat="1" ht="18" customHeight="1">
      <c r="A17" s="1113" t="s">
        <v>1355</v>
      </c>
      <c r="B17" s="308" t="s">
        <v>1391</v>
      </c>
      <c r="C17" s="24">
        <f ca="1">ROUND(F17*(F43+INDIRECT("'数据-取费表'!S"&amp;$G$1))/10000,0)</f>
        <v>641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114</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135</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10025</v>
      </c>
      <c r="D19" s="136" t="s">
        <v>1401</v>
      </c>
      <c r="E19" s="1544"/>
      <c r="F19" s="26"/>
      <c r="G19" s="1568"/>
      <c r="H19" s="1113" t="s">
        <v>1004</v>
      </c>
      <c r="I19" s="308" t="s">
        <v>1402</v>
      </c>
      <c r="J19" s="24">
        <f ca="1">IF(K19="按租金收入计税",ROUND(J6*M19/(1+'数据-取费表'!C42),2),ROUND(C29*M19*0.7,2))</f>
        <v>104.5</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251</v>
      </c>
      <c r="D20" s="329" t="s">
        <v>1405</v>
      </c>
      <c r="E20" s="308" t="s">
        <v>1387</v>
      </c>
      <c r="F20" s="328">
        <f>'数据-取费表'!B37</f>
        <v>2.5000000000000001E-2</v>
      </c>
      <c r="G20" s="1580"/>
      <c r="H20" s="1113" t="s">
        <v>1354</v>
      </c>
      <c r="I20" s="160" t="s">
        <v>1406</v>
      </c>
      <c r="J20" s="25">
        <f ca="1">ROUND(M20*M21/10000,2)</f>
        <v>9.1</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60655.3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124.4</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333</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-238</v>
      </c>
      <c r="K25" s="1255" t="s">
        <v>1429</v>
      </c>
      <c r="L25" s="1256"/>
      <c r="M25" s="1257"/>
    </row>
    <row r="26" spans="1:37">
      <c r="A26" s="1113" t="s">
        <v>1002</v>
      </c>
      <c r="B26" s="308" t="s">
        <v>1430</v>
      </c>
      <c r="C26" s="24">
        <f ca="1">ROUND((C19+C20)*F26,0)</f>
        <v>822</v>
      </c>
      <c r="D26" s="329" t="s">
        <v>1431</v>
      </c>
      <c r="E26" s="319" t="s">
        <v>1432</v>
      </c>
      <c r="F26" s="318">
        <f ca="1">INDIRECT("'数据-取费表'!q"&amp;$G$1)</f>
        <v>0.08</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12440</v>
      </c>
      <c r="D29" s="1252"/>
      <c r="E29" s="1250"/>
      <c r="F29" s="1253"/>
      <c r="G29" s="1580"/>
      <c r="H29" s="340" t="s">
        <v>1001</v>
      </c>
      <c r="I29" s="341" t="s">
        <v>1444</v>
      </c>
      <c r="J29" s="342">
        <f ca="1">ROUND(J26/(1+F40)^F41,0)</f>
        <v>0</v>
      </c>
      <c r="K29" s="343" t="s">
        <v>1445</v>
      </c>
      <c r="L29" s="344"/>
      <c r="M29" s="345">
        <f ca="1">INDIRECT("'数据-取费表'!k"&amp;$G$1)</f>
        <v>32069.72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289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141</v>
      </c>
      <c r="D31" s="1529" t="s">
        <v>1395</v>
      </c>
      <c r="E31" s="1528" t="s">
        <v>1446</v>
      </c>
      <c r="F31" s="2533">
        <f ca="1">IF(项目基本情况!B11="企业","——",IF('数据-取费表'!B10="住宅",IF(F6*F7*F8/12/(1+'数据-取费表'!F30)&gt;100000,4%,2.5%),IF(F6*F7*F8/12/(1+'数据-取费表'!F30)&gt;100000,12%,7%)))</f>
        <v>0.12</v>
      </c>
      <c r="G31" s="1568"/>
      <c r="H31" s="3039" t="s">
        <v>3057</v>
      </c>
      <c r="I31" s="1582"/>
      <c r="J31" s="1583"/>
      <c r="K31" s="2701"/>
      <c r="L31" s="2927"/>
      <c r="M31" s="2928"/>
    </row>
    <row r="32" spans="1:37" ht="18" customHeight="1">
      <c r="A32" s="1113" t="s">
        <v>1002</v>
      </c>
      <c r="B32" s="308" t="s">
        <v>1398</v>
      </c>
      <c r="C32" s="24">
        <f ca="1">IF(项目基本情况!B11="自然人","——",ROUND(C6*F32/(1+'数据-取费表'!C42),2))</f>
        <v>41.81</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89.6</v>
      </c>
      <c r="D33" s="1554" t="s">
        <v>3575</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9.1</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60655.3</v>
      </c>
      <c r="G35" s="1568"/>
      <c r="H35" s="2926"/>
      <c r="I35" s="1582"/>
      <c r="J35" s="1583"/>
      <c r="K35" s="2930"/>
      <c r="L35" s="2929"/>
      <c r="M35" s="2929"/>
    </row>
    <row r="36" spans="1:18" ht="18" customHeight="1">
      <c r="A36" s="1262" t="s">
        <v>1007</v>
      </c>
      <c r="B36" s="308" t="s">
        <v>1414</v>
      </c>
      <c r="C36" s="24">
        <f ca="1">ROUND(C29*F36,1)</f>
        <v>124.4</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16</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7.8</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495</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13479</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40.9</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4203</v>
      </c>
      <c r="D43" s="343" t="s">
        <v>1453</v>
      </c>
      <c r="E43" s="344" t="s">
        <v>1454</v>
      </c>
      <c r="F43" s="345">
        <f ca="1">INDIRECT("'数据-取费表'!k"&amp;$G$1)</f>
        <v>32069.72</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-34113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3576</v>
      </c>
      <c r="K47" s="1600" t="s">
        <v>1492</v>
      </c>
      <c r="L47" s="1601">
        <f ca="1">INDIRECT("'数据-取费表'!d"&amp;$G$1)</f>
        <v>50</v>
      </c>
      <c r="M47" s="1564" t="str">
        <f>IF(ISNUMBER(FIND("住宅",C1)),"住宅","非住宅")</f>
        <v>非住宅</v>
      </c>
      <c r="O47" s="1602" t="s">
        <v>1008</v>
      </c>
      <c r="P47" s="1603" t="s">
        <v>1493</v>
      </c>
      <c r="Q47" s="1604">
        <f ca="1">C40+J29</f>
        <v>13479</v>
      </c>
      <c r="R47" s="1604" t="s">
        <v>1494</v>
      </c>
    </row>
    <row r="48" spans="1:18" s="1568" customFormat="1" ht="28.5" thickBot="1">
      <c r="A48" s="1270" t="s">
        <v>1103</v>
      </c>
      <c r="B48" s="306" t="s">
        <v>1366</v>
      </c>
      <c r="C48" s="1543">
        <f ca="1">C49+C53+C55</f>
        <v>0</v>
      </c>
      <c r="D48" s="1272"/>
      <c r="E48" s="1273"/>
      <c r="F48" s="1093"/>
      <c r="G48" s="731"/>
      <c r="H48" s="732"/>
      <c r="I48" s="1605" t="s">
        <v>1495</v>
      </c>
      <c r="J48" s="1606" t="s">
        <v>3577</v>
      </c>
      <c r="K48" s="1607" t="s">
        <v>1496</v>
      </c>
      <c r="L48" s="1608">
        <f ca="1">INDIRECT("'数据-取费表'!f"&amp;$G$1)</f>
        <v>40.9</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12440</v>
      </c>
      <c r="R49" s="1604" t="s">
        <v>1494</v>
      </c>
    </row>
    <row r="50" spans="1:18" s="1568" customFormat="1" ht="13.5" thickBot="1">
      <c r="A50" s="1107"/>
      <c r="B50" s="1110"/>
      <c r="C50" s="1278"/>
      <c r="D50" s="1084"/>
      <c r="E50" s="1187" t="s">
        <v>1371</v>
      </c>
      <c r="F50" s="1188">
        <f ca="1">F7</f>
        <v>29839.7</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50</v>
      </c>
      <c r="K51" s="1618" t="s">
        <v>1506</v>
      </c>
      <c r="L51" s="1619">
        <f ca="1">ROUND(-PV(INDIRECT("'数据-取费表'!h"&amp;$G$1),J51,(C39-C13*C76),0),0)</f>
        <v>-8188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40.9</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40.9</v>
      </c>
      <c r="K53" s="3304" t="s">
        <v>1513</v>
      </c>
      <c r="L53" s="3305"/>
      <c r="O53" s="1602" t="s">
        <v>1014</v>
      </c>
      <c r="P53" s="1603" t="s">
        <v>1514</v>
      </c>
      <c r="Q53" s="1604">
        <f ca="1">Q47+Q48</f>
        <v>13479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10698</v>
      </c>
      <c r="D56" s="1631"/>
      <c r="E56" s="1632"/>
      <c r="F56" s="1624"/>
      <c r="I56" s="1633" t="s">
        <v>1519</v>
      </c>
      <c r="J56" s="1634" t="s">
        <v>3076</v>
      </c>
      <c r="K56" s="1605" t="s">
        <v>1520</v>
      </c>
      <c r="L56" s="1608" t="str">
        <f ca="1">IF(L48&lt;J51,"——",L48-J53)</f>
        <v>——</v>
      </c>
      <c r="O56" s="1602" t="s">
        <v>1008</v>
      </c>
      <c r="P56" s="1603" t="s">
        <v>1493</v>
      </c>
      <c r="Q56" s="1604">
        <f ca="1">C40+J29</f>
        <v>13479</v>
      </c>
      <c r="R56" s="1604" t="s">
        <v>1494</v>
      </c>
    </row>
    <row r="57" spans="1:18" s="1568" customFormat="1" ht="24.75" thickBot="1">
      <c r="A57" s="1635"/>
      <c r="B57" s="1081" t="s">
        <v>1443</v>
      </c>
      <c r="C57" s="244">
        <f ca="1">C29</f>
        <v>12440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1194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1054</v>
      </c>
      <c r="D59" s="1094" t="s">
        <v>1395</v>
      </c>
      <c r="E59" s="1095"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1044.96</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9.1</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13479</v>
      </c>
      <c r="R62" s="1604" t="s">
        <v>1015</v>
      </c>
    </row>
    <row r="63" spans="1:18" s="1568" customFormat="1" ht="13.5" thickBot="1">
      <c r="A63" s="332"/>
      <c r="B63" s="1087"/>
      <c r="C63" s="29"/>
      <c r="D63" s="1097"/>
      <c r="E63" s="1081" t="s">
        <v>1464</v>
      </c>
      <c r="F63" s="309">
        <f t="shared" ca="1" si="0"/>
        <v>60655.3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124.4</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16</v>
      </c>
      <c r="D65" s="1095" t="s">
        <v>1419</v>
      </c>
      <c r="E65" s="1081" t="s">
        <v>1420</v>
      </c>
      <c r="F65" s="336">
        <f t="shared" ca="1" si="0"/>
        <v>1.5E-3</v>
      </c>
      <c r="I65" s="1646" t="s">
        <v>1544</v>
      </c>
      <c r="J65" s="1647">
        <v>40</v>
      </c>
      <c r="K65" s="1647">
        <v>30</v>
      </c>
      <c r="L65" s="1647">
        <v>50</v>
      </c>
      <c r="M65" s="1649">
        <v>0.02</v>
      </c>
      <c r="O65" s="1602" t="s">
        <v>1008</v>
      </c>
      <c r="P65" s="1603" t="s">
        <v>1545</v>
      </c>
      <c r="Q65" s="1604">
        <f ca="1">C40+J29</f>
        <v>13479</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-1194</v>
      </c>
      <c r="D67" s="1094" t="s">
        <v>1429</v>
      </c>
      <c r="E67" s="1099"/>
      <c r="F67" s="1100"/>
      <c r="O67" s="1612" t="s">
        <v>1010</v>
      </c>
      <c r="P67" s="1603" t="s">
        <v>1527</v>
      </c>
      <c r="Q67" s="1650">
        <f ca="1">L51</f>
        <v>-8188</v>
      </c>
      <c r="R67" s="1604" t="s">
        <v>1547</v>
      </c>
    </row>
    <row r="68" spans="1:18" s="1568" customFormat="1" ht="16.5" thickBot="1">
      <c r="A68" s="1078" t="s">
        <v>1000</v>
      </c>
      <c r="B68" s="1079" t="s">
        <v>1450</v>
      </c>
      <c r="C68" s="307">
        <f ca="1">ROUND(C67*(1-((1+F70)/(1+F68))^F69)/(F68-F70),0)</f>
        <v>-20634</v>
      </c>
      <c r="D68" s="1096" t="s">
        <v>1434</v>
      </c>
      <c r="E68" s="1081" t="s">
        <v>1435</v>
      </c>
      <c r="F68" s="318">
        <f ca="1">F40</f>
        <v>0.05</v>
      </c>
      <c r="O68" s="1612" t="s">
        <v>1011</v>
      </c>
      <c r="P68" s="1651" t="s">
        <v>1548</v>
      </c>
      <c r="Q68" s="1604">
        <f ca="1">ROUND(Q69-Q70*Q71,0)</f>
        <v>-414</v>
      </c>
      <c r="R68" s="1604" t="s">
        <v>1019</v>
      </c>
    </row>
    <row r="69" spans="1:18" s="1568" customFormat="1" ht="13.5" thickBot="1">
      <c r="A69" s="1082"/>
      <c r="B69" s="1083"/>
      <c r="C69" s="312"/>
      <c r="D69" s="1101" t="s">
        <v>1438</v>
      </c>
      <c r="E69" s="1081" t="s">
        <v>1439</v>
      </c>
      <c r="F69" s="339">
        <f ca="1">F41</f>
        <v>40.9</v>
      </c>
      <c r="O69" s="1612" t="s">
        <v>1016</v>
      </c>
      <c r="P69" s="1651" t="s">
        <v>1549</v>
      </c>
      <c r="Q69" s="1604">
        <f ca="1">C39</f>
        <v>495</v>
      </c>
      <c r="R69" s="1604" t="s">
        <v>1494</v>
      </c>
    </row>
    <row r="70" spans="1:18" s="1568" customFormat="1" ht="13.5" thickBot="1">
      <c r="A70" s="1085"/>
      <c r="B70" s="1086"/>
      <c r="C70" s="316"/>
      <c r="D70" s="1097"/>
      <c r="E70" s="1081" t="s">
        <v>1442</v>
      </c>
      <c r="F70" s="1185"/>
      <c r="O70" s="1612" t="s">
        <v>1017</v>
      </c>
      <c r="P70" s="1651" t="s">
        <v>1550</v>
      </c>
      <c r="Q70" s="1604">
        <f ca="1">C13</f>
        <v>10698</v>
      </c>
      <c r="R70" s="1604" t="s">
        <v>1494</v>
      </c>
    </row>
    <row r="71" spans="1:18" s="1568" customFormat="1" ht="13.5" thickBot="1">
      <c r="A71" s="1102" t="s">
        <v>1001</v>
      </c>
      <c r="B71" s="1103" t="s">
        <v>1452</v>
      </c>
      <c r="C71" s="342">
        <f ca="1">ROUND(C68*10000/F71,0)</f>
        <v>-6434</v>
      </c>
      <c r="D71" s="1104" t="s">
        <v>1453</v>
      </c>
      <c r="E71" s="1105" t="s">
        <v>1454</v>
      </c>
      <c r="F71" s="345">
        <f ca="1">F43</f>
        <v>32069.72</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909</v>
      </c>
      <c r="D75" s="1568"/>
      <c r="E75" s="1568"/>
      <c r="F75" s="1568"/>
      <c r="K75" s="1586"/>
      <c r="L75" s="1568"/>
      <c r="O75" s="1602" t="s">
        <v>1014</v>
      </c>
      <c r="P75" s="1603" t="s">
        <v>1514</v>
      </c>
      <c r="Q75" s="1604">
        <f ca="1">Q65+Q66</f>
        <v>13479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-0.83600000000000008</v>
      </c>
    </row>
    <row r="80" spans="1:18">
      <c r="B80" s="346" t="s">
        <v>1476</v>
      </c>
      <c r="C80" s="280">
        <f ca="1">ROUND(C75/C39,3)</f>
        <v>1.8360000000000001</v>
      </c>
    </row>
    <row r="81" spans="2:3">
      <c r="B81" s="276" t="s">
        <v>1477</v>
      </c>
      <c r="C81" s="244"/>
    </row>
    <row r="82" spans="2:3">
      <c r="B82" s="279" t="s">
        <v>1478</v>
      </c>
      <c r="C82" s="281">
        <f ca="1">1-C83</f>
        <v>0.20599999999999996</v>
      </c>
    </row>
    <row r="83" spans="2:3">
      <c r="B83" s="279" t="s">
        <v>1479</v>
      </c>
      <c r="C83" s="280">
        <f ca="1">ROUND(C13/C40,3)</f>
        <v>0.79400000000000004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6" t="s">
        <v>1368</v>
      </c>
      <c r="C6" s="1206">
        <f ca="1">ROUND(F6*F8*F7*(1-F9),0)</f>
        <v>0</v>
      </c>
      <c r="D6" s="160" t="s">
        <v>2847</v>
      </c>
      <c r="E6" s="308" t="s">
        <v>1370</v>
      </c>
      <c r="F6" s="309">
        <f ca="1">INDIRECT("'数据-取费表'!u"&amp;$G$1)</f>
        <v>0</v>
      </c>
      <c r="G6" s="1568"/>
      <c r="H6" s="1201" t="s">
        <v>1003</v>
      </c>
      <c r="I6" s="3306" t="s">
        <v>1368</v>
      </c>
      <c r="J6" s="307">
        <f ca="1">ROUND(M6*M8*M7*(1-M9),0)</f>
        <v>0</v>
      </c>
      <c r="K6" s="1560" t="s">
        <v>2848</v>
      </c>
      <c r="L6" s="308" t="s">
        <v>1370</v>
      </c>
      <c r="M6" s="309">
        <f ca="1">INDIRECT("'数据-取费表'!z"&amp;$G$1)</f>
        <v>0</v>
      </c>
    </row>
    <row r="7" spans="1:37" ht="18" customHeight="1">
      <c r="A7" s="1205"/>
      <c r="B7" s="3307"/>
      <c r="C7" s="1207"/>
      <c r="D7" s="313"/>
      <c r="E7" s="1208" t="s">
        <v>1371</v>
      </c>
      <c r="F7" s="309">
        <f ca="1">IF(INDIRECT("'数据-取费表'!ah"&amp;$G$1)="",INDIRECT("'数据-取费表'!k"&amp;$G$1),INDIRECT("'数据-取费表'!ah"&amp;$G$1))</f>
        <v>0</v>
      </c>
      <c r="G7" s="1568"/>
      <c r="H7" s="310"/>
      <c r="I7" s="3307"/>
      <c r="J7" s="312"/>
      <c r="K7" s="313"/>
      <c r="L7" s="308" t="s">
        <v>1371</v>
      </c>
      <c r="M7" s="309">
        <f ca="1">F7</f>
        <v>0</v>
      </c>
    </row>
    <row r="8" spans="1:37" ht="18" customHeight="1">
      <c r="A8" s="310"/>
      <c r="B8" s="3307"/>
      <c r="C8" s="312"/>
      <c r="D8" s="313"/>
      <c r="E8" s="308" t="s">
        <v>1372</v>
      </c>
      <c r="F8" s="309">
        <f ca="1">INDIRECT("'数据-取费表'!ai"&amp;$G$1)</f>
        <v>0</v>
      </c>
      <c r="G8" s="1568"/>
      <c r="H8" s="310"/>
      <c r="I8" s="3307"/>
      <c r="J8" s="312"/>
      <c r="K8" s="313"/>
      <c r="L8" s="308" t="s">
        <v>1372</v>
      </c>
      <c r="M8" s="309">
        <f ca="1">INDIRECT("'数据-取费表'!ai"&amp;$G$1)</f>
        <v>0</v>
      </c>
    </row>
    <row r="9" spans="1:37" ht="18" customHeight="1">
      <c r="A9" s="310"/>
      <c r="B9" s="3308"/>
      <c r="C9" s="312"/>
      <c r="D9" s="313"/>
      <c r="E9" s="308" t="s">
        <v>1373</v>
      </c>
      <c r="F9" s="318">
        <f ca="1">INDIRECT("'数据-取费表'!w"&amp;$G$1)</f>
        <v>0</v>
      </c>
      <c r="G9" s="1568"/>
      <c r="H9" s="310"/>
      <c r="I9" s="330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2.5000000000000001E-2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304" t="s">
        <v>1513</v>
      </c>
      <c r="L53" s="330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13479</v>
      </c>
      <c r="C2" s="2058" t="s">
        <v>2340</v>
      </c>
      <c r="D2" s="2059" t="s">
        <v>2341</v>
      </c>
      <c r="E2" s="2833">
        <f>SUM(E6:E13)</f>
        <v>32069.72</v>
      </c>
      <c r="F2" s="2936"/>
      <c r="G2" s="1674"/>
      <c r="H2" s="1674"/>
      <c r="I2" s="1674"/>
      <c r="J2" s="1674"/>
      <c r="K2" s="1674"/>
      <c r="L2" s="1674"/>
      <c r="M2" s="1674"/>
      <c r="N2" s="1674"/>
      <c r="O2" s="1674"/>
      <c r="P2" s="1674"/>
      <c r="Q2" s="1674"/>
      <c r="R2" s="1674"/>
      <c r="S2" s="1674"/>
    </row>
    <row r="3" spans="1:22" ht="15.75">
      <c r="A3" s="2056" t="s">
        <v>1360</v>
      </c>
      <c r="B3" s="2827">
        <f ca="1">ROUND(B2*10000/E2,0)</f>
        <v>4203</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09" t="s">
        <v>2343</v>
      </c>
      <c r="C5" s="3310"/>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13479</v>
      </c>
      <c r="C6" s="2058" t="s">
        <v>2340</v>
      </c>
      <c r="D6" s="2938"/>
      <c r="E6" s="2832">
        <f>IF(OR(A6=0,F6="否"),0,'数据-取费表'!K6+'数据-取费表'!S6)</f>
        <v>32069.72</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H5" sqref="H5"/>
    </sheetView>
  </sheetViews>
  <sheetFormatPr defaultRowHeight="13.5"/>
  <cols>
    <col min="1" max="1" width="10.5" customWidth="1"/>
    <col min="2" max="2" width="12.875" customWidth="1"/>
    <col min="3" max="3" width="8.75" customWidth="1"/>
  </cols>
  <sheetData>
    <row r="1" spans="1:9" ht="14.25">
      <c r="A1" s="3311" t="s">
        <v>1044</v>
      </c>
      <c r="B1" s="3312"/>
      <c r="C1" s="3313"/>
      <c r="D1" s="3314">
        <f>SUM(I10,I15,I20,I21,I23)</f>
        <v>0</v>
      </c>
      <c r="E1" s="3314"/>
      <c r="F1" s="3314"/>
      <c r="G1" s="3314"/>
      <c r="H1" s="3314"/>
      <c r="I1" s="3315"/>
    </row>
    <row r="2" spans="1:9">
      <c r="A2" s="3316" t="s">
        <v>1045</v>
      </c>
      <c r="B2" s="3317" t="s">
        <v>1046</v>
      </c>
      <c r="C2" s="3317"/>
      <c r="D2" s="1211" t="s">
        <v>1047</v>
      </c>
      <c r="E2" s="1211" t="s">
        <v>1048</v>
      </c>
      <c r="F2" s="1211" t="s">
        <v>1049</v>
      </c>
      <c r="G2" s="1211" t="s">
        <v>1050</v>
      </c>
      <c r="H2" s="1211" t="s">
        <v>1051</v>
      </c>
      <c r="I2" s="1212" t="s">
        <v>1052</v>
      </c>
    </row>
    <row r="3" spans="1:9">
      <c r="A3" s="3316"/>
      <c r="B3" s="3317" t="s">
        <v>1053</v>
      </c>
      <c r="C3" s="3317"/>
      <c r="D3" s="1213"/>
      <c r="E3" s="1211"/>
      <c r="F3" s="1214"/>
      <c r="G3" s="1214"/>
      <c r="H3" s="1215"/>
      <c r="I3" s="1216">
        <f>ROUND(D3*E3*F3*G3*H3/10000,0)</f>
        <v>0</v>
      </c>
    </row>
    <row r="4" spans="1:9">
      <c r="A4" s="3316"/>
      <c r="B4" s="3317" t="s">
        <v>1054</v>
      </c>
      <c r="C4" s="3317"/>
      <c r="D4" s="1213"/>
      <c r="E4" s="1211"/>
      <c r="F4" s="1214"/>
      <c r="G4" s="1214"/>
      <c r="H4" s="1215"/>
      <c r="I4" s="1216">
        <f t="shared" ref="I4:I9" si="0">ROUND(D4*E4*F4*G4*H4/10000,0)</f>
        <v>0</v>
      </c>
    </row>
    <row r="5" spans="1:9">
      <c r="A5" s="3316"/>
      <c r="B5" s="3317" t="s">
        <v>1055</v>
      </c>
      <c r="C5" s="3317"/>
      <c r="D5" s="1213"/>
      <c r="E5" s="1211"/>
      <c r="F5" s="1214"/>
      <c r="G5" s="1214"/>
      <c r="H5" s="1215"/>
      <c r="I5" s="1216">
        <f t="shared" si="0"/>
        <v>0</v>
      </c>
    </row>
    <row r="6" spans="1:9">
      <c r="A6" s="3316"/>
      <c r="B6" s="3317" t="s">
        <v>1056</v>
      </c>
      <c r="C6" s="3317"/>
      <c r="D6" s="1213"/>
      <c r="E6" s="1211"/>
      <c r="F6" s="1214"/>
      <c r="G6" s="1214"/>
      <c r="H6" s="1215"/>
      <c r="I6" s="1216">
        <f t="shared" si="0"/>
        <v>0</v>
      </c>
    </row>
    <row r="7" spans="1:9">
      <c r="A7" s="3316"/>
      <c r="B7" s="3317" t="s">
        <v>1057</v>
      </c>
      <c r="C7" s="3317"/>
      <c r="D7" s="1213"/>
      <c r="E7" s="1211"/>
      <c r="F7" s="1214"/>
      <c r="G7" s="1214"/>
      <c r="H7" s="1215"/>
      <c r="I7" s="1216">
        <f t="shared" si="0"/>
        <v>0</v>
      </c>
    </row>
    <row r="8" spans="1:9">
      <c r="A8" s="3316"/>
      <c r="B8" s="3317" t="s">
        <v>1058</v>
      </c>
      <c r="C8" s="3317"/>
      <c r="D8" s="1213"/>
      <c r="E8" s="1211"/>
      <c r="F8" s="1214"/>
      <c r="G8" s="1214"/>
      <c r="H8" s="1215"/>
      <c r="I8" s="1216">
        <f t="shared" si="0"/>
        <v>0</v>
      </c>
    </row>
    <row r="9" spans="1:9">
      <c r="A9" s="3316"/>
      <c r="B9" s="3317" t="s">
        <v>1059</v>
      </c>
      <c r="C9" s="3317"/>
      <c r="D9" s="1213"/>
      <c r="E9" s="1211"/>
      <c r="F9" s="1214"/>
      <c r="G9" s="1214"/>
      <c r="H9" s="1215"/>
      <c r="I9" s="1216">
        <f t="shared" si="0"/>
        <v>0</v>
      </c>
    </row>
    <row r="10" spans="1:9">
      <c r="A10" s="3316"/>
      <c r="B10" s="3318" t="s">
        <v>1060</v>
      </c>
      <c r="C10" s="3318"/>
      <c r="D10" s="1217"/>
      <c r="E10" s="1217" t="e">
        <f>ROUND(D1*10000/D10/H9,0)</f>
        <v>#DIV/0!</v>
      </c>
      <c r="F10" s="1218"/>
      <c r="G10" s="1218"/>
      <c r="H10" s="1219"/>
      <c r="I10" s="1220">
        <f>SUM(I3:I9)</f>
        <v>0</v>
      </c>
    </row>
    <row r="11" spans="1:9" ht="14.25">
      <c r="A11" s="3316" t="s">
        <v>1061</v>
      </c>
      <c r="B11" s="3317" t="s">
        <v>1062</v>
      </c>
      <c r="C11" s="3317"/>
      <c r="D11" s="1213" t="s">
        <v>1063</v>
      </c>
      <c r="E11" s="1213" t="s">
        <v>1064</v>
      </c>
      <c r="F11" s="1214" t="s">
        <v>1065</v>
      </c>
      <c r="G11" s="1214" t="s">
        <v>1051</v>
      </c>
      <c r="H11" s="1221" t="s">
        <v>1066</v>
      </c>
      <c r="I11" s="1212" t="s">
        <v>1052</v>
      </c>
    </row>
    <row r="12" spans="1:9">
      <c r="A12" s="3316"/>
      <c r="B12" s="3317" t="s">
        <v>1067</v>
      </c>
      <c r="C12" s="3317"/>
      <c r="D12" s="1213"/>
      <c r="E12" s="1213"/>
      <c r="F12" s="1214"/>
      <c r="G12" s="1215"/>
      <c r="H12" s="1222"/>
      <c r="I12" s="1212">
        <f>ROUND(D12*E12*F12*G12/10000,0)</f>
        <v>0</v>
      </c>
    </row>
    <row r="13" spans="1:9">
      <c r="A13" s="3316"/>
      <c r="B13" s="3317" t="s">
        <v>1068</v>
      </c>
      <c r="C13" s="3317"/>
      <c r="D13" s="1213"/>
      <c r="E13" s="1213"/>
      <c r="F13" s="1214"/>
      <c r="G13" s="1215"/>
      <c r="H13" s="1222"/>
      <c r="I13" s="1212">
        <f>ROUND(D13*E13*F13*G13/10000,0)</f>
        <v>0</v>
      </c>
    </row>
    <row r="14" spans="1:9">
      <c r="A14" s="3316"/>
      <c r="B14" s="3317" t="s">
        <v>1069</v>
      </c>
      <c r="C14" s="3317"/>
      <c r="D14" s="1213"/>
      <c r="E14" s="1213"/>
      <c r="F14" s="1214"/>
      <c r="G14" s="1215"/>
      <c r="H14" s="1222"/>
      <c r="I14" s="1212">
        <f>ROUND(D14*E14*F14*G14/10000,0)</f>
        <v>0</v>
      </c>
    </row>
    <row r="15" spans="1:9">
      <c r="A15" s="3316"/>
      <c r="B15" s="3318" t="s">
        <v>1060</v>
      </c>
      <c r="C15" s="3318"/>
      <c r="D15" s="1217"/>
      <c r="E15" s="1217">
        <f>SUM(E12:E14)</f>
        <v>0</v>
      </c>
      <c r="F15" s="1218"/>
      <c r="G15" s="1215"/>
      <c r="H15" s="1222"/>
      <c r="I15" s="1223">
        <f>SUM(I12:I14)</f>
        <v>0</v>
      </c>
    </row>
    <row r="16" spans="1:9" ht="24">
      <c r="A16" s="3316" t="s">
        <v>1070</v>
      </c>
      <c r="B16" s="3317" t="s">
        <v>1071</v>
      </c>
      <c r="C16" s="3317"/>
      <c r="D16" s="1213" t="s">
        <v>1047</v>
      </c>
      <c r="E16" s="1224" t="s">
        <v>1072</v>
      </c>
      <c r="F16" s="1214" t="s">
        <v>1073</v>
      </c>
      <c r="G16" s="1215" t="s">
        <v>1051</v>
      </c>
      <c r="H16" s="1221" t="s">
        <v>1066</v>
      </c>
      <c r="I16" s="1212" t="s">
        <v>1052</v>
      </c>
    </row>
    <row r="17" spans="1:9" ht="14.25">
      <c r="A17" s="3316"/>
      <c r="B17" s="3317" t="s">
        <v>1074</v>
      </c>
      <c r="C17" s="3317"/>
      <c r="D17" s="1213"/>
      <c r="E17" s="1213"/>
      <c r="F17" s="1214"/>
      <c r="G17" s="1215"/>
      <c r="H17" s="1225"/>
      <c r="I17" s="1226">
        <f>ROUND(D17*E17*F17*G17/10000,0)</f>
        <v>0</v>
      </c>
    </row>
    <row r="18" spans="1:9" ht="14.25">
      <c r="A18" s="3316"/>
      <c r="B18" s="3317" t="s">
        <v>1075</v>
      </c>
      <c r="C18" s="3317"/>
      <c r="D18" s="1213"/>
      <c r="E18" s="1213"/>
      <c r="F18" s="1214"/>
      <c r="G18" s="1215"/>
      <c r="H18" s="1225"/>
      <c r="I18" s="1226">
        <f>ROUND(D18*E18*F18*G18/10000,0)</f>
        <v>0</v>
      </c>
    </row>
    <row r="19" spans="1:9" ht="14.25">
      <c r="A19" s="3316"/>
      <c r="B19" s="3317" t="s">
        <v>1076</v>
      </c>
      <c r="C19" s="3317"/>
      <c r="D19" s="1213"/>
      <c r="E19" s="1213"/>
      <c r="F19" s="1214"/>
      <c r="G19" s="1215"/>
      <c r="H19" s="1225"/>
      <c r="I19" s="1226">
        <f>ROUND(D19*E19*F19*G19/10000,0)</f>
        <v>0</v>
      </c>
    </row>
    <row r="20" spans="1:9">
      <c r="A20" s="3316"/>
      <c r="B20" s="3318" t="s">
        <v>1060</v>
      </c>
      <c r="C20" s="3318"/>
      <c r="D20" s="1217">
        <f>SUM(D17:D19)</f>
        <v>0</v>
      </c>
      <c r="E20" s="1217"/>
      <c r="F20" s="1218"/>
      <c r="G20" s="1215"/>
      <c r="H20" s="1222"/>
      <c r="I20" s="1223">
        <f>SUM(I17:I19)</f>
        <v>0</v>
      </c>
    </row>
    <row r="21" spans="1:9">
      <c r="A21" s="3316" t="s">
        <v>1077</v>
      </c>
      <c r="B21" s="3320"/>
      <c r="C21" s="3320"/>
      <c r="D21" s="3320"/>
      <c r="E21" s="3320"/>
      <c r="F21" s="3320"/>
      <c r="G21" s="3320"/>
      <c r="H21" s="1502">
        <v>0.1</v>
      </c>
      <c r="I21" s="1220">
        <f>ROUND(I10*H21,0)</f>
        <v>0</v>
      </c>
    </row>
    <row r="22" spans="1:9" ht="14.25">
      <c r="A22" s="3321" t="s">
        <v>1078</v>
      </c>
      <c r="B22" s="3322"/>
      <c r="C22" s="3323"/>
      <c r="D22" s="1227" t="s">
        <v>1079</v>
      </c>
      <c r="E22" s="1227" t="s">
        <v>1080</v>
      </c>
      <c r="F22" s="1228" t="s">
        <v>1081</v>
      </c>
      <c r="G22" s="1228" t="s">
        <v>1082</v>
      </c>
      <c r="H22" s="1221" t="s">
        <v>1083</v>
      </c>
      <c r="I22" s="1212" t="s">
        <v>1084</v>
      </c>
    </row>
    <row r="23" spans="1:9" ht="14.25" thickBot="1">
      <c r="A23" s="3324"/>
      <c r="B23" s="3325"/>
      <c r="C23" s="3326"/>
      <c r="D23" s="1229"/>
      <c r="E23" s="1229"/>
      <c r="F23" s="1229"/>
      <c r="G23" s="1230"/>
      <c r="H23" s="1231"/>
      <c r="I23" s="1232">
        <f>ROUND(E23*D23*F23*(1-G23)/10000,0)</f>
        <v>0</v>
      </c>
    </row>
    <row r="26" spans="1:9">
      <c r="A26" s="1233" t="s">
        <v>1085</v>
      </c>
      <c r="B26" s="1233"/>
      <c r="C26" s="1233"/>
      <c r="D26" s="1233"/>
      <c r="E26" s="3327">
        <f>C27-C30-C31-C32</f>
        <v>0</v>
      </c>
      <c r="F26" s="3327"/>
      <c r="G26" s="3327"/>
      <c r="H26" s="1499" t="s">
        <v>1306</v>
      </c>
    </row>
    <row r="27" spans="1:9">
      <c r="A27" s="1234">
        <v>1</v>
      </c>
      <c r="B27" s="1235" t="s">
        <v>1086</v>
      </c>
      <c r="C27" s="1235">
        <f>C28+C29</f>
        <v>0</v>
      </c>
      <c r="D27" s="1235"/>
      <c r="E27" s="3328"/>
      <c r="F27" s="3328"/>
      <c r="G27" s="3328"/>
    </row>
    <row r="28" spans="1:9">
      <c r="A28" s="1236" t="s">
        <v>1087</v>
      </c>
      <c r="B28" s="1235" t="s">
        <v>1088</v>
      </c>
      <c r="C28" s="1235"/>
      <c r="D28" s="1235"/>
      <c r="E28" s="3328"/>
      <c r="F28" s="3328"/>
      <c r="G28" s="332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9"/>
      <c r="F32" s="3319"/>
      <c r="G32" s="3319"/>
    </row>
    <row r="33" spans="1:7" hidden="1">
      <c r="A33" s="3329" t="s">
        <v>1097</v>
      </c>
      <c r="B33" s="3330"/>
      <c r="C33" s="3330"/>
      <c r="D33" s="3331"/>
      <c r="E33" s="3327"/>
      <c r="F33" s="3327"/>
      <c r="G33" s="3327"/>
    </row>
    <row r="34" spans="1:7" hidden="1">
      <c r="A34" s="1238">
        <v>1</v>
      </c>
      <c r="B34" s="1235" t="s">
        <v>1098</v>
      </c>
      <c r="C34" s="1235"/>
      <c r="D34" s="1235"/>
      <c r="E34" s="3328"/>
      <c r="F34" s="3328"/>
      <c r="G34" s="3328"/>
    </row>
    <row r="35" spans="1:7" hidden="1">
      <c r="A35" s="1238">
        <v>2</v>
      </c>
      <c r="B35" s="1235" t="s">
        <v>1099</v>
      </c>
      <c r="C35" s="1235"/>
      <c r="D35" s="1235"/>
      <c r="E35" s="3328"/>
      <c r="F35" s="3328"/>
      <c r="G35" s="3328"/>
    </row>
    <row r="36" spans="1:7" hidden="1">
      <c r="A36" s="1238">
        <v>3</v>
      </c>
      <c r="B36" s="1235" t="s">
        <v>1100</v>
      </c>
      <c r="C36" s="1235"/>
      <c r="D36" s="1235"/>
      <c r="E36" s="3328"/>
      <c r="F36" s="3328"/>
      <c r="G36" s="3328"/>
    </row>
    <row r="37" spans="1:7" hidden="1">
      <c r="A37" s="1238">
        <v>4</v>
      </c>
      <c r="B37" s="1235" t="s">
        <v>1101</v>
      </c>
      <c r="C37" s="1235"/>
      <c r="D37" s="1235"/>
      <c r="E37" s="3328"/>
      <c r="F37" s="3328"/>
      <c r="G37" s="3328"/>
    </row>
    <row r="38" spans="1:7" hidden="1">
      <c r="A38" s="3329" t="s">
        <v>1102</v>
      </c>
      <c r="B38" s="3330"/>
      <c r="C38" s="3330"/>
      <c r="D38" s="3331"/>
      <c r="E38" s="3327"/>
      <c r="F38" s="3327"/>
      <c r="G38" s="33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32069.72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74" t="s">
        <v>2357</v>
      </c>
      <c r="D4" s="3275"/>
      <c r="E4" s="3276" t="s">
        <v>2358</v>
      </c>
      <c r="F4" s="3277"/>
      <c r="G4" s="3274" t="s">
        <v>2359</v>
      </c>
      <c r="H4" s="3275"/>
      <c r="I4" s="3274" t="s">
        <v>2360</v>
      </c>
      <c r="J4" s="3275"/>
      <c r="K4" s="2075" t="s">
        <v>2361</v>
      </c>
      <c r="L4" s="2944"/>
      <c r="M4" s="2945"/>
      <c r="N4" s="2945"/>
      <c r="O4" s="2945"/>
      <c r="P4" s="3278" t="s">
        <v>2362</v>
      </c>
      <c r="Q4" s="3279"/>
      <c r="R4" s="3291" t="s">
        <v>2358</v>
      </c>
      <c r="S4" s="3292"/>
      <c r="T4" s="3291" t="s">
        <v>2359</v>
      </c>
      <c r="U4" s="3292"/>
      <c r="V4" s="3266" t="s">
        <v>2360</v>
      </c>
      <c r="W4" s="3266"/>
      <c r="X4" s="1539"/>
      <c r="Y4" s="3291" t="s">
        <v>2362</v>
      </c>
      <c r="Z4" s="3292"/>
      <c r="AA4" s="3271" t="s">
        <v>2358</v>
      </c>
      <c r="AB4" s="3271" t="s">
        <v>2359</v>
      </c>
      <c r="AC4" s="3271" t="s">
        <v>2360</v>
      </c>
    </row>
    <row r="5" spans="1:29" ht="15">
      <c r="A5" s="364"/>
      <c r="B5" s="365"/>
      <c r="C5" s="3295" t="s">
        <v>2363</v>
      </c>
      <c r="D5" s="3296"/>
      <c r="E5" s="3284" t="s">
        <v>2364</v>
      </c>
      <c r="F5" s="3285"/>
      <c r="G5" s="3295" t="s">
        <v>2365</v>
      </c>
      <c r="H5" s="3296"/>
      <c r="I5" s="3295" t="s">
        <v>2366</v>
      </c>
      <c r="J5" s="3296"/>
      <c r="K5" s="2076"/>
      <c r="L5" s="2944"/>
      <c r="M5" s="2945"/>
      <c r="N5" s="2945"/>
      <c r="O5" s="2945"/>
      <c r="P5" s="3280"/>
      <c r="Q5" s="3281"/>
      <c r="R5" s="3293"/>
      <c r="S5" s="3294"/>
      <c r="T5" s="3293"/>
      <c r="U5" s="3294"/>
      <c r="V5" s="3266"/>
      <c r="W5" s="3266"/>
      <c r="X5" s="1539"/>
      <c r="Y5" s="3293"/>
      <c r="Z5" s="3294"/>
      <c r="AA5" s="3272"/>
      <c r="AB5" s="3272"/>
      <c r="AC5" s="3272"/>
    </row>
    <row r="6" spans="1:29" ht="15.75" thickBot="1">
      <c r="A6" s="366"/>
      <c r="B6" s="367"/>
      <c r="C6" s="3332" t="s">
        <v>2367</v>
      </c>
      <c r="D6" s="3333"/>
      <c r="E6" s="3334" t="s">
        <v>2367</v>
      </c>
      <c r="F6" s="3335"/>
      <c r="G6" s="3332" t="s">
        <v>2367</v>
      </c>
      <c r="H6" s="3333"/>
      <c r="I6" s="3332" t="s">
        <v>2367</v>
      </c>
      <c r="J6" s="3333"/>
      <c r="K6" s="2076" t="s">
        <v>2368</v>
      </c>
      <c r="L6" s="2944"/>
      <c r="M6" s="2945"/>
      <c r="N6" s="2945"/>
      <c r="O6" s="2945"/>
      <c r="P6" s="3282"/>
      <c r="Q6" s="3283"/>
      <c r="R6" s="3293"/>
      <c r="S6" s="3294"/>
      <c r="T6" s="3302"/>
      <c r="U6" s="3303"/>
      <c r="V6" s="3266"/>
      <c r="W6" s="3266"/>
      <c r="X6" s="1539"/>
      <c r="Y6" s="3302"/>
      <c r="Z6" s="3303"/>
      <c r="AA6" s="3273"/>
      <c r="AB6" s="3273"/>
      <c r="AC6" s="3273"/>
    </row>
    <row r="7" spans="1:29" s="113" customFormat="1" ht="15.75" thickBot="1">
      <c r="A7" s="368" t="s">
        <v>2369</v>
      </c>
      <c r="B7" s="369"/>
      <c r="C7" s="370">
        <f>'数据-取费表'!B2</f>
        <v>44371</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6" t="s">
        <v>2370</v>
      </c>
      <c r="Q7" s="3299"/>
      <c r="R7" s="710" t="s">
        <v>23</v>
      </c>
      <c r="S7" s="711">
        <f t="shared" ref="S7:S15" si="0">F7</f>
        <v>0</v>
      </c>
      <c r="T7" s="710" t="s">
        <v>23</v>
      </c>
      <c r="U7" s="711">
        <f t="shared" ref="U7:U15" si="1">H7</f>
        <v>0</v>
      </c>
      <c r="V7" s="710" t="s">
        <v>23</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6" t="s">
        <v>2373</v>
      </c>
      <c r="Q8" s="3287"/>
      <c r="R8" s="710" t="s">
        <v>23</v>
      </c>
      <c r="S8" s="711">
        <f t="shared" si="0"/>
        <v>0</v>
      </c>
      <c r="T8" s="710" t="s">
        <v>23</v>
      </c>
      <c r="U8" s="711">
        <f t="shared" si="1"/>
        <v>0</v>
      </c>
      <c r="V8" s="710" t="s">
        <v>23</v>
      </c>
      <c r="W8" s="711">
        <f t="shared" si="2"/>
        <v>0</v>
      </c>
      <c r="X8" s="712"/>
      <c r="Y8" s="3286" t="s">
        <v>2373</v>
      </c>
      <c r="Z8" s="328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89"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89"/>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89"/>
      <c r="Q11" s="1527" t="str">
        <f t="shared" si="6"/>
        <v>容积率</v>
      </c>
      <c r="R11" s="710" t="s">
        <v>21</v>
      </c>
      <c r="S11" s="711" t="e">
        <f t="shared" si="0"/>
        <v>#N/A</v>
      </c>
      <c r="T11" s="710" t="s">
        <v>21</v>
      </c>
      <c r="U11" s="711" t="e">
        <f t="shared" si="1"/>
        <v>#N/A</v>
      </c>
      <c r="V11" s="710" t="s">
        <v>21</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89"/>
      <c r="Q12" s="1527">
        <f t="shared" si="6"/>
        <v>111</v>
      </c>
      <c r="R12" s="710" t="s">
        <v>21</v>
      </c>
      <c r="S12" s="711">
        <f t="shared" si="0"/>
        <v>100</v>
      </c>
      <c r="T12" s="710" t="s">
        <v>21</v>
      </c>
      <c r="U12" s="711">
        <f t="shared" si="1"/>
        <v>100</v>
      </c>
      <c r="V12" s="710" t="s">
        <v>21</v>
      </c>
      <c r="W12" s="711">
        <f t="shared" si="2"/>
        <v>100</v>
      </c>
      <c r="X12" s="712"/>
      <c r="Y12" s="323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89"/>
      <c r="Q13" s="1527">
        <f t="shared" si="6"/>
        <v>111</v>
      </c>
      <c r="R13" s="710" t="s">
        <v>21</v>
      </c>
      <c r="S13" s="711">
        <f t="shared" si="0"/>
        <v>100</v>
      </c>
      <c r="T13" s="710" t="s">
        <v>21</v>
      </c>
      <c r="U13" s="711">
        <f t="shared" si="1"/>
        <v>100</v>
      </c>
      <c r="V13" s="710" t="s">
        <v>21</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89"/>
      <c r="Q14" s="1527">
        <f t="shared" si="6"/>
        <v>111</v>
      </c>
      <c r="R14" s="710" t="s">
        <v>21</v>
      </c>
      <c r="S14" s="711">
        <f t="shared" si="0"/>
        <v>100</v>
      </c>
      <c r="T14" s="710" t="s">
        <v>21</v>
      </c>
      <c r="U14" s="711">
        <f t="shared" si="1"/>
        <v>100</v>
      </c>
      <c r="V14" s="710" t="s">
        <v>21</v>
      </c>
      <c r="W14" s="711">
        <f t="shared" si="2"/>
        <v>100</v>
      </c>
      <c r="X14" s="712"/>
      <c r="Y14" s="323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2" t="s">
        <v>2381</v>
      </c>
      <c r="Q15" s="1536" t="str">
        <f t="shared" si="6"/>
        <v>居住社区成熟度</v>
      </c>
      <c r="R15" s="714" t="s">
        <v>21</v>
      </c>
      <c r="S15" s="715">
        <f t="shared" si="0"/>
        <v>100</v>
      </c>
      <c r="T15" s="714" t="s">
        <v>21</v>
      </c>
      <c r="U15" s="715">
        <f t="shared" si="1"/>
        <v>100</v>
      </c>
      <c r="V15" s="714" t="s">
        <v>21</v>
      </c>
      <c r="W15" s="715">
        <f t="shared" si="2"/>
        <v>100</v>
      </c>
      <c r="X15" s="1539"/>
      <c r="Y15" s="326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3"/>
      <c r="Q16" s="1536"/>
      <c r="R16" s="714"/>
      <c r="S16" s="715"/>
      <c r="T16" s="714"/>
      <c r="U16" s="715"/>
      <c r="V16" s="714"/>
      <c r="W16" s="715"/>
      <c r="X16" s="1539"/>
      <c r="Y16" s="326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3"/>
      <c r="Q17" s="1536" t="str">
        <f>B17</f>
        <v>交通便捷度</v>
      </c>
      <c r="R17" s="714" t="s">
        <v>21</v>
      </c>
      <c r="S17" s="715">
        <f>F17</f>
        <v>100</v>
      </c>
      <c r="T17" s="714" t="s">
        <v>21</v>
      </c>
      <c r="U17" s="715">
        <f>H17</f>
        <v>100</v>
      </c>
      <c r="V17" s="714" t="s">
        <v>21</v>
      </c>
      <c r="W17" s="715">
        <f>J17</f>
        <v>100</v>
      </c>
      <c r="X17" s="1539"/>
      <c r="Y17" s="326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3"/>
      <c r="Q18" s="1536"/>
      <c r="R18" s="714"/>
      <c r="S18" s="715"/>
      <c r="T18" s="714"/>
      <c r="U18" s="715"/>
      <c r="V18" s="714"/>
      <c r="W18" s="715"/>
      <c r="X18" s="1539"/>
      <c r="Y18" s="326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3"/>
      <c r="Q19" s="1536" t="str">
        <f>B19</f>
        <v>公共配套设施</v>
      </c>
      <c r="R19" s="714" t="s">
        <v>21</v>
      </c>
      <c r="S19" s="715">
        <f>F19</f>
        <v>100</v>
      </c>
      <c r="T19" s="714" t="s">
        <v>21</v>
      </c>
      <c r="U19" s="715">
        <f>H19</f>
        <v>100</v>
      </c>
      <c r="V19" s="714" t="s">
        <v>21</v>
      </c>
      <c r="W19" s="715">
        <f>J19</f>
        <v>100</v>
      </c>
      <c r="X19" s="1539"/>
      <c r="Y19" s="326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3"/>
      <c r="Q20" s="1536"/>
      <c r="R20" s="714"/>
      <c r="S20" s="715"/>
      <c r="T20" s="714"/>
      <c r="U20" s="715"/>
      <c r="V20" s="714"/>
      <c r="W20" s="715"/>
      <c r="X20" s="1539"/>
      <c r="Y20" s="3268"/>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3"/>
      <c r="Q21" s="1536" t="str">
        <f>B21</f>
        <v>基础设施水平</v>
      </c>
      <c r="R21" s="714" t="s">
        <v>17</v>
      </c>
      <c r="S21" s="715">
        <f>F21</f>
        <v>100</v>
      </c>
      <c r="T21" s="714" t="s">
        <v>17</v>
      </c>
      <c r="U21" s="715">
        <f>H21</f>
        <v>100</v>
      </c>
      <c r="V21" s="714" t="s">
        <v>17</v>
      </c>
      <c r="W21" s="715">
        <f>J21</f>
        <v>100</v>
      </c>
      <c r="X21" s="1539"/>
      <c r="Y21" s="326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3"/>
      <c r="Q22" s="1536"/>
      <c r="R22" s="714"/>
      <c r="S22" s="715"/>
      <c r="T22" s="714"/>
      <c r="U22" s="715"/>
      <c r="V22" s="714"/>
      <c r="W22" s="715"/>
      <c r="X22" s="1539"/>
      <c r="Y22" s="326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3"/>
      <c r="Q23" s="1536" t="str">
        <f>B23</f>
        <v>自然及人文环境</v>
      </c>
      <c r="R23" s="714" t="s">
        <v>21</v>
      </c>
      <c r="S23" s="715">
        <f>F23</f>
        <v>100</v>
      </c>
      <c r="T23" s="714" t="s">
        <v>21</v>
      </c>
      <c r="U23" s="715">
        <f>H23</f>
        <v>100</v>
      </c>
      <c r="V23" s="714" t="s">
        <v>21</v>
      </c>
      <c r="W23" s="715">
        <f>J23</f>
        <v>100</v>
      </c>
      <c r="X23" s="1539"/>
      <c r="Y23" s="326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3"/>
      <c r="Q24" s="1536"/>
      <c r="R24" s="714"/>
      <c r="S24" s="715"/>
      <c r="T24" s="714"/>
      <c r="U24" s="715"/>
      <c r="V24" s="714"/>
      <c r="W24" s="715"/>
      <c r="X24" s="1539"/>
      <c r="Y24" s="326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6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3"/>
      <c r="Q26" s="1536" t="str">
        <f t="shared" si="11"/>
        <v>朝向</v>
      </c>
      <c r="R26" s="714" t="s">
        <v>21</v>
      </c>
      <c r="S26" s="715">
        <f t="shared" si="12"/>
        <v>100</v>
      </c>
      <c r="T26" s="714" t="s">
        <v>21</v>
      </c>
      <c r="U26" s="715">
        <f t="shared" si="13"/>
        <v>100</v>
      </c>
      <c r="V26" s="714" t="s">
        <v>21</v>
      </c>
      <c r="W26" s="715">
        <f t="shared" si="14"/>
        <v>100</v>
      </c>
      <c r="X26" s="1539"/>
      <c r="Y26" s="326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3"/>
      <c r="Q27" s="1527">
        <f t="shared" si="11"/>
        <v>111</v>
      </c>
      <c r="R27" s="710" t="s">
        <v>21</v>
      </c>
      <c r="S27" s="711">
        <f t="shared" si="12"/>
        <v>100</v>
      </c>
      <c r="T27" s="710" t="s">
        <v>21</v>
      </c>
      <c r="U27" s="711">
        <f t="shared" si="13"/>
        <v>100</v>
      </c>
      <c r="V27" s="710" t="s">
        <v>21</v>
      </c>
      <c r="W27" s="711">
        <f t="shared" si="14"/>
        <v>100</v>
      </c>
      <c r="X27" s="712"/>
      <c r="Y27" s="326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3"/>
      <c r="Q28" s="1536">
        <f t="shared" si="11"/>
        <v>111</v>
      </c>
      <c r="R28" s="714" t="s">
        <v>21</v>
      </c>
      <c r="S28" s="715">
        <f t="shared" si="12"/>
        <v>100</v>
      </c>
      <c r="T28" s="714" t="s">
        <v>21</v>
      </c>
      <c r="U28" s="715">
        <f t="shared" si="13"/>
        <v>100</v>
      </c>
      <c r="V28" s="714" t="s">
        <v>21</v>
      </c>
      <c r="W28" s="715">
        <f t="shared" si="14"/>
        <v>100</v>
      </c>
      <c r="X28" s="1539"/>
      <c r="Y28" s="326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3"/>
      <c r="Q29" s="1536">
        <f t="shared" si="11"/>
        <v>111</v>
      </c>
      <c r="R29" s="714" t="s">
        <v>21</v>
      </c>
      <c r="S29" s="715">
        <f t="shared" si="12"/>
        <v>100</v>
      </c>
      <c r="T29" s="714" t="s">
        <v>21</v>
      </c>
      <c r="U29" s="715">
        <f t="shared" si="13"/>
        <v>100</v>
      </c>
      <c r="V29" s="714" t="s">
        <v>21</v>
      </c>
      <c r="W29" s="715">
        <f t="shared" si="14"/>
        <v>100</v>
      </c>
      <c r="X29" s="1539"/>
      <c r="Y29" s="326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3"/>
      <c r="Q30" s="1536">
        <f t="shared" si="11"/>
        <v>111</v>
      </c>
      <c r="R30" s="714" t="s">
        <v>21</v>
      </c>
      <c r="S30" s="715">
        <f t="shared" si="12"/>
        <v>100</v>
      </c>
      <c r="T30" s="714" t="s">
        <v>21</v>
      </c>
      <c r="U30" s="715">
        <f t="shared" si="13"/>
        <v>100</v>
      </c>
      <c r="V30" s="714" t="s">
        <v>21</v>
      </c>
      <c r="W30" s="715">
        <f t="shared" si="14"/>
        <v>100</v>
      </c>
      <c r="X30" s="1539"/>
      <c r="Y30" s="326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3"/>
      <c r="Q31" s="1536">
        <f t="shared" si="11"/>
        <v>111</v>
      </c>
      <c r="R31" s="714" t="s">
        <v>21</v>
      </c>
      <c r="S31" s="715">
        <f t="shared" si="12"/>
        <v>100</v>
      </c>
      <c r="T31" s="714" t="s">
        <v>21</v>
      </c>
      <c r="U31" s="715">
        <f t="shared" si="13"/>
        <v>100</v>
      </c>
      <c r="V31" s="714" t="s">
        <v>21</v>
      </c>
      <c r="W31" s="715">
        <f t="shared" si="14"/>
        <v>100</v>
      </c>
      <c r="X31" s="1539"/>
      <c r="Y31" s="326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8" t="s">
        <v>2386</v>
      </c>
      <c r="Q32" s="1536" t="str">
        <f t="shared" si="11"/>
        <v>建筑类型</v>
      </c>
      <c r="R32" s="714" t="s">
        <v>21</v>
      </c>
      <c r="S32" s="715">
        <f t="shared" si="12"/>
        <v>100</v>
      </c>
      <c r="T32" s="714" t="s">
        <v>21</v>
      </c>
      <c r="U32" s="715">
        <f t="shared" si="13"/>
        <v>100</v>
      </c>
      <c r="V32" s="714" t="s">
        <v>21</v>
      </c>
      <c r="W32" s="715">
        <f t="shared" si="14"/>
        <v>100</v>
      </c>
      <c r="X32" s="1539"/>
      <c r="Y32" s="327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9"/>
      <c r="Q33" s="716" t="str">
        <f t="shared" si="11"/>
        <v>项目建筑规模</v>
      </c>
      <c r="R33" s="717" t="s">
        <v>21</v>
      </c>
      <c r="S33" s="718" t="e">
        <f t="shared" si="12"/>
        <v>#N/A</v>
      </c>
      <c r="T33" s="717" t="s">
        <v>21</v>
      </c>
      <c r="U33" s="718" t="e">
        <f t="shared" si="13"/>
        <v>#N/A</v>
      </c>
      <c r="V33" s="717" t="s">
        <v>21</v>
      </c>
      <c r="W33" s="718" t="e">
        <f t="shared" si="14"/>
        <v>#N/A</v>
      </c>
      <c r="X33" s="719"/>
      <c r="Y33" s="327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9"/>
      <c r="Q34" s="1536" t="str">
        <f t="shared" si="11"/>
        <v>建筑结构</v>
      </c>
      <c r="R34" s="714" t="s">
        <v>21</v>
      </c>
      <c r="S34" s="715">
        <f t="shared" si="12"/>
        <v>100</v>
      </c>
      <c r="T34" s="714" t="s">
        <v>21</v>
      </c>
      <c r="U34" s="715">
        <f t="shared" si="13"/>
        <v>100</v>
      </c>
      <c r="V34" s="714" t="s">
        <v>21</v>
      </c>
      <c r="W34" s="715">
        <f t="shared" si="14"/>
        <v>100</v>
      </c>
      <c r="X34" s="1539"/>
      <c r="Y34" s="327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9"/>
      <c r="Q35" s="1536" t="str">
        <f t="shared" si="11"/>
        <v>建筑品质</v>
      </c>
      <c r="R35" s="714" t="s">
        <v>21</v>
      </c>
      <c r="S35" s="715">
        <f t="shared" si="12"/>
        <v>100</v>
      </c>
      <c r="T35" s="714" t="s">
        <v>21</v>
      </c>
      <c r="U35" s="715">
        <f t="shared" si="13"/>
        <v>100</v>
      </c>
      <c r="V35" s="714" t="s">
        <v>21</v>
      </c>
      <c r="W35" s="715">
        <f t="shared" si="14"/>
        <v>100</v>
      </c>
      <c r="X35" s="1539"/>
      <c r="Y35" s="327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9"/>
      <c r="Q36" s="1536" t="str">
        <f t="shared" si="11"/>
        <v>公共部分装修</v>
      </c>
      <c r="R36" s="714" t="s">
        <v>21</v>
      </c>
      <c r="S36" s="715">
        <f t="shared" si="12"/>
        <v>100</v>
      </c>
      <c r="T36" s="714" t="s">
        <v>21</v>
      </c>
      <c r="U36" s="715">
        <f t="shared" si="13"/>
        <v>100</v>
      </c>
      <c r="V36" s="714" t="s">
        <v>21</v>
      </c>
      <c r="W36" s="715">
        <f t="shared" si="14"/>
        <v>100</v>
      </c>
      <c r="X36" s="1539"/>
      <c r="Y36" s="327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9"/>
      <c r="Q37" s="1527" t="str">
        <f t="shared" si="11"/>
        <v>成新度</v>
      </c>
      <c r="R37" s="710" t="s">
        <v>21</v>
      </c>
      <c r="S37" s="711" t="e">
        <f t="shared" si="12"/>
        <v>#N/A</v>
      </c>
      <c r="T37" s="710" t="s">
        <v>21</v>
      </c>
      <c r="U37" s="711" t="e">
        <f t="shared" si="13"/>
        <v>#N/A</v>
      </c>
      <c r="V37" s="710" t="s">
        <v>21</v>
      </c>
      <c r="W37" s="711" t="e">
        <f t="shared" si="14"/>
        <v>#N/A</v>
      </c>
      <c r="X37" s="712"/>
      <c r="Y37" s="327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9" t="s">
        <v>2386</v>
      </c>
      <c r="Q38" s="1536" t="str">
        <f t="shared" si="11"/>
        <v>物业管理</v>
      </c>
      <c r="R38" s="714" t="s">
        <v>21</v>
      </c>
      <c r="S38" s="715">
        <f t="shared" si="12"/>
        <v>100</v>
      </c>
      <c r="T38" s="714" t="s">
        <v>21</v>
      </c>
      <c r="U38" s="715">
        <f t="shared" si="13"/>
        <v>100</v>
      </c>
      <c r="V38" s="714" t="s">
        <v>21</v>
      </c>
      <c r="W38" s="715">
        <f t="shared" si="14"/>
        <v>100</v>
      </c>
      <c r="X38" s="1539"/>
      <c r="Y38" s="327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9"/>
      <c r="Q39" s="1536" t="str">
        <f t="shared" si="11"/>
        <v>市政基础设施</v>
      </c>
      <c r="R39" s="714" t="s">
        <v>21</v>
      </c>
      <c r="S39" s="715">
        <f t="shared" si="12"/>
        <v>100</v>
      </c>
      <c r="T39" s="714" t="s">
        <v>21</v>
      </c>
      <c r="U39" s="715">
        <f t="shared" si="13"/>
        <v>100</v>
      </c>
      <c r="V39" s="714" t="s">
        <v>21</v>
      </c>
      <c r="W39" s="715">
        <f t="shared" si="14"/>
        <v>100</v>
      </c>
      <c r="X39" s="1539"/>
      <c r="Y39" s="327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9"/>
      <c r="Q40" s="1536" t="str">
        <f t="shared" si="11"/>
        <v>房型</v>
      </c>
      <c r="R40" s="714" t="s">
        <v>21</v>
      </c>
      <c r="S40" s="715">
        <f t="shared" si="12"/>
        <v>100</v>
      </c>
      <c r="T40" s="714" t="s">
        <v>21</v>
      </c>
      <c r="U40" s="715">
        <f t="shared" si="13"/>
        <v>100</v>
      </c>
      <c r="V40" s="714" t="s">
        <v>21</v>
      </c>
      <c r="W40" s="715">
        <f t="shared" si="14"/>
        <v>100</v>
      </c>
      <c r="X40" s="1539"/>
      <c r="Y40" s="327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9"/>
      <c r="Q41" s="716" t="str">
        <f t="shared" si="11"/>
        <v>单套/主力户型建筑面积</v>
      </c>
      <c r="R41" s="717" t="s">
        <v>21</v>
      </c>
      <c r="S41" s="718">
        <f t="shared" si="12"/>
        <v>100</v>
      </c>
      <c r="T41" s="717" t="s">
        <v>21</v>
      </c>
      <c r="U41" s="718">
        <f t="shared" si="13"/>
        <v>100</v>
      </c>
      <c r="V41" s="717" t="s">
        <v>21</v>
      </c>
      <c r="W41" s="718">
        <f t="shared" si="14"/>
        <v>100</v>
      </c>
      <c r="X41" s="719"/>
      <c r="Y41" s="327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9"/>
      <c r="Q42" s="1536" t="str">
        <f t="shared" si="11"/>
        <v>内部装修</v>
      </c>
      <c r="R42" s="714" t="s">
        <v>21</v>
      </c>
      <c r="S42" s="715">
        <f t="shared" si="12"/>
        <v>100</v>
      </c>
      <c r="T42" s="714" t="s">
        <v>21</v>
      </c>
      <c r="U42" s="715">
        <f t="shared" si="13"/>
        <v>100</v>
      </c>
      <c r="V42" s="714" t="s">
        <v>21</v>
      </c>
      <c r="W42" s="715">
        <f t="shared" si="14"/>
        <v>100</v>
      </c>
      <c r="X42" s="1539"/>
      <c r="Y42" s="327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9"/>
      <c r="Q43" s="1536" t="str">
        <f t="shared" si="11"/>
        <v>内部装修维护情况</v>
      </c>
      <c r="R43" s="714" t="s">
        <v>21</v>
      </c>
      <c r="S43" s="715">
        <f t="shared" si="12"/>
        <v>100</v>
      </c>
      <c r="T43" s="714" t="s">
        <v>21</v>
      </c>
      <c r="U43" s="715">
        <f t="shared" si="13"/>
        <v>100</v>
      </c>
      <c r="V43" s="714" t="s">
        <v>21</v>
      </c>
      <c r="W43" s="715">
        <f t="shared" si="14"/>
        <v>100</v>
      </c>
      <c r="X43" s="1539"/>
      <c r="Y43" s="327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9"/>
      <c r="Q44" s="1527">
        <f t="shared" si="11"/>
        <v>111</v>
      </c>
      <c r="R44" s="710" t="s">
        <v>21</v>
      </c>
      <c r="S44" s="711">
        <f t="shared" si="12"/>
        <v>100</v>
      </c>
      <c r="T44" s="710" t="s">
        <v>21</v>
      </c>
      <c r="U44" s="711">
        <f t="shared" si="13"/>
        <v>100</v>
      </c>
      <c r="V44" s="710" t="s">
        <v>21</v>
      </c>
      <c r="W44" s="711">
        <f t="shared" si="14"/>
        <v>100</v>
      </c>
      <c r="X44" s="712"/>
      <c r="Y44" s="327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9"/>
      <c r="Q45" s="1536">
        <f t="shared" si="11"/>
        <v>111</v>
      </c>
      <c r="R45" s="714" t="s">
        <v>21</v>
      </c>
      <c r="S45" s="715">
        <f t="shared" si="12"/>
        <v>100</v>
      </c>
      <c r="T45" s="714" t="s">
        <v>21</v>
      </c>
      <c r="U45" s="715">
        <f t="shared" si="13"/>
        <v>100</v>
      </c>
      <c r="V45" s="714" t="s">
        <v>21</v>
      </c>
      <c r="W45" s="715">
        <f t="shared" si="14"/>
        <v>100</v>
      </c>
      <c r="X45" s="1539"/>
      <c r="Y45" s="327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0"/>
      <c r="Q46" s="1536">
        <f t="shared" si="11"/>
        <v>111</v>
      </c>
      <c r="R46" s="714" t="s">
        <v>20</v>
      </c>
      <c r="S46" s="715">
        <f t="shared" si="12"/>
        <v>100</v>
      </c>
      <c r="T46" s="714" t="s">
        <v>20</v>
      </c>
      <c r="U46" s="715">
        <f t="shared" si="13"/>
        <v>100</v>
      </c>
      <c r="V46" s="714" t="s">
        <v>20</v>
      </c>
      <c r="W46" s="715">
        <f t="shared" si="14"/>
        <v>100</v>
      </c>
      <c r="X46" s="1539"/>
      <c r="Y46" s="334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64" t="str">
        <f>A47</f>
        <v>成交单价（元/平方米）</v>
      </c>
      <c r="Q47" s="3264"/>
      <c r="R47" s="3337">
        <f>E47</f>
        <v>0</v>
      </c>
      <c r="S47" s="3337"/>
      <c r="T47" s="3337">
        <f>G47</f>
        <v>0</v>
      </c>
      <c r="U47" s="3337"/>
      <c r="V47" s="3337">
        <f>I47</f>
        <v>0</v>
      </c>
      <c r="W47" s="3337"/>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64" t="str">
        <f>A48</f>
        <v>比较价值（元/平方米）</v>
      </c>
      <c r="Q48" s="3264"/>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61" t="str">
        <f>A49</f>
        <v>估价对象XX用房的比较价值（楼面单价，元/平方米）</v>
      </c>
      <c r="Q49" s="3262"/>
      <c r="R49" s="3336" t="e">
        <f>IF(F1="售价",ROUND(IF(D48="简单平均",AVERAGE(R48:V48),R48*F48+T48*H48+V48*J48),0),ROUND(IF(D48="简单平均",AVERAGE(R48:V48),R48*F48+T48*H48+V48*J48),1))</f>
        <v>#DIV/0!</v>
      </c>
      <c r="S49" s="3336"/>
      <c r="T49" s="3336"/>
      <c r="U49" s="3336"/>
      <c r="V49" s="3336"/>
      <c r="W49" s="333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32069.72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74" t="s">
        <v>2467</v>
      </c>
      <c r="D4" s="3275"/>
      <c r="E4" s="3276" t="s">
        <v>2468</v>
      </c>
      <c r="F4" s="3277"/>
      <c r="G4" s="3274" t="s">
        <v>2469</v>
      </c>
      <c r="H4" s="3275"/>
      <c r="I4" s="3274" t="s">
        <v>2470</v>
      </c>
      <c r="J4" s="3275"/>
      <c r="K4" s="567" t="s">
        <v>2471</v>
      </c>
      <c r="L4" s="2944"/>
      <c r="M4" s="2945"/>
      <c r="N4" s="2945"/>
      <c r="O4" s="2945"/>
      <c r="P4" s="3278" t="s">
        <v>2472</v>
      </c>
      <c r="Q4" s="3279"/>
      <c r="R4" s="3291" t="s">
        <v>2468</v>
      </c>
      <c r="S4" s="3292"/>
      <c r="T4" s="3291" t="s">
        <v>2469</v>
      </c>
      <c r="U4" s="3292"/>
      <c r="V4" s="3266" t="s">
        <v>2470</v>
      </c>
      <c r="W4" s="3266"/>
      <c r="X4" s="1539"/>
      <c r="Y4" s="3291" t="s">
        <v>2472</v>
      </c>
      <c r="Z4" s="3292"/>
      <c r="AA4" s="3271" t="s">
        <v>2468</v>
      </c>
      <c r="AB4" s="3266" t="s">
        <v>2469</v>
      </c>
      <c r="AC4" s="3271" t="s">
        <v>2470</v>
      </c>
    </row>
    <row r="5" spans="1:29" ht="15">
      <c r="A5" s="364"/>
      <c r="B5" s="365"/>
      <c r="C5" s="3295" t="s">
        <v>2363</v>
      </c>
      <c r="D5" s="3296"/>
      <c r="E5" s="3284" t="s">
        <v>2364</v>
      </c>
      <c r="F5" s="3285"/>
      <c r="G5" s="3295" t="s">
        <v>2365</v>
      </c>
      <c r="H5" s="3296"/>
      <c r="I5" s="3295" t="s">
        <v>2366</v>
      </c>
      <c r="J5" s="3296"/>
      <c r="K5" s="567"/>
      <c r="L5" s="2944"/>
      <c r="M5" s="2945"/>
      <c r="N5" s="2945"/>
      <c r="O5" s="2945"/>
      <c r="P5" s="3280"/>
      <c r="Q5" s="3281"/>
      <c r="R5" s="3293"/>
      <c r="S5" s="3294"/>
      <c r="T5" s="3293"/>
      <c r="U5" s="3294"/>
      <c r="V5" s="3266"/>
      <c r="W5" s="3266"/>
      <c r="X5" s="1539"/>
      <c r="Y5" s="3293"/>
      <c r="Z5" s="3294"/>
      <c r="AA5" s="3272"/>
      <c r="AB5" s="3266"/>
      <c r="AC5" s="3272"/>
    </row>
    <row r="6" spans="1:29" ht="15.75" thickBot="1">
      <c r="A6" s="366"/>
      <c r="B6" s="367"/>
      <c r="C6" s="3332" t="s">
        <v>2367</v>
      </c>
      <c r="D6" s="3333"/>
      <c r="E6" s="3334" t="s">
        <v>2367</v>
      </c>
      <c r="F6" s="3335"/>
      <c r="G6" s="3332" t="s">
        <v>2367</v>
      </c>
      <c r="H6" s="3333"/>
      <c r="I6" s="3332" t="s">
        <v>2367</v>
      </c>
      <c r="J6" s="3333"/>
      <c r="K6" s="567" t="s">
        <v>2368</v>
      </c>
      <c r="L6" s="2944"/>
      <c r="M6" s="2945"/>
      <c r="N6" s="2945"/>
      <c r="O6" s="2945"/>
      <c r="P6" s="3282"/>
      <c r="Q6" s="3283"/>
      <c r="R6" s="3293"/>
      <c r="S6" s="3294"/>
      <c r="T6" s="3302"/>
      <c r="U6" s="3303"/>
      <c r="V6" s="3266"/>
      <c r="W6" s="3266"/>
      <c r="X6" s="1539"/>
      <c r="Y6" s="3302"/>
      <c r="Z6" s="3303"/>
      <c r="AA6" s="3273"/>
      <c r="AB6" s="3266"/>
      <c r="AC6" s="3273"/>
    </row>
    <row r="7" spans="1:29" s="113" customFormat="1" ht="15.75" thickBot="1">
      <c r="A7" s="368" t="s">
        <v>2369</v>
      </c>
      <c r="B7" s="369"/>
      <c r="C7" s="370">
        <f>'数据-取费表'!B2</f>
        <v>44371</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6" t="s">
        <v>2370</v>
      </c>
      <c r="Q7" s="3299"/>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89"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89"/>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89"/>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89"/>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89"/>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89"/>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2" t="s">
        <v>2381</v>
      </c>
      <c r="Q15" s="1536" t="str">
        <f t="shared" si="6"/>
        <v>商业繁华度</v>
      </c>
      <c r="R15" s="714" t="s">
        <v>17</v>
      </c>
      <c r="S15" s="715">
        <f t="shared" si="0"/>
        <v>100</v>
      </c>
      <c r="T15" s="714" t="s">
        <v>17</v>
      </c>
      <c r="U15" s="715">
        <f t="shared" si="1"/>
        <v>100</v>
      </c>
      <c r="V15" s="714" t="s">
        <v>17</v>
      </c>
      <c r="W15" s="715">
        <f t="shared" si="2"/>
        <v>100</v>
      </c>
      <c r="X15" s="1539"/>
      <c r="Y15" s="326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3"/>
      <c r="Q16" s="1536"/>
      <c r="R16" s="714"/>
      <c r="S16" s="715"/>
      <c r="T16" s="714"/>
      <c r="U16" s="715"/>
      <c r="V16" s="714"/>
      <c r="W16" s="715"/>
      <c r="X16" s="1539"/>
      <c r="Y16" s="326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3"/>
      <c r="Q17" s="1536" t="str">
        <f>B17</f>
        <v>交通便捷度</v>
      </c>
      <c r="R17" s="714" t="s">
        <v>17</v>
      </c>
      <c r="S17" s="715">
        <f>F17</f>
        <v>100</v>
      </c>
      <c r="T17" s="714" t="s">
        <v>17</v>
      </c>
      <c r="U17" s="715">
        <f>H17</f>
        <v>100</v>
      </c>
      <c r="V17" s="714" t="s">
        <v>17</v>
      </c>
      <c r="W17" s="715">
        <f>J17</f>
        <v>100</v>
      </c>
      <c r="X17" s="1539"/>
      <c r="Y17" s="326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3"/>
      <c r="Q18" s="1536"/>
      <c r="R18" s="714"/>
      <c r="S18" s="715"/>
      <c r="T18" s="714"/>
      <c r="U18" s="715"/>
      <c r="V18" s="714"/>
      <c r="W18" s="715"/>
      <c r="X18" s="1539"/>
      <c r="Y18" s="326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3"/>
      <c r="Q19" s="1536" t="str">
        <f>B19</f>
        <v>公共配套设施</v>
      </c>
      <c r="R19" s="714" t="s">
        <v>17</v>
      </c>
      <c r="S19" s="715">
        <f>F19</f>
        <v>100</v>
      </c>
      <c r="T19" s="714" t="s">
        <v>17</v>
      </c>
      <c r="U19" s="715">
        <f>H19</f>
        <v>100</v>
      </c>
      <c r="V19" s="714" t="s">
        <v>17</v>
      </c>
      <c r="W19" s="715">
        <f>J19</f>
        <v>100</v>
      </c>
      <c r="X19" s="1539"/>
      <c r="Y19" s="326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3"/>
      <c r="Q20" s="1536"/>
      <c r="R20" s="714"/>
      <c r="S20" s="715"/>
      <c r="T20" s="714"/>
      <c r="U20" s="715"/>
      <c r="V20" s="714"/>
      <c r="W20" s="715"/>
      <c r="X20" s="1539"/>
      <c r="Y20" s="3268"/>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3"/>
      <c r="Q21" s="1536" t="str">
        <f>B21</f>
        <v>基础设施水平</v>
      </c>
      <c r="R21" s="714" t="s">
        <v>17</v>
      </c>
      <c r="S21" s="715">
        <f>F21</f>
        <v>100</v>
      </c>
      <c r="T21" s="714" t="s">
        <v>17</v>
      </c>
      <c r="U21" s="715">
        <f>H21</f>
        <v>100</v>
      </c>
      <c r="V21" s="714" t="s">
        <v>17</v>
      </c>
      <c r="W21" s="715">
        <f>J21</f>
        <v>100</v>
      </c>
      <c r="X21" s="1539"/>
      <c r="Y21" s="326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3"/>
      <c r="Q22" s="1536"/>
      <c r="R22" s="714"/>
      <c r="S22" s="715"/>
      <c r="T22" s="714"/>
      <c r="U22" s="715"/>
      <c r="V22" s="714"/>
      <c r="W22" s="715"/>
      <c r="X22" s="1539"/>
      <c r="Y22" s="326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3"/>
      <c r="Q23" s="1536" t="str">
        <f>B23</f>
        <v>自然及人文环境</v>
      </c>
      <c r="R23" s="714" t="s">
        <v>17</v>
      </c>
      <c r="S23" s="715">
        <f>F23</f>
        <v>100</v>
      </c>
      <c r="T23" s="714" t="s">
        <v>17</v>
      </c>
      <c r="U23" s="715">
        <f>H23</f>
        <v>100</v>
      </c>
      <c r="V23" s="714" t="s">
        <v>17</v>
      </c>
      <c r="W23" s="715">
        <f>J23</f>
        <v>100</v>
      </c>
      <c r="X23" s="1539"/>
      <c r="Y23" s="326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3"/>
      <c r="Q24" s="1536"/>
      <c r="R24" s="714"/>
      <c r="S24" s="715"/>
      <c r="T24" s="714"/>
      <c r="U24" s="715"/>
      <c r="V24" s="714"/>
      <c r="W24" s="715"/>
      <c r="X24" s="1539"/>
      <c r="Y24" s="326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3"/>
      <c r="Q25" s="1536" t="str">
        <f t="shared" ref="Q25:Q46" si="11">B25</f>
        <v>临街状况</v>
      </c>
      <c r="R25" s="714" t="s">
        <v>17</v>
      </c>
      <c r="S25" s="715">
        <f>F25</f>
        <v>100</v>
      </c>
      <c r="T25" s="714" t="s">
        <v>17</v>
      </c>
      <c r="U25" s="715">
        <f>H25</f>
        <v>100</v>
      </c>
      <c r="V25" s="714" t="s">
        <v>17</v>
      </c>
      <c r="W25" s="715">
        <f>J25</f>
        <v>100</v>
      </c>
      <c r="X25" s="1539"/>
      <c r="Y25" s="326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3"/>
      <c r="Q26" s="1536" t="str">
        <f t="shared" si="11"/>
        <v>平面位置/可视性</v>
      </c>
      <c r="R26" s="714" t="s">
        <v>17</v>
      </c>
      <c r="S26" s="715">
        <f>F26</f>
        <v>100</v>
      </c>
      <c r="T26" s="714" t="s">
        <v>17</v>
      </c>
      <c r="U26" s="715">
        <f>H26</f>
        <v>100</v>
      </c>
      <c r="V26" s="714" t="s">
        <v>17</v>
      </c>
      <c r="W26" s="715">
        <f>J26</f>
        <v>100</v>
      </c>
      <c r="X26" s="1539"/>
      <c r="Y26" s="326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3"/>
      <c r="Q27" s="1527" t="str">
        <f t="shared" si="11"/>
        <v>人流量</v>
      </c>
      <c r="R27" s="710" t="s">
        <v>17</v>
      </c>
      <c r="S27" s="711">
        <f>F27</f>
        <v>100</v>
      </c>
      <c r="T27" s="710" t="s">
        <v>17</v>
      </c>
      <c r="U27" s="711">
        <f>H27</f>
        <v>100</v>
      </c>
      <c r="V27" s="710" t="s">
        <v>17</v>
      </c>
      <c r="W27" s="711">
        <f>J27</f>
        <v>100</v>
      </c>
      <c r="X27" s="712"/>
      <c r="Y27" s="326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6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3"/>
      <c r="Q29" s="1536">
        <f t="shared" si="11"/>
        <v>111</v>
      </c>
      <c r="R29" s="714" t="s">
        <v>17</v>
      </c>
      <c r="S29" s="715">
        <f t="shared" si="12"/>
        <v>100</v>
      </c>
      <c r="T29" s="714" t="s">
        <v>17</v>
      </c>
      <c r="U29" s="715">
        <f t="shared" si="13"/>
        <v>100</v>
      </c>
      <c r="V29" s="714" t="s">
        <v>17</v>
      </c>
      <c r="W29" s="715">
        <f t="shared" si="14"/>
        <v>100</v>
      </c>
      <c r="X29" s="1539"/>
      <c r="Y29" s="326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3"/>
      <c r="Q30" s="1536">
        <f t="shared" si="11"/>
        <v>111</v>
      </c>
      <c r="R30" s="714" t="s">
        <v>17</v>
      </c>
      <c r="S30" s="715">
        <f t="shared" si="12"/>
        <v>100</v>
      </c>
      <c r="T30" s="714" t="s">
        <v>17</v>
      </c>
      <c r="U30" s="715">
        <f t="shared" si="13"/>
        <v>100</v>
      </c>
      <c r="V30" s="714" t="s">
        <v>17</v>
      </c>
      <c r="W30" s="715">
        <f t="shared" si="14"/>
        <v>100</v>
      </c>
      <c r="X30" s="1539"/>
      <c r="Y30" s="326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3"/>
      <c r="Q31" s="1536">
        <f t="shared" si="11"/>
        <v>111</v>
      </c>
      <c r="R31" s="714" t="s">
        <v>17</v>
      </c>
      <c r="S31" s="715">
        <f t="shared" si="12"/>
        <v>100</v>
      </c>
      <c r="T31" s="714" t="s">
        <v>17</v>
      </c>
      <c r="U31" s="715">
        <f t="shared" si="13"/>
        <v>100</v>
      </c>
      <c r="V31" s="714" t="s">
        <v>17</v>
      </c>
      <c r="W31" s="715">
        <f t="shared" si="14"/>
        <v>100</v>
      </c>
      <c r="X31" s="1539"/>
      <c r="Y31" s="326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8" t="s">
        <v>2386</v>
      </c>
      <c r="Q32" s="1536" t="str">
        <f t="shared" si="11"/>
        <v>商业类型</v>
      </c>
      <c r="R32" s="714" t="s">
        <v>17</v>
      </c>
      <c r="S32" s="715">
        <f t="shared" si="12"/>
        <v>100</v>
      </c>
      <c r="T32" s="714" t="s">
        <v>17</v>
      </c>
      <c r="U32" s="715">
        <f t="shared" si="13"/>
        <v>100</v>
      </c>
      <c r="V32" s="714" t="s">
        <v>17</v>
      </c>
      <c r="W32" s="715">
        <f t="shared" si="14"/>
        <v>100</v>
      </c>
      <c r="X32" s="1539"/>
      <c r="Y32" s="327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9"/>
      <c r="Q33" s="716" t="str">
        <f t="shared" si="11"/>
        <v>项目建筑规模</v>
      </c>
      <c r="R33" s="717" t="s">
        <v>17</v>
      </c>
      <c r="S33" s="718" t="e">
        <f t="shared" si="12"/>
        <v>#N/A</v>
      </c>
      <c r="T33" s="717" t="s">
        <v>17</v>
      </c>
      <c r="U33" s="718" t="e">
        <f t="shared" si="13"/>
        <v>#N/A</v>
      </c>
      <c r="V33" s="717" t="s">
        <v>17</v>
      </c>
      <c r="W33" s="718" t="e">
        <f t="shared" si="14"/>
        <v>#N/A</v>
      </c>
      <c r="X33" s="719"/>
      <c r="Y33" s="327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9"/>
      <c r="Q34" s="1536" t="str">
        <f t="shared" si="11"/>
        <v>建筑结构</v>
      </c>
      <c r="R34" s="714" t="s">
        <v>17</v>
      </c>
      <c r="S34" s="715">
        <f t="shared" si="12"/>
        <v>100</v>
      </c>
      <c r="T34" s="714" t="s">
        <v>17</v>
      </c>
      <c r="U34" s="715">
        <f t="shared" si="13"/>
        <v>100</v>
      </c>
      <c r="V34" s="714" t="s">
        <v>17</v>
      </c>
      <c r="W34" s="715">
        <f t="shared" si="14"/>
        <v>100</v>
      </c>
      <c r="X34" s="1539"/>
      <c r="Y34" s="327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9"/>
      <c r="Q35" s="1536" t="str">
        <f t="shared" si="11"/>
        <v>公共部分装修</v>
      </c>
      <c r="R35" s="714" t="s">
        <v>17</v>
      </c>
      <c r="S35" s="715">
        <f t="shared" si="12"/>
        <v>100</v>
      </c>
      <c r="T35" s="714" t="s">
        <v>17</v>
      </c>
      <c r="U35" s="715">
        <f t="shared" si="13"/>
        <v>100</v>
      </c>
      <c r="V35" s="714" t="s">
        <v>17</v>
      </c>
      <c r="W35" s="715">
        <f t="shared" si="14"/>
        <v>100</v>
      </c>
      <c r="X35" s="1539"/>
      <c r="Y35" s="327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9"/>
      <c r="Q36" s="1536" t="str">
        <f t="shared" si="11"/>
        <v>成新度</v>
      </c>
      <c r="R36" s="714" t="s">
        <v>17</v>
      </c>
      <c r="S36" s="715" t="e">
        <f t="shared" si="12"/>
        <v>#N/A</v>
      </c>
      <c r="T36" s="714" t="s">
        <v>17</v>
      </c>
      <c r="U36" s="715" t="e">
        <f t="shared" si="13"/>
        <v>#N/A</v>
      </c>
      <c r="V36" s="714" t="s">
        <v>17</v>
      </c>
      <c r="W36" s="715" t="e">
        <f t="shared" si="14"/>
        <v>#N/A</v>
      </c>
      <c r="X36" s="1539"/>
      <c r="Y36" s="327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9"/>
      <c r="Q37" s="1527" t="str">
        <f t="shared" si="11"/>
        <v>市政基础设施</v>
      </c>
      <c r="R37" s="710" t="s">
        <v>17</v>
      </c>
      <c r="S37" s="711">
        <f t="shared" si="12"/>
        <v>100</v>
      </c>
      <c r="T37" s="710" t="s">
        <v>17</v>
      </c>
      <c r="U37" s="711">
        <f t="shared" si="13"/>
        <v>100</v>
      </c>
      <c r="V37" s="710" t="s">
        <v>17</v>
      </c>
      <c r="W37" s="711">
        <f t="shared" si="14"/>
        <v>100</v>
      </c>
      <c r="X37" s="712"/>
      <c r="Y37" s="327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9" t="s">
        <v>2386</v>
      </c>
      <c r="Q38" s="1536" t="str">
        <f t="shared" si="11"/>
        <v>业态</v>
      </c>
      <c r="R38" s="714" t="s">
        <v>17</v>
      </c>
      <c r="S38" s="715">
        <f t="shared" si="12"/>
        <v>100</v>
      </c>
      <c r="T38" s="714" t="s">
        <v>17</v>
      </c>
      <c r="U38" s="715">
        <f t="shared" si="13"/>
        <v>100</v>
      </c>
      <c r="V38" s="714" t="s">
        <v>17</v>
      </c>
      <c r="W38" s="715">
        <f t="shared" si="14"/>
        <v>100</v>
      </c>
      <c r="X38" s="1539"/>
      <c r="Y38" s="327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9"/>
      <c r="Q39" s="1536" t="str">
        <f t="shared" si="11"/>
        <v>层高</v>
      </c>
      <c r="R39" s="714" t="s">
        <v>17</v>
      </c>
      <c r="S39" s="715">
        <f t="shared" si="12"/>
        <v>100</v>
      </c>
      <c r="T39" s="714" t="s">
        <v>17</v>
      </c>
      <c r="U39" s="715">
        <f t="shared" si="13"/>
        <v>100</v>
      </c>
      <c r="V39" s="714" t="s">
        <v>17</v>
      </c>
      <c r="W39" s="715">
        <f t="shared" si="14"/>
        <v>100</v>
      </c>
      <c r="X39" s="1539"/>
      <c r="Y39" s="327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9"/>
      <c r="Q40" s="1536" t="str">
        <f t="shared" si="11"/>
        <v>单套建筑面积</v>
      </c>
      <c r="R40" s="714" t="s">
        <v>17</v>
      </c>
      <c r="S40" s="715">
        <f t="shared" si="12"/>
        <v>100</v>
      </c>
      <c r="T40" s="714" t="s">
        <v>17</v>
      </c>
      <c r="U40" s="715">
        <f t="shared" si="13"/>
        <v>100</v>
      </c>
      <c r="V40" s="714" t="s">
        <v>17</v>
      </c>
      <c r="W40" s="715">
        <f t="shared" si="14"/>
        <v>100</v>
      </c>
      <c r="X40" s="1539"/>
      <c r="Y40" s="327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9"/>
      <c r="Q41" s="716" t="str">
        <f t="shared" si="11"/>
        <v>进深比</v>
      </c>
      <c r="R41" s="717" t="s">
        <v>17</v>
      </c>
      <c r="S41" s="718">
        <f t="shared" si="12"/>
        <v>100</v>
      </c>
      <c r="T41" s="717" t="s">
        <v>17</v>
      </c>
      <c r="U41" s="718">
        <f t="shared" si="13"/>
        <v>100</v>
      </c>
      <c r="V41" s="717" t="s">
        <v>17</v>
      </c>
      <c r="W41" s="718">
        <f t="shared" si="14"/>
        <v>100</v>
      </c>
      <c r="X41" s="719"/>
      <c r="Y41" s="327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9"/>
      <c r="Q42" s="1536" t="str">
        <f t="shared" si="11"/>
        <v>内部装修</v>
      </c>
      <c r="R42" s="714" t="s">
        <v>17</v>
      </c>
      <c r="S42" s="715">
        <f t="shared" si="12"/>
        <v>100</v>
      </c>
      <c r="T42" s="714" t="s">
        <v>17</v>
      </c>
      <c r="U42" s="715">
        <f t="shared" si="13"/>
        <v>100</v>
      </c>
      <c r="V42" s="714" t="s">
        <v>17</v>
      </c>
      <c r="W42" s="715">
        <f t="shared" si="14"/>
        <v>100</v>
      </c>
      <c r="X42" s="1539"/>
      <c r="Y42" s="327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9"/>
      <c r="Q43" s="1536" t="str">
        <f t="shared" si="11"/>
        <v>内部装修维护情况</v>
      </c>
      <c r="R43" s="714" t="s">
        <v>17</v>
      </c>
      <c r="S43" s="715">
        <f t="shared" si="12"/>
        <v>100</v>
      </c>
      <c r="T43" s="714" t="s">
        <v>17</v>
      </c>
      <c r="U43" s="715">
        <f t="shared" si="13"/>
        <v>100</v>
      </c>
      <c r="V43" s="714" t="s">
        <v>17</v>
      </c>
      <c r="W43" s="715">
        <f t="shared" si="14"/>
        <v>100</v>
      </c>
      <c r="X43" s="1539"/>
      <c r="Y43" s="327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9"/>
      <c r="Q44" s="1527">
        <f t="shared" si="11"/>
        <v>111</v>
      </c>
      <c r="R44" s="710" t="s">
        <v>17</v>
      </c>
      <c r="S44" s="711">
        <f t="shared" si="12"/>
        <v>100</v>
      </c>
      <c r="T44" s="710" t="s">
        <v>17</v>
      </c>
      <c r="U44" s="711">
        <f t="shared" si="13"/>
        <v>100</v>
      </c>
      <c r="V44" s="710" t="s">
        <v>17</v>
      </c>
      <c r="W44" s="711">
        <f t="shared" si="14"/>
        <v>100</v>
      </c>
      <c r="X44" s="712"/>
      <c r="Y44" s="327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9"/>
      <c r="Q45" s="1536">
        <f t="shared" si="11"/>
        <v>111</v>
      </c>
      <c r="R45" s="714" t="s">
        <v>17</v>
      </c>
      <c r="S45" s="715">
        <f t="shared" si="12"/>
        <v>100</v>
      </c>
      <c r="T45" s="714" t="s">
        <v>17</v>
      </c>
      <c r="U45" s="715">
        <f t="shared" si="13"/>
        <v>100</v>
      </c>
      <c r="V45" s="714" t="s">
        <v>17</v>
      </c>
      <c r="W45" s="715">
        <f t="shared" si="14"/>
        <v>100</v>
      </c>
      <c r="X45" s="1539"/>
      <c r="Y45" s="327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0"/>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64" t="str">
        <f>A47</f>
        <v>成交单价（元/平方米）</v>
      </c>
      <c r="Q47" s="3264"/>
      <c r="R47" s="3266">
        <f>E47</f>
        <v>0</v>
      </c>
      <c r="S47" s="3266"/>
      <c r="T47" s="3266">
        <f>G47</f>
        <v>0</v>
      </c>
      <c r="U47" s="3266"/>
      <c r="V47" s="3266">
        <f>I47</f>
        <v>0</v>
      </c>
      <c r="W47" s="3266"/>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64" t="str">
        <f>A48</f>
        <v>比较价值（元/平方米）</v>
      </c>
      <c r="Q48" s="3264"/>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61" t="str">
        <f>A49</f>
        <v>估价对象XX用房的比较价值（楼面单价，元/平方米）</v>
      </c>
      <c r="Q49" s="3262"/>
      <c r="R49" s="3336" t="e">
        <f>IF(F1="售价",ROUND(IF(D48="简单平均",AVERAGE(R48:V48),R48*F48+T48*H48+V48*J48),0),ROUND(IF(D48="简单平均",AVERAGE(R48:V48),R48*F48+T48*H48+V48*J48),1))</f>
        <v>#DIV/0!</v>
      </c>
      <c r="S49" s="3336"/>
      <c r="T49" s="3336"/>
      <c r="U49" s="3336"/>
      <c r="V49" s="3336"/>
      <c r="W49" s="333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32069.72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74" t="s">
        <v>2467</v>
      </c>
      <c r="D4" s="3275"/>
      <c r="E4" s="3276" t="s">
        <v>2468</v>
      </c>
      <c r="F4" s="3277"/>
      <c r="G4" s="3274" t="s">
        <v>2469</v>
      </c>
      <c r="H4" s="3275"/>
      <c r="I4" s="3274" t="s">
        <v>2470</v>
      </c>
      <c r="J4" s="3275"/>
      <c r="K4" s="567" t="s">
        <v>2471</v>
      </c>
      <c r="L4" s="2944"/>
      <c r="M4" s="2945"/>
      <c r="N4" s="2945"/>
      <c r="O4" s="2945"/>
      <c r="P4" s="3350" t="s">
        <v>2472</v>
      </c>
      <c r="Q4" s="3351"/>
      <c r="R4" s="3345" t="s">
        <v>2468</v>
      </c>
      <c r="S4" s="3346"/>
      <c r="T4" s="3345" t="s">
        <v>2469</v>
      </c>
      <c r="U4" s="3346"/>
      <c r="V4" s="3354" t="s">
        <v>2470</v>
      </c>
      <c r="W4" s="3354"/>
      <c r="X4" s="2144"/>
      <c r="Y4" s="3345" t="s">
        <v>2472</v>
      </c>
      <c r="Z4" s="3346"/>
      <c r="AA4" s="3344" t="s">
        <v>2468</v>
      </c>
      <c r="AB4" s="3344" t="s">
        <v>2469</v>
      </c>
      <c r="AC4" s="3347" t="s">
        <v>2470</v>
      </c>
    </row>
    <row r="5" spans="1:29" ht="15">
      <c r="A5" s="364"/>
      <c r="B5" s="365"/>
      <c r="C5" s="3295" t="s">
        <v>2363</v>
      </c>
      <c r="D5" s="3296"/>
      <c r="E5" s="3284" t="s">
        <v>2364</v>
      </c>
      <c r="F5" s="3285"/>
      <c r="G5" s="3295" t="s">
        <v>2365</v>
      </c>
      <c r="H5" s="3296"/>
      <c r="I5" s="3295" t="s">
        <v>2366</v>
      </c>
      <c r="J5" s="3296"/>
      <c r="K5" s="567"/>
      <c r="L5" s="2944"/>
      <c r="M5" s="2945"/>
      <c r="N5" s="2945"/>
      <c r="O5" s="2945"/>
      <c r="P5" s="3352"/>
      <c r="Q5" s="3281"/>
      <c r="R5" s="3293"/>
      <c r="S5" s="3294"/>
      <c r="T5" s="3293"/>
      <c r="U5" s="3294"/>
      <c r="V5" s="3266"/>
      <c r="W5" s="3266"/>
      <c r="X5" s="1539"/>
      <c r="Y5" s="3293"/>
      <c r="Z5" s="3294"/>
      <c r="AA5" s="3272"/>
      <c r="AB5" s="3272"/>
      <c r="AC5" s="3348"/>
    </row>
    <row r="6" spans="1:29" ht="15.75" thickBot="1">
      <c r="A6" s="366"/>
      <c r="B6" s="367"/>
      <c r="C6" s="3332" t="s">
        <v>2367</v>
      </c>
      <c r="D6" s="3333"/>
      <c r="E6" s="3334" t="s">
        <v>2367</v>
      </c>
      <c r="F6" s="3335"/>
      <c r="G6" s="3332" t="s">
        <v>2367</v>
      </c>
      <c r="H6" s="3333"/>
      <c r="I6" s="3332" t="s">
        <v>2367</v>
      </c>
      <c r="J6" s="3333"/>
      <c r="K6" s="567" t="s">
        <v>2368</v>
      </c>
      <c r="L6" s="2944"/>
      <c r="M6" s="2945"/>
      <c r="N6" s="2945"/>
      <c r="O6" s="2945"/>
      <c r="P6" s="3353"/>
      <c r="Q6" s="3283"/>
      <c r="R6" s="3293"/>
      <c r="S6" s="3294"/>
      <c r="T6" s="3302"/>
      <c r="U6" s="3303"/>
      <c r="V6" s="3266"/>
      <c r="W6" s="3266"/>
      <c r="X6" s="1539"/>
      <c r="Y6" s="3302"/>
      <c r="Z6" s="3303"/>
      <c r="AA6" s="3273"/>
      <c r="AB6" s="3273"/>
      <c r="AC6" s="3349"/>
    </row>
    <row r="7" spans="1:29" s="113" customFormat="1" ht="15.75" thickBot="1">
      <c r="A7" s="368" t="s">
        <v>2369</v>
      </c>
      <c r="B7" s="369"/>
      <c r="C7" s="370">
        <f>'数据-取费表'!B2</f>
        <v>44371</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5" t="s">
        <v>2370</v>
      </c>
      <c r="Q7" s="3299"/>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5" t="s">
        <v>2373</v>
      </c>
      <c r="Q8" s="3287"/>
      <c r="R8" s="710" t="s">
        <v>17</v>
      </c>
      <c r="S8" s="711">
        <f t="shared" si="0"/>
        <v>0</v>
      </c>
      <c r="T8" s="710" t="s">
        <v>17</v>
      </c>
      <c r="U8" s="711">
        <f t="shared" si="1"/>
        <v>0</v>
      </c>
      <c r="V8" s="710" t="s">
        <v>17</v>
      </c>
      <c r="W8" s="711">
        <f t="shared" si="2"/>
        <v>0</v>
      </c>
      <c r="X8" s="712"/>
      <c r="Y8" s="3286" t="s">
        <v>2373</v>
      </c>
      <c r="Z8" s="328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89"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89"/>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89"/>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89"/>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89"/>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89"/>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2" t="s">
        <v>2381</v>
      </c>
      <c r="Q15" s="1536" t="str">
        <f t="shared" si="6"/>
        <v>办公集聚程度</v>
      </c>
      <c r="R15" s="714" t="s">
        <v>17</v>
      </c>
      <c r="S15" s="715">
        <f t="shared" si="0"/>
        <v>100</v>
      </c>
      <c r="T15" s="714" t="s">
        <v>17</v>
      </c>
      <c r="U15" s="715">
        <f t="shared" si="1"/>
        <v>100</v>
      </c>
      <c r="V15" s="714" t="s">
        <v>17</v>
      </c>
      <c r="W15" s="715">
        <f t="shared" si="2"/>
        <v>100</v>
      </c>
      <c r="X15" s="1539"/>
      <c r="Y15" s="3267"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43"/>
      <c r="Q16" s="1536"/>
      <c r="R16" s="714"/>
      <c r="S16" s="715"/>
      <c r="T16" s="714"/>
      <c r="U16" s="715"/>
      <c r="V16" s="714"/>
      <c r="W16" s="715"/>
      <c r="X16" s="1539"/>
      <c r="Y16" s="326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3"/>
      <c r="Q17" s="1536" t="str">
        <f>B17</f>
        <v>交通便捷度</v>
      </c>
      <c r="R17" s="714" t="s">
        <v>17</v>
      </c>
      <c r="S17" s="715">
        <f>F17</f>
        <v>100</v>
      </c>
      <c r="T17" s="714" t="s">
        <v>17</v>
      </c>
      <c r="U17" s="715">
        <f>H17</f>
        <v>100</v>
      </c>
      <c r="V17" s="714" t="s">
        <v>17</v>
      </c>
      <c r="W17" s="715">
        <f>J17</f>
        <v>100</v>
      </c>
      <c r="X17" s="1539"/>
      <c r="Y17" s="326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43"/>
      <c r="Q18" s="1536"/>
      <c r="R18" s="714"/>
      <c r="S18" s="715"/>
      <c r="T18" s="714"/>
      <c r="U18" s="715"/>
      <c r="V18" s="714"/>
      <c r="W18" s="715"/>
      <c r="X18" s="1539"/>
      <c r="Y18" s="326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3"/>
      <c r="Q19" s="1536" t="str">
        <f>B19</f>
        <v>公共配套设施</v>
      </c>
      <c r="R19" s="714" t="s">
        <v>17</v>
      </c>
      <c r="S19" s="715">
        <f>F19</f>
        <v>100</v>
      </c>
      <c r="T19" s="714" t="s">
        <v>17</v>
      </c>
      <c r="U19" s="715">
        <f>H19</f>
        <v>100</v>
      </c>
      <c r="V19" s="714" t="s">
        <v>17</v>
      </c>
      <c r="W19" s="715">
        <f>J19</f>
        <v>100</v>
      </c>
      <c r="X19" s="1539"/>
      <c r="Y19" s="326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43"/>
      <c r="Q20" s="1536"/>
      <c r="R20" s="714"/>
      <c r="S20" s="715"/>
      <c r="T20" s="714"/>
      <c r="U20" s="715"/>
      <c r="V20" s="714"/>
      <c r="W20" s="715"/>
      <c r="X20" s="1539"/>
      <c r="Y20" s="326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3"/>
      <c r="Q21" s="1536" t="str">
        <f>B21</f>
        <v>基础设施水平</v>
      </c>
      <c r="R21" s="714" t="s">
        <v>17</v>
      </c>
      <c r="S21" s="715">
        <f>F21</f>
        <v>100</v>
      </c>
      <c r="T21" s="714" t="s">
        <v>17</v>
      </c>
      <c r="U21" s="715">
        <f>H21</f>
        <v>100</v>
      </c>
      <c r="V21" s="714" t="s">
        <v>17</v>
      </c>
      <c r="W21" s="715">
        <f>J21</f>
        <v>100</v>
      </c>
      <c r="X21" s="1539"/>
      <c r="Y21" s="326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43"/>
      <c r="Q22" s="1536"/>
      <c r="R22" s="714"/>
      <c r="S22" s="715"/>
      <c r="T22" s="714"/>
      <c r="U22" s="715"/>
      <c r="V22" s="714"/>
      <c r="W22" s="715"/>
      <c r="X22" s="1539"/>
      <c r="Y22" s="326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3"/>
      <c r="Q23" s="1536" t="str">
        <f>B23</f>
        <v>环境质量</v>
      </c>
      <c r="R23" s="714" t="s">
        <v>17</v>
      </c>
      <c r="S23" s="715">
        <f>F23</f>
        <v>100</v>
      </c>
      <c r="T23" s="714" t="s">
        <v>17</v>
      </c>
      <c r="U23" s="715">
        <f>H23</f>
        <v>100</v>
      </c>
      <c r="V23" s="714" t="s">
        <v>17</v>
      </c>
      <c r="W23" s="715">
        <f>J23</f>
        <v>100</v>
      </c>
      <c r="X23" s="1539"/>
      <c r="Y23" s="326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43"/>
      <c r="Q24" s="1536"/>
      <c r="R24" s="714"/>
      <c r="S24" s="715"/>
      <c r="T24" s="714"/>
      <c r="U24" s="715"/>
      <c r="V24" s="714"/>
      <c r="W24" s="715"/>
      <c r="X24" s="1539"/>
      <c r="Y24" s="3268"/>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43"/>
      <c r="Q25" s="1536" t="str">
        <f>B25</f>
        <v>毗邻道路的类型与等级</v>
      </c>
      <c r="R25" s="714" t="s">
        <v>17</v>
      </c>
      <c r="S25" s="715">
        <f>F25</f>
        <v>100</v>
      </c>
      <c r="T25" s="714" t="s">
        <v>17</v>
      </c>
      <c r="U25" s="715">
        <f>H25</f>
        <v>100</v>
      </c>
      <c r="V25" s="714" t="s">
        <v>17</v>
      </c>
      <c r="W25" s="715">
        <f>J25</f>
        <v>100</v>
      </c>
      <c r="X25" s="1539"/>
      <c r="Y25" s="326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43"/>
      <c r="Q26" s="1536"/>
      <c r="R26" s="714"/>
      <c r="S26" s="715"/>
      <c r="T26" s="714"/>
      <c r="U26" s="715"/>
      <c r="V26" s="714"/>
      <c r="W26" s="715"/>
      <c r="X26" s="1539"/>
      <c r="Y26" s="3268"/>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3"/>
      <c r="Q27" s="1536" t="str">
        <f t="shared" ref="Q27:Q47" si="11">B27</f>
        <v>楼层</v>
      </c>
      <c r="R27" s="714" t="s">
        <v>17</v>
      </c>
      <c r="S27" s="715">
        <f>F27</f>
        <v>100</v>
      </c>
      <c r="T27" s="714" t="s">
        <v>17</v>
      </c>
      <c r="U27" s="715">
        <f>H27</f>
        <v>100</v>
      </c>
      <c r="V27" s="714" t="s">
        <v>17</v>
      </c>
      <c r="W27" s="715">
        <f>J27</f>
        <v>100</v>
      </c>
      <c r="X27" s="1539"/>
      <c r="Y27" s="3268"/>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3"/>
      <c r="Q28" s="1527" t="str">
        <f t="shared" si="11"/>
        <v>朝向</v>
      </c>
      <c r="R28" s="710" t="s">
        <v>17</v>
      </c>
      <c r="S28" s="711">
        <f>F28</f>
        <v>100</v>
      </c>
      <c r="T28" s="710" t="s">
        <v>17</v>
      </c>
      <c r="U28" s="711">
        <f>H28</f>
        <v>100</v>
      </c>
      <c r="V28" s="710" t="s">
        <v>17</v>
      </c>
      <c r="W28" s="711">
        <f>J28</f>
        <v>100</v>
      </c>
      <c r="X28" s="712"/>
      <c r="Y28" s="326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3"/>
      <c r="Q29" s="1536">
        <f t="shared" si="11"/>
        <v>111</v>
      </c>
      <c r="R29" s="714" t="s">
        <v>17</v>
      </c>
      <c r="S29" s="715">
        <f t="shared" ref="S29:S47" si="12">F29</f>
        <v>100</v>
      </c>
      <c r="T29" s="714" t="s">
        <v>17</v>
      </c>
      <c r="U29" s="715">
        <f t="shared" ref="U29:U47" si="13">H29</f>
        <v>100</v>
      </c>
      <c r="V29" s="714" t="s">
        <v>17</v>
      </c>
      <c r="W29" s="715">
        <f t="shared" ref="W29:W47" si="14">J29</f>
        <v>100</v>
      </c>
      <c r="X29" s="1539"/>
      <c r="Y29" s="326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3"/>
      <c r="Q30" s="1536">
        <f t="shared" si="11"/>
        <v>111</v>
      </c>
      <c r="R30" s="714" t="s">
        <v>17</v>
      </c>
      <c r="S30" s="715">
        <f t="shared" si="12"/>
        <v>100</v>
      </c>
      <c r="T30" s="714" t="s">
        <v>17</v>
      </c>
      <c r="U30" s="715">
        <f t="shared" si="13"/>
        <v>100</v>
      </c>
      <c r="V30" s="714" t="s">
        <v>17</v>
      </c>
      <c r="W30" s="715">
        <f t="shared" si="14"/>
        <v>100</v>
      </c>
      <c r="X30" s="1539"/>
      <c r="Y30" s="326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3"/>
      <c r="Q31" s="1536">
        <f t="shared" si="11"/>
        <v>111</v>
      </c>
      <c r="R31" s="714" t="s">
        <v>17</v>
      </c>
      <c r="S31" s="715">
        <f t="shared" si="12"/>
        <v>100</v>
      </c>
      <c r="T31" s="714" t="s">
        <v>17</v>
      </c>
      <c r="U31" s="715">
        <f t="shared" si="13"/>
        <v>100</v>
      </c>
      <c r="V31" s="714" t="s">
        <v>17</v>
      </c>
      <c r="W31" s="715">
        <f t="shared" si="14"/>
        <v>100</v>
      </c>
      <c r="X31" s="1539"/>
      <c r="Y31" s="326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3"/>
      <c r="Q32" s="1536">
        <f t="shared" si="11"/>
        <v>111</v>
      </c>
      <c r="R32" s="714" t="s">
        <v>17</v>
      </c>
      <c r="S32" s="715">
        <f t="shared" si="12"/>
        <v>100</v>
      </c>
      <c r="T32" s="714" t="s">
        <v>17</v>
      </c>
      <c r="U32" s="715">
        <f t="shared" si="13"/>
        <v>100</v>
      </c>
      <c r="V32" s="714" t="s">
        <v>17</v>
      </c>
      <c r="W32" s="715">
        <f t="shared" si="14"/>
        <v>100</v>
      </c>
      <c r="X32" s="1539"/>
      <c r="Y32" s="3268"/>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8" t="s">
        <v>2386</v>
      </c>
      <c r="Q33" s="1536" t="str">
        <f t="shared" si="11"/>
        <v>建筑类型</v>
      </c>
      <c r="R33" s="714" t="s">
        <v>17</v>
      </c>
      <c r="S33" s="715">
        <f t="shared" si="12"/>
        <v>100</v>
      </c>
      <c r="T33" s="714" t="s">
        <v>17</v>
      </c>
      <c r="U33" s="715">
        <f t="shared" si="13"/>
        <v>100</v>
      </c>
      <c r="V33" s="714" t="s">
        <v>17</v>
      </c>
      <c r="W33" s="715">
        <f t="shared" si="14"/>
        <v>100</v>
      </c>
      <c r="X33" s="1539"/>
      <c r="Y33" s="327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9"/>
      <c r="Q34" s="716" t="str">
        <f t="shared" si="11"/>
        <v>项目建筑规模</v>
      </c>
      <c r="R34" s="717" t="s">
        <v>17</v>
      </c>
      <c r="S34" s="718" t="e">
        <f t="shared" si="12"/>
        <v>#N/A</v>
      </c>
      <c r="T34" s="717" t="s">
        <v>17</v>
      </c>
      <c r="U34" s="718" t="e">
        <f t="shared" si="13"/>
        <v>#N/A</v>
      </c>
      <c r="V34" s="717" t="s">
        <v>17</v>
      </c>
      <c r="W34" s="718" t="e">
        <f t="shared" si="14"/>
        <v>#N/A</v>
      </c>
      <c r="X34" s="719"/>
      <c r="Y34" s="327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9"/>
      <c r="Q35" s="1536" t="str">
        <f t="shared" si="11"/>
        <v>建筑结构</v>
      </c>
      <c r="R35" s="714" t="s">
        <v>17</v>
      </c>
      <c r="S35" s="715">
        <f t="shared" si="12"/>
        <v>100</v>
      </c>
      <c r="T35" s="714" t="s">
        <v>17</v>
      </c>
      <c r="U35" s="715">
        <f t="shared" si="13"/>
        <v>100</v>
      </c>
      <c r="V35" s="714" t="s">
        <v>17</v>
      </c>
      <c r="W35" s="715">
        <f t="shared" si="14"/>
        <v>100</v>
      </c>
      <c r="X35" s="1539"/>
      <c r="Y35" s="327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9"/>
      <c r="Q36" s="1536" t="str">
        <f t="shared" si="11"/>
        <v>公共部分装修</v>
      </c>
      <c r="R36" s="714" t="s">
        <v>17</v>
      </c>
      <c r="S36" s="715">
        <f t="shared" si="12"/>
        <v>100</v>
      </c>
      <c r="T36" s="714" t="s">
        <v>17</v>
      </c>
      <c r="U36" s="715">
        <f t="shared" si="13"/>
        <v>100</v>
      </c>
      <c r="V36" s="714" t="s">
        <v>17</v>
      </c>
      <c r="W36" s="715">
        <f t="shared" si="14"/>
        <v>100</v>
      </c>
      <c r="X36" s="1539"/>
      <c r="Y36" s="327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9"/>
      <c r="Q37" s="1536" t="str">
        <f t="shared" si="11"/>
        <v>成新度</v>
      </c>
      <c r="R37" s="714" t="s">
        <v>17</v>
      </c>
      <c r="S37" s="715" t="e">
        <f t="shared" si="12"/>
        <v>#N/A</v>
      </c>
      <c r="T37" s="714" t="s">
        <v>17</v>
      </c>
      <c r="U37" s="715" t="e">
        <f t="shared" si="13"/>
        <v>#N/A</v>
      </c>
      <c r="V37" s="714" t="s">
        <v>17</v>
      </c>
      <c r="W37" s="715" t="e">
        <f t="shared" si="14"/>
        <v>#N/A</v>
      </c>
      <c r="X37" s="1539"/>
      <c r="Y37" s="327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9"/>
      <c r="Q38" s="1527" t="str">
        <f t="shared" si="11"/>
        <v>写字楼等级</v>
      </c>
      <c r="R38" s="710" t="s">
        <v>17</v>
      </c>
      <c r="S38" s="711">
        <f t="shared" si="12"/>
        <v>100</v>
      </c>
      <c r="T38" s="710" t="s">
        <v>17</v>
      </c>
      <c r="U38" s="711">
        <f t="shared" si="13"/>
        <v>100</v>
      </c>
      <c r="V38" s="710" t="s">
        <v>17</v>
      </c>
      <c r="W38" s="711">
        <f t="shared" si="14"/>
        <v>100</v>
      </c>
      <c r="X38" s="712"/>
      <c r="Y38" s="327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9" t="s">
        <v>2386</v>
      </c>
      <c r="Q39" s="1536" t="str">
        <f t="shared" si="11"/>
        <v>物业管理</v>
      </c>
      <c r="R39" s="714" t="s">
        <v>17</v>
      </c>
      <c r="S39" s="715">
        <f t="shared" si="12"/>
        <v>100</v>
      </c>
      <c r="T39" s="714" t="s">
        <v>17</v>
      </c>
      <c r="U39" s="715">
        <f t="shared" si="13"/>
        <v>100</v>
      </c>
      <c r="V39" s="714" t="s">
        <v>17</v>
      </c>
      <c r="W39" s="715">
        <f t="shared" si="14"/>
        <v>100</v>
      </c>
      <c r="X39" s="1539"/>
      <c r="Y39" s="327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9"/>
      <c r="Q40" s="1536" t="str">
        <f t="shared" si="11"/>
        <v>市政基础设施</v>
      </c>
      <c r="R40" s="714" t="s">
        <v>17</v>
      </c>
      <c r="S40" s="715">
        <f t="shared" si="12"/>
        <v>100</v>
      </c>
      <c r="T40" s="714" t="s">
        <v>17</v>
      </c>
      <c r="U40" s="715">
        <f t="shared" si="13"/>
        <v>100</v>
      </c>
      <c r="V40" s="714" t="s">
        <v>17</v>
      </c>
      <c r="W40" s="715">
        <f t="shared" si="14"/>
        <v>100</v>
      </c>
      <c r="X40" s="1539"/>
      <c r="Y40" s="327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9"/>
      <c r="Q41" s="1536" t="str">
        <f t="shared" si="11"/>
        <v>层高</v>
      </c>
      <c r="R41" s="714" t="s">
        <v>17</v>
      </c>
      <c r="S41" s="715">
        <f t="shared" si="12"/>
        <v>100</v>
      </c>
      <c r="T41" s="714" t="s">
        <v>17</v>
      </c>
      <c r="U41" s="715">
        <f t="shared" si="13"/>
        <v>100</v>
      </c>
      <c r="V41" s="714" t="s">
        <v>17</v>
      </c>
      <c r="W41" s="715">
        <f t="shared" si="14"/>
        <v>100</v>
      </c>
      <c r="X41" s="1539"/>
      <c r="Y41" s="327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9"/>
      <c r="Q42" s="716" t="str">
        <f t="shared" si="11"/>
        <v>单套建筑面积</v>
      </c>
      <c r="R42" s="717" t="s">
        <v>17</v>
      </c>
      <c r="S42" s="718">
        <f t="shared" si="12"/>
        <v>100</v>
      </c>
      <c r="T42" s="717" t="s">
        <v>17</v>
      </c>
      <c r="U42" s="718">
        <f t="shared" si="13"/>
        <v>100</v>
      </c>
      <c r="V42" s="717" t="s">
        <v>17</v>
      </c>
      <c r="W42" s="718">
        <f t="shared" si="14"/>
        <v>100</v>
      </c>
      <c r="X42" s="719"/>
      <c r="Y42" s="327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9"/>
      <c r="Q43" s="1536" t="str">
        <f t="shared" si="11"/>
        <v>内部装修</v>
      </c>
      <c r="R43" s="714" t="s">
        <v>17</v>
      </c>
      <c r="S43" s="715">
        <f t="shared" si="12"/>
        <v>100</v>
      </c>
      <c r="T43" s="714" t="s">
        <v>17</v>
      </c>
      <c r="U43" s="715">
        <f t="shared" si="13"/>
        <v>100</v>
      </c>
      <c r="V43" s="714" t="s">
        <v>17</v>
      </c>
      <c r="W43" s="715">
        <f t="shared" si="14"/>
        <v>100</v>
      </c>
      <c r="X43" s="1539"/>
      <c r="Y43" s="327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9"/>
      <c r="Q44" s="1536" t="str">
        <f t="shared" si="11"/>
        <v>内部装修维护情况</v>
      </c>
      <c r="R44" s="714" t="s">
        <v>17</v>
      </c>
      <c r="S44" s="715">
        <f t="shared" si="12"/>
        <v>100</v>
      </c>
      <c r="T44" s="714" t="s">
        <v>17</v>
      </c>
      <c r="U44" s="715">
        <f t="shared" si="13"/>
        <v>100</v>
      </c>
      <c r="V44" s="714" t="s">
        <v>17</v>
      </c>
      <c r="W44" s="715">
        <f t="shared" si="14"/>
        <v>100</v>
      </c>
      <c r="X44" s="1539"/>
      <c r="Y44" s="327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9"/>
      <c r="Q45" s="1527">
        <f t="shared" si="11"/>
        <v>111</v>
      </c>
      <c r="R45" s="710" t="s">
        <v>17</v>
      </c>
      <c r="S45" s="711">
        <f t="shared" si="12"/>
        <v>100</v>
      </c>
      <c r="T45" s="710" t="s">
        <v>17</v>
      </c>
      <c r="U45" s="711">
        <f t="shared" si="13"/>
        <v>100</v>
      </c>
      <c r="V45" s="710" t="s">
        <v>17</v>
      </c>
      <c r="W45" s="711">
        <f t="shared" si="14"/>
        <v>100</v>
      </c>
      <c r="X45" s="712"/>
      <c r="Y45" s="327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9"/>
      <c r="Q46" s="1536">
        <f t="shared" si="11"/>
        <v>111</v>
      </c>
      <c r="R46" s="714" t="s">
        <v>17</v>
      </c>
      <c r="S46" s="715">
        <f t="shared" si="12"/>
        <v>100</v>
      </c>
      <c r="T46" s="714" t="s">
        <v>17</v>
      </c>
      <c r="U46" s="715">
        <f t="shared" si="13"/>
        <v>100</v>
      </c>
      <c r="V46" s="714" t="s">
        <v>17</v>
      </c>
      <c r="W46" s="715">
        <f t="shared" si="14"/>
        <v>100</v>
      </c>
      <c r="X46" s="1539"/>
      <c r="Y46" s="327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0"/>
      <c r="Q47" s="1536">
        <f t="shared" si="11"/>
        <v>111</v>
      </c>
      <c r="R47" s="714" t="s">
        <v>17</v>
      </c>
      <c r="S47" s="715">
        <f t="shared" si="12"/>
        <v>100</v>
      </c>
      <c r="T47" s="714" t="s">
        <v>17</v>
      </c>
      <c r="U47" s="715">
        <f t="shared" si="13"/>
        <v>100</v>
      </c>
      <c r="V47" s="714" t="s">
        <v>17</v>
      </c>
      <c r="W47" s="715">
        <f t="shared" si="14"/>
        <v>100</v>
      </c>
      <c r="X47" s="1539"/>
      <c r="Y47" s="334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89" t="str">
        <f>A48</f>
        <v>成交单价（元/平方米）</v>
      </c>
      <c r="Q48" s="3264"/>
      <c r="R48" s="3337">
        <f>E48</f>
        <v>0</v>
      </c>
      <c r="S48" s="3337"/>
      <c r="T48" s="3337">
        <f>G48</f>
        <v>0</v>
      </c>
      <c r="U48" s="3337"/>
      <c r="V48" s="3337">
        <f>I48</f>
        <v>0</v>
      </c>
      <c r="W48" s="3337"/>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89" t="str">
        <f>A49</f>
        <v>比较价值（元/平方米）</v>
      </c>
      <c r="Q49" s="3264"/>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估价对象为房地产，为所有。根据《国有土地使用证》[]，估价对象（分摊）出让国有建设用地使用权面积为60655.3平方米，建筑面积为32069.72平方米。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估价对象为房地产,属开发建设的，该项目尚在开发建设中。根据《国有土地使用证》[]，估价对象（分摊）出让国有建设用地使用权面积为60655.3平方米，规划建筑面积为32069.72平方米。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2021年6月24日（评估专业人员实地查勘之日）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32069.72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4" t="s">
        <v>2467</v>
      </c>
      <c r="D4" s="3275"/>
      <c r="E4" s="3276" t="s">
        <v>2468</v>
      </c>
      <c r="F4" s="3277"/>
      <c r="G4" s="3274" t="s">
        <v>2469</v>
      </c>
      <c r="H4" s="3275"/>
      <c r="I4" s="3274" t="s">
        <v>2470</v>
      </c>
      <c r="J4" s="3275"/>
      <c r="K4" s="567" t="s">
        <v>2471</v>
      </c>
      <c r="L4" s="1044"/>
      <c r="M4" s="1045"/>
      <c r="N4" s="1045"/>
      <c r="O4" s="1045"/>
      <c r="P4" s="3278" t="s">
        <v>2472</v>
      </c>
      <c r="Q4" s="3279"/>
      <c r="R4" s="3291" t="s">
        <v>2468</v>
      </c>
      <c r="S4" s="3292"/>
      <c r="T4" s="3291" t="s">
        <v>2469</v>
      </c>
      <c r="U4" s="3292"/>
      <c r="V4" s="3266" t="s">
        <v>2470</v>
      </c>
      <c r="W4" s="3266"/>
      <c r="X4" s="1539"/>
      <c r="Y4" s="3291" t="s">
        <v>2472</v>
      </c>
      <c r="Z4" s="3292"/>
      <c r="AA4" s="3271" t="s">
        <v>2468</v>
      </c>
      <c r="AB4" s="3272" t="s">
        <v>2469</v>
      </c>
      <c r="AC4" s="3271" t="s">
        <v>2470</v>
      </c>
    </row>
    <row r="5" spans="1:29" ht="15">
      <c r="A5" s="364"/>
      <c r="B5" s="365"/>
      <c r="C5" s="3295" t="s">
        <v>2363</v>
      </c>
      <c r="D5" s="3296"/>
      <c r="E5" s="3284" t="s">
        <v>2364</v>
      </c>
      <c r="F5" s="3285"/>
      <c r="G5" s="3295" t="s">
        <v>2365</v>
      </c>
      <c r="H5" s="3296"/>
      <c r="I5" s="3295" t="s">
        <v>2366</v>
      </c>
      <c r="J5" s="3296"/>
      <c r="K5" s="567"/>
      <c r="L5" s="1044"/>
      <c r="M5" s="1045"/>
      <c r="N5" s="1045"/>
      <c r="O5" s="1045"/>
      <c r="P5" s="3280"/>
      <c r="Q5" s="3281"/>
      <c r="R5" s="3293"/>
      <c r="S5" s="3294"/>
      <c r="T5" s="3293"/>
      <c r="U5" s="3294"/>
      <c r="V5" s="3266"/>
      <c r="W5" s="3266"/>
      <c r="X5" s="1539"/>
      <c r="Y5" s="3293"/>
      <c r="Z5" s="3294"/>
      <c r="AA5" s="3272"/>
      <c r="AB5" s="3272"/>
      <c r="AC5" s="3272"/>
    </row>
    <row r="6" spans="1:29" ht="15.75" thickBot="1">
      <c r="A6" s="366"/>
      <c r="B6" s="367"/>
      <c r="C6" s="3332" t="s">
        <v>2367</v>
      </c>
      <c r="D6" s="3333"/>
      <c r="E6" s="3334" t="s">
        <v>2367</v>
      </c>
      <c r="F6" s="3335"/>
      <c r="G6" s="3332" t="s">
        <v>2367</v>
      </c>
      <c r="H6" s="3333"/>
      <c r="I6" s="3332" t="s">
        <v>2367</v>
      </c>
      <c r="J6" s="3333"/>
      <c r="K6" s="567" t="s">
        <v>2368</v>
      </c>
      <c r="L6" s="1044"/>
      <c r="M6" s="1045"/>
      <c r="N6" s="1045"/>
      <c r="O6" s="1045"/>
      <c r="P6" s="3282"/>
      <c r="Q6" s="3283"/>
      <c r="R6" s="3293"/>
      <c r="S6" s="3294"/>
      <c r="T6" s="3302"/>
      <c r="U6" s="3303"/>
      <c r="V6" s="3266"/>
      <c r="W6" s="3266"/>
      <c r="X6" s="1539"/>
      <c r="Y6" s="3302"/>
      <c r="Z6" s="3303"/>
      <c r="AA6" s="3273"/>
      <c r="AB6" s="3273"/>
      <c r="AC6" s="3273"/>
    </row>
    <row r="7" spans="1:29" s="113" customFormat="1" ht="15.75" thickBot="1">
      <c r="A7" s="368" t="s">
        <v>2369</v>
      </c>
      <c r="B7" s="369"/>
      <c r="C7" s="370">
        <f>'数据-取费表'!B2</f>
        <v>44371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6" t="s">
        <v>2370</v>
      </c>
      <c r="Q7" s="3299"/>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4"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4"/>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4"/>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6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6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64"/>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67" t="s">
        <v>2381</v>
      </c>
      <c r="Q15" s="1536" t="str">
        <f t="shared" si="6"/>
        <v>产业集聚程度</v>
      </c>
      <c r="R15" s="714" t="s">
        <v>17</v>
      </c>
      <c r="S15" s="715">
        <f t="shared" si="0"/>
        <v>100</v>
      </c>
      <c r="T15" s="714" t="s">
        <v>17</v>
      </c>
      <c r="U15" s="715">
        <f t="shared" si="1"/>
        <v>100</v>
      </c>
      <c r="V15" s="714" t="s">
        <v>17</v>
      </c>
      <c r="W15" s="715">
        <f t="shared" si="2"/>
        <v>100</v>
      </c>
      <c r="X15" s="1539"/>
      <c r="Y15" s="326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68"/>
      <c r="Q16" s="1536"/>
      <c r="R16" s="714"/>
      <c r="S16" s="715"/>
      <c r="T16" s="714"/>
      <c r="U16" s="715"/>
      <c r="V16" s="714"/>
      <c r="W16" s="715"/>
      <c r="X16" s="1539"/>
      <c r="Y16" s="326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68"/>
      <c r="Q17" s="1536" t="str">
        <f>B17</f>
        <v>交通便捷度</v>
      </c>
      <c r="R17" s="714" t="s">
        <v>17</v>
      </c>
      <c r="S17" s="715">
        <f>F17</f>
        <v>100</v>
      </c>
      <c r="T17" s="714" t="s">
        <v>17</v>
      </c>
      <c r="U17" s="715">
        <f>H17</f>
        <v>100</v>
      </c>
      <c r="V17" s="714" t="s">
        <v>17</v>
      </c>
      <c r="W17" s="715">
        <f>J17</f>
        <v>100</v>
      </c>
      <c r="X17" s="1539"/>
      <c r="Y17" s="326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68"/>
      <c r="Q18" s="1536"/>
      <c r="R18" s="714"/>
      <c r="S18" s="715"/>
      <c r="T18" s="714"/>
      <c r="U18" s="715"/>
      <c r="V18" s="714"/>
      <c r="W18" s="715"/>
      <c r="X18" s="1539"/>
      <c r="Y18" s="326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68"/>
      <c r="Q19" s="1536" t="str">
        <f>B19</f>
        <v>公共配套设施</v>
      </c>
      <c r="R19" s="714" t="s">
        <v>17</v>
      </c>
      <c r="S19" s="715">
        <f>F19</f>
        <v>100</v>
      </c>
      <c r="T19" s="714" t="s">
        <v>17</v>
      </c>
      <c r="U19" s="715">
        <f>H19</f>
        <v>100</v>
      </c>
      <c r="V19" s="714" t="s">
        <v>17</v>
      </c>
      <c r="W19" s="715">
        <f>J19</f>
        <v>100</v>
      </c>
      <c r="X19" s="1539"/>
      <c r="Y19" s="326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68"/>
      <c r="Q20" s="1536"/>
      <c r="R20" s="714"/>
      <c r="S20" s="715"/>
      <c r="T20" s="714"/>
      <c r="U20" s="715"/>
      <c r="V20" s="714"/>
      <c r="W20" s="715"/>
      <c r="X20" s="1539"/>
      <c r="Y20" s="3268"/>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68"/>
      <c r="Q21" s="1536" t="str">
        <f>B21</f>
        <v>基础设施水平</v>
      </c>
      <c r="R21" s="714" t="s">
        <v>17</v>
      </c>
      <c r="S21" s="715">
        <f>F21</f>
        <v>100</v>
      </c>
      <c r="T21" s="714" t="s">
        <v>17</v>
      </c>
      <c r="U21" s="715">
        <f>H21</f>
        <v>100</v>
      </c>
      <c r="V21" s="714" t="s">
        <v>17</v>
      </c>
      <c r="W21" s="715">
        <f>J21</f>
        <v>100</v>
      </c>
      <c r="X21" s="1539"/>
      <c r="Y21" s="326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68"/>
      <c r="Q22" s="1536"/>
      <c r="R22" s="714"/>
      <c r="S22" s="715"/>
      <c r="T22" s="714"/>
      <c r="U22" s="715"/>
      <c r="V22" s="714"/>
      <c r="W22" s="715"/>
      <c r="X22" s="1539"/>
      <c r="Y22" s="326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68"/>
      <c r="Q23" s="1536" t="str">
        <f>B23</f>
        <v>环境质量</v>
      </c>
      <c r="R23" s="714" t="s">
        <v>17</v>
      </c>
      <c r="S23" s="715">
        <f>F23</f>
        <v>100</v>
      </c>
      <c r="T23" s="714" t="s">
        <v>17</v>
      </c>
      <c r="U23" s="715">
        <f>H23</f>
        <v>100</v>
      </c>
      <c r="V23" s="714" t="s">
        <v>17</v>
      </c>
      <c r="W23" s="715">
        <f>J23</f>
        <v>100</v>
      </c>
      <c r="X23" s="1539"/>
      <c r="Y23" s="326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68"/>
      <c r="Q24" s="1536"/>
      <c r="R24" s="714"/>
      <c r="S24" s="715"/>
      <c r="T24" s="714"/>
      <c r="U24" s="715"/>
      <c r="V24" s="714"/>
      <c r="W24" s="715"/>
      <c r="X24" s="1539"/>
      <c r="Y24" s="326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68"/>
      <c r="Q25" s="1536">
        <f>B25</f>
        <v>111</v>
      </c>
      <c r="R25" s="714" t="s">
        <v>17</v>
      </c>
      <c r="S25" s="715">
        <f>F25</f>
        <v>100</v>
      </c>
      <c r="T25" s="714" t="s">
        <v>17</v>
      </c>
      <c r="U25" s="715">
        <f>H25</f>
        <v>100</v>
      </c>
      <c r="V25" s="714" t="s">
        <v>17</v>
      </c>
      <c r="W25" s="715">
        <f>J25</f>
        <v>100</v>
      </c>
      <c r="X25" s="1539"/>
      <c r="Y25" s="326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68"/>
      <c r="Q26" s="1536">
        <f t="shared" ref="Q26:Q40" si="11">B26</f>
        <v>111</v>
      </c>
      <c r="R26" s="714" t="s">
        <v>17</v>
      </c>
      <c r="S26" s="715">
        <f>F26</f>
        <v>100</v>
      </c>
      <c r="T26" s="714" t="s">
        <v>17</v>
      </c>
      <c r="U26" s="715">
        <f>H26</f>
        <v>100</v>
      </c>
      <c r="V26" s="714" t="s">
        <v>17</v>
      </c>
      <c r="W26" s="715">
        <f>J26</f>
        <v>100</v>
      </c>
      <c r="X26" s="1539"/>
      <c r="Y26" s="326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68"/>
      <c r="Q27" s="1527">
        <f t="shared" si="11"/>
        <v>111</v>
      </c>
      <c r="R27" s="710" t="s">
        <v>17</v>
      </c>
      <c r="S27" s="711">
        <f>F27</f>
        <v>100</v>
      </c>
      <c r="T27" s="710" t="s">
        <v>17</v>
      </c>
      <c r="U27" s="711">
        <f>H27</f>
        <v>100</v>
      </c>
      <c r="V27" s="710" t="s">
        <v>17</v>
      </c>
      <c r="W27" s="711">
        <f>J27</f>
        <v>100</v>
      </c>
      <c r="X27" s="712"/>
      <c r="Y27" s="326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68"/>
      <c r="Q28" s="1536">
        <f t="shared" si="11"/>
        <v>111</v>
      </c>
      <c r="R28" s="714" t="s">
        <v>17</v>
      </c>
      <c r="S28" s="715">
        <f t="shared" ref="S28:S40" si="12">F28</f>
        <v>100</v>
      </c>
      <c r="T28" s="714" t="s">
        <v>17</v>
      </c>
      <c r="U28" s="715">
        <f t="shared" ref="U28:U40" si="13">H28</f>
        <v>100</v>
      </c>
      <c r="V28" s="714" t="s">
        <v>17</v>
      </c>
      <c r="W28" s="715">
        <f t="shared" ref="W28:W40" si="14">J28</f>
        <v>100</v>
      </c>
      <c r="X28" s="1539"/>
      <c r="Y28" s="326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69" t="s">
        <v>2386</v>
      </c>
      <c r="Q29" s="1536" t="str">
        <f t="shared" si="11"/>
        <v>建筑类型</v>
      </c>
      <c r="R29" s="714" t="s">
        <v>17</v>
      </c>
      <c r="S29" s="715">
        <f t="shared" si="12"/>
        <v>100</v>
      </c>
      <c r="T29" s="714" t="s">
        <v>17</v>
      </c>
      <c r="U29" s="715">
        <f t="shared" si="13"/>
        <v>100</v>
      </c>
      <c r="V29" s="714" t="s">
        <v>17</v>
      </c>
      <c r="W29" s="715">
        <f t="shared" si="14"/>
        <v>100</v>
      </c>
      <c r="X29" s="1539"/>
      <c r="Y29" s="327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0"/>
      <c r="Q30" s="716" t="str">
        <f t="shared" si="11"/>
        <v>项目建筑规模</v>
      </c>
      <c r="R30" s="717" t="s">
        <v>17</v>
      </c>
      <c r="S30" s="718" t="e">
        <f t="shared" si="12"/>
        <v>#N/A</v>
      </c>
      <c r="T30" s="717" t="s">
        <v>17</v>
      </c>
      <c r="U30" s="718" t="e">
        <f t="shared" si="13"/>
        <v>#N/A</v>
      </c>
      <c r="V30" s="717" t="s">
        <v>17</v>
      </c>
      <c r="W30" s="718" t="e">
        <f t="shared" si="14"/>
        <v>#N/A</v>
      </c>
      <c r="X30" s="719"/>
      <c r="Y30" s="327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0"/>
      <c r="Q31" s="1536" t="str">
        <f t="shared" si="11"/>
        <v>建筑结构</v>
      </c>
      <c r="R31" s="714" t="s">
        <v>17</v>
      </c>
      <c r="S31" s="715">
        <f t="shared" si="12"/>
        <v>100</v>
      </c>
      <c r="T31" s="714" t="s">
        <v>17</v>
      </c>
      <c r="U31" s="715">
        <f t="shared" si="13"/>
        <v>100</v>
      </c>
      <c r="V31" s="714" t="s">
        <v>17</v>
      </c>
      <c r="W31" s="715">
        <f t="shared" si="14"/>
        <v>100</v>
      </c>
      <c r="X31" s="1539"/>
      <c r="Y31" s="327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0"/>
      <c r="Q32" s="1536" t="str">
        <f t="shared" si="11"/>
        <v>公共部分装修</v>
      </c>
      <c r="R32" s="714" t="s">
        <v>17</v>
      </c>
      <c r="S32" s="715">
        <f t="shared" si="12"/>
        <v>100</v>
      </c>
      <c r="T32" s="714" t="s">
        <v>17</v>
      </c>
      <c r="U32" s="715">
        <f t="shared" si="13"/>
        <v>100</v>
      </c>
      <c r="V32" s="714" t="s">
        <v>17</v>
      </c>
      <c r="W32" s="715">
        <f t="shared" si="14"/>
        <v>100</v>
      </c>
      <c r="X32" s="1539"/>
      <c r="Y32" s="327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0"/>
      <c r="Q33" s="1536" t="str">
        <f t="shared" si="11"/>
        <v>成新度</v>
      </c>
      <c r="R33" s="714" t="s">
        <v>17</v>
      </c>
      <c r="S33" s="715" t="e">
        <f t="shared" si="12"/>
        <v>#N/A</v>
      </c>
      <c r="T33" s="714" t="s">
        <v>17</v>
      </c>
      <c r="U33" s="715" t="e">
        <f t="shared" si="13"/>
        <v>#N/A</v>
      </c>
      <c r="V33" s="714" t="s">
        <v>17</v>
      </c>
      <c r="W33" s="715" t="e">
        <f t="shared" si="14"/>
        <v>#N/A</v>
      </c>
      <c r="X33" s="1539"/>
      <c r="Y33" s="327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0"/>
      <c r="Q34" s="1527" t="str">
        <f t="shared" si="11"/>
        <v>物业管理</v>
      </c>
      <c r="R34" s="710" t="s">
        <v>17</v>
      </c>
      <c r="S34" s="711">
        <f t="shared" si="12"/>
        <v>100</v>
      </c>
      <c r="T34" s="710" t="s">
        <v>17</v>
      </c>
      <c r="U34" s="711">
        <f t="shared" si="13"/>
        <v>100</v>
      </c>
      <c r="V34" s="710" t="s">
        <v>17</v>
      </c>
      <c r="W34" s="711">
        <f t="shared" si="14"/>
        <v>100</v>
      </c>
      <c r="X34" s="712"/>
      <c r="Y34" s="327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0" t="s">
        <v>2386</v>
      </c>
      <c r="Q35" s="1536" t="str">
        <f t="shared" si="11"/>
        <v>市政基础设施</v>
      </c>
      <c r="R35" s="714" t="s">
        <v>17</v>
      </c>
      <c r="S35" s="715">
        <f t="shared" si="12"/>
        <v>100</v>
      </c>
      <c r="T35" s="714" t="s">
        <v>17</v>
      </c>
      <c r="U35" s="715">
        <f t="shared" si="13"/>
        <v>100</v>
      </c>
      <c r="V35" s="714" t="s">
        <v>17</v>
      </c>
      <c r="W35" s="715">
        <f t="shared" si="14"/>
        <v>100</v>
      </c>
      <c r="X35" s="1539"/>
      <c r="Y35" s="327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0"/>
      <c r="Q36" s="1536" t="str">
        <f t="shared" si="11"/>
        <v>内部装修</v>
      </c>
      <c r="R36" s="714" t="s">
        <v>17</v>
      </c>
      <c r="S36" s="715">
        <f t="shared" si="12"/>
        <v>100</v>
      </c>
      <c r="T36" s="714" t="s">
        <v>17</v>
      </c>
      <c r="U36" s="715">
        <f t="shared" si="13"/>
        <v>100</v>
      </c>
      <c r="V36" s="714" t="s">
        <v>17</v>
      </c>
      <c r="W36" s="715">
        <f t="shared" si="14"/>
        <v>100</v>
      </c>
      <c r="X36" s="1539"/>
      <c r="Y36" s="327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0"/>
      <c r="Q37" s="1536" t="str">
        <f t="shared" si="11"/>
        <v>内部装修状况</v>
      </c>
      <c r="R37" s="714" t="s">
        <v>17</v>
      </c>
      <c r="S37" s="715">
        <f t="shared" si="12"/>
        <v>100</v>
      </c>
      <c r="T37" s="714" t="s">
        <v>17</v>
      </c>
      <c r="U37" s="715">
        <f t="shared" si="13"/>
        <v>100</v>
      </c>
      <c r="V37" s="714" t="s">
        <v>17</v>
      </c>
      <c r="W37" s="715">
        <f t="shared" si="14"/>
        <v>100</v>
      </c>
      <c r="X37" s="1539"/>
      <c r="Y37" s="327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0"/>
      <c r="Q38" s="716">
        <f t="shared" si="11"/>
        <v>111</v>
      </c>
      <c r="R38" s="717" t="s">
        <v>17</v>
      </c>
      <c r="S38" s="718">
        <f t="shared" si="12"/>
        <v>100</v>
      </c>
      <c r="T38" s="717" t="s">
        <v>17</v>
      </c>
      <c r="U38" s="718">
        <f t="shared" si="13"/>
        <v>100</v>
      </c>
      <c r="V38" s="717" t="s">
        <v>17</v>
      </c>
      <c r="W38" s="718">
        <f t="shared" si="14"/>
        <v>100</v>
      </c>
      <c r="X38" s="719"/>
      <c r="Y38" s="327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0"/>
      <c r="Q39" s="1536">
        <f t="shared" si="11"/>
        <v>111</v>
      </c>
      <c r="R39" s="714" t="s">
        <v>17</v>
      </c>
      <c r="S39" s="715">
        <f t="shared" si="12"/>
        <v>100</v>
      </c>
      <c r="T39" s="714" t="s">
        <v>17</v>
      </c>
      <c r="U39" s="715">
        <f t="shared" si="13"/>
        <v>100</v>
      </c>
      <c r="V39" s="714" t="s">
        <v>17</v>
      </c>
      <c r="W39" s="715">
        <f t="shared" si="14"/>
        <v>100</v>
      </c>
      <c r="X39" s="1539"/>
      <c r="Y39" s="327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1"/>
      <c r="Q40" s="1536">
        <f t="shared" si="11"/>
        <v>111</v>
      </c>
      <c r="R40" s="714" t="s">
        <v>17</v>
      </c>
      <c r="S40" s="715">
        <f t="shared" si="12"/>
        <v>100</v>
      </c>
      <c r="T40" s="714" t="s">
        <v>17</v>
      </c>
      <c r="U40" s="715">
        <f t="shared" si="13"/>
        <v>100</v>
      </c>
      <c r="V40" s="714" t="s">
        <v>17</v>
      </c>
      <c r="W40" s="715">
        <f t="shared" si="14"/>
        <v>100</v>
      </c>
      <c r="X40" s="1539"/>
      <c r="Y40" s="334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64" t="str">
        <f>A41</f>
        <v>成交单价（元/平方米）</v>
      </c>
      <c r="Q41" s="3264"/>
      <c r="R41" s="3337">
        <f>E41</f>
        <v>0</v>
      </c>
      <c r="S41" s="3337"/>
      <c r="T41" s="3337">
        <f>G41</f>
        <v>0</v>
      </c>
      <c r="U41" s="3337"/>
      <c r="V41" s="3337">
        <f>I41</f>
        <v>0</v>
      </c>
      <c r="W41" s="3337"/>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64" t="str">
        <f>A42</f>
        <v>比较价值（元/平方米）</v>
      </c>
      <c r="Q42" s="3264"/>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61" t="str">
        <f>A43</f>
        <v>估价对象XX用房的比较价值（楼面单价，元/平方米）</v>
      </c>
      <c r="Q43" s="3262"/>
      <c r="R43" s="3336" t="e">
        <f>IF(F1="售价",ROUND(IF(D42="简单平均",AVERAGE(R42:V42),R42*F42+T42*H42+V42*J42),0),ROUND(IF(D42="简单平均",AVERAGE(R42:V42),R42*F42+T42*H42+V42*J42),1))</f>
        <v>#DIV/0!</v>
      </c>
      <c r="S43" s="3336"/>
      <c r="T43" s="3336"/>
      <c r="U43" s="3336"/>
      <c r="V43" s="3336"/>
      <c r="W43" s="333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74" t="s">
        <v>2467</v>
      </c>
      <c r="D4" s="3275"/>
      <c r="E4" s="3276" t="s">
        <v>2468</v>
      </c>
      <c r="F4" s="3277"/>
      <c r="G4" s="3274" t="s">
        <v>2469</v>
      </c>
      <c r="H4" s="3275"/>
      <c r="I4" s="3274" t="s">
        <v>2470</v>
      </c>
      <c r="J4" s="3275"/>
      <c r="K4" s="567" t="s">
        <v>2471</v>
      </c>
      <c r="L4" s="2944"/>
      <c r="M4" s="2945"/>
      <c r="N4" s="2945"/>
      <c r="O4" s="2945"/>
      <c r="P4" s="3278" t="s">
        <v>2472</v>
      </c>
      <c r="Q4" s="3279"/>
      <c r="R4" s="3291" t="s">
        <v>2468</v>
      </c>
      <c r="S4" s="3292"/>
      <c r="T4" s="3291" t="s">
        <v>2469</v>
      </c>
      <c r="U4" s="3292"/>
      <c r="V4" s="3266" t="s">
        <v>2470</v>
      </c>
      <c r="W4" s="3266"/>
      <c r="X4" s="1539"/>
      <c r="Y4" s="3291" t="s">
        <v>2472</v>
      </c>
      <c r="Z4" s="3292"/>
      <c r="AA4" s="3271" t="s">
        <v>2468</v>
      </c>
      <c r="AB4" s="3272" t="s">
        <v>2469</v>
      </c>
      <c r="AC4" s="3271" t="s">
        <v>2470</v>
      </c>
    </row>
    <row r="5" spans="1:29" ht="15">
      <c r="A5" s="364"/>
      <c r="B5" s="365"/>
      <c r="C5" s="3295" t="s">
        <v>2363</v>
      </c>
      <c r="D5" s="3296"/>
      <c r="E5" s="3284" t="s">
        <v>2364</v>
      </c>
      <c r="F5" s="3285"/>
      <c r="G5" s="3295" t="s">
        <v>2365</v>
      </c>
      <c r="H5" s="3296"/>
      <c r="I5" s="3295" t="s">
        <v>2366</v>
      </c>
      <c r="J5" s="3296"/>
      <c r="K5" s="567"/>
      <c r="L5" s="2944"/>
      <c r="M5" s="2945"/>
      <c r="N5" s="2945"/>
      <c r="O5" s="2945"/>
      <c r="P5" s="3280"/>
      <c r="Q5" s="3281"/>
      <c r="R5" s="3293"/>
      <c r="S5" s="3294"/>
      <c r="T5" s="3293"/>
      <c r="U5" s="3294"/>
      <c r="V5" s="3266"/>
      <c r="W5" s="3266"/>
      <c r="X5" s="1539"/>
      <c r="Y5" s="3293"/>
      <c r="Z5" s="3294"/>
      <c r="AA5" s="3272"/>
      <c r="AB5" s="3272"/>
      <c r="AC5" s="3272"/>
    </row>
    <row r="6" spans="1:29" ht="15.75" thickBot="1">
      <c r="A6" s="366"/>
      <c r="B6" s="367"/>
      <c r="C6" s="3332" t="s">
        <v>2367</v>
      </c>
      <c r="D6" s="3333"/>
      <c r="E6" s="3334" t="s">
        <v>2367</v>
      </c>
      <c r="F6" s="3335"/>
      <c r="G6" s="3332" t="s">
        <v>2367</v>
      </c>
      <c r="H6" s="3333"/>
      <c r="I6" s="3332" t="s">
        <v>2367</v>
      </c>
      <c r="J6" s="3333"/>
      <c r="K6" s="567" t="s">
        <v>2368</v>
      </c>
      <c r="L6" s="2944"/>
      <c r="M6" s="2945"/>
      <c r="N6" s="2945"/>
      <c r="O6" s="2945"/>
      <c r="P6" s="3282"/>
      <c r="Q6" s="3283"/>
      <c r="R6" s="3293"/>
      <c r="S6" s="3294"/>
      <c r="T6" s="3302"/>
      <c r="U6" s="3303"/>
      <c r="V6" s="3266"/>
      <c r="W6" s="3266"/>
      <c r="X6" s="1539"/>
      <c r="Y6" s="3302"/>
      <c r="Z6" s="3303"/>
      <c r="AA6" s="3273"/>
      <c r="AB6" s="3273"/>
      <c r="AC6" s="3273"/>
    </row>
    <row r="7" spans="1:29" s="113" customFormat="1" ht="15.75" thickBot="1">
      <c r="A7" s="368" t="s">
        <v>2369</v>
      </c>
      <c r="B7" s="369"/>
      <c r="C7" s="370">
        <f>'数据-取费表'!B2</f>
        <v>44371</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6" t="s">
        <v>2370</v>
      </c>
      <c r="Q7" s="3299"/>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64" t="s">
        <v>2376</v>
      </c>
      <c r="Q9" s="1527" t="str">
        <f t="shared" ref="Q9:Q14" si="6">B9</f>
        <v>用途</v>
      </c>
      <c r="R9" s="710" t="s">
        <v>17</v>
      </c>
      <c r="S9" s="711">
        <f t="shared" si="0"/>
        <v>100</v>
      </c>
      <c r="T9" s="710" t="s">
        <v>17</v>
      </c>
      <c r="U9" s="711">
        <f t="shared" si="1"/>
        <v>100</v>
      </c>
      <c r="V9" s="710" t="s">
        <v>17</v>
      </c>
      <c r="W9" s="711">
        <f t="shared" si="2"/>
        <v>100</v>
      </c>
      <c r="X9" s="712"/>
      <c r="Y9" s="323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64"/>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64"/>
      <c r="Q11" s="1527">
        <f t="shared" si="6"/>
        <v>111</v>
      </c>
      <c r="R11" s="710" t="s">
        <v>17</v>
      </c>
      <c r="S11" s="711">
        <f t="shared" si="0"/>
        <v>100</v>
      </c>
      <c r="T11" s="710" t="s">
        <v>17</v>
      </c>
      <c r="U11" s="711">
        <f t="shared" si="1"/>
        <v>100</v>
      </c>
      <c r="V11" s="710" t="s">
        <v>17</v>
      </c>
      <c r="W11" s="711">
        <f t="shared" si="2"/>
        <v>100</v>
      </c>
      <c r="X11" s="712"/>
      <c r="Y11" s="32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6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6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67" t="s">
        <v>2381</v>
      </c>
      <c r="Q14" s="1536" t="str">
        <f t="shared" si="6"/>
        <v>交通便捷度</v>
      </c>
      <c r="R14" s="714" t="s">
        <v>17</v>
      </c>
      <c r="S14" s="715">
        <f t="shared" si="0"/>
        <v>100</v>
      </c>
      <c r="T14" s="714" t="s">
        <v>17</v>
      </c>
      <c r="U14" s="715">
        <f t="shared" si="1"/>
        <v>100</v>
      </c>
      <c r="V14" s="714" t="s">
        <v>17</v>
      </c>
      <c r="W14" s="715">
        <f t="shared" si="2"/>
        <v>100</v>
      </c>
      <c r="X14" s="1539"/>
      <c r="Y14" s="326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68"/>
      <c r="Q15" s="1536"/>
      <c r="R15" s="714"/>
      <c r="S15" s="715"/>
      <c r="T15" s="714"/>
      <c r="U15" s="715"/>
      <c r="V15" s="714"/>
      <c r="W15" s="715"/>
      <c r="X15" s="1539"/>
      <c r="Y15" s="326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68"/>
      <c r="Q16" s="1536" t="str">
        <f>B16</f>
        <v>公共配套设施</v>
      </c>
      <c r="R16" s="714" t="s">
        <v>17</v>
      </c>
      <c r="S16" s="715">
        <f>F16</f>
        <v>100</v>
      </c>
      <c r="T16" s="714" t="s">
        <v>17</v>
      </c>
      <c r="U16" s="715">
        <f>H16</f>
        <v>100</v>
      </c>
      <c r="V16" s="714" t="s">
        <v>17</v>
      </c>
      <c r="W16" s="715">
        <f>J16</f>
        <v>100</v>
      </c>
      <c r="X16" s="1539"/>
      <c r="Y16" s="326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68"/>
      <c r="Q17" s="1536"/>
      <c r="R17" s="714"/>
      <c r="S17" s="715"/>
      <c r="T17" s="714"/>
      <c r="U17" s="715"/>
      <c r="V17" s="714"/>
      <c r="W17" s="715"/>
      <c r="X17" s="1539"/>
      <c r="Y17" s="326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68"/>
      <c r="Q18" s="1536" t="str">
        <f>B18</f>
        <v>基础设施水平</v>
      </c>
      <c r="R18" s="714" t="s">
        <v>17</v>
      </c>
      <c r="S18" s="715">
        <f>F18</f>
        <v>100</v>
      </c>
      <c r="T18" s="714" t="s">
        <v>17</v>
      </c>
      <c r="U18" s="715">
        <f>H18</f>
        <v>100</v>
      </c>
      <c r="V18" s="714" t="s">
        <v>17</v>
      </c>
      <c r="W18" s="715">
        <f>J18</f>
        <v>100</v>
      </c>
      <c r="X18" s="1539"/>
      <c r="Y18" s="326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68"/>
      <c r="Q19" s="1536"/>
      <c r="R19" s="714"/>
      <c r="S19" s="715"/>
      <c r="T19" s="714"/>
      <c r="U19" s="715"/>
      <c r="V19" s="714"/>
      <c r="W19" s="715"/>
      <c r="X19" s="1539"/>
      <c r="Y19" s="326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68"/>
      <c r="Q20" s="1536" t="str">
        <f>B20</f>
        <v>自然及人文环境</v>
      </c>
      <c r="R20" s="714" t="s">
        <v>17</v>
      </c>
      <c r="S20" s="715">
        <f>F20</f>
        <v>100</v>
      </c>
      <c r="T20" s="714" t="s">
        <v>17</v>
      </c>
      <c r="U20" s="715">
        <f>H20</f>
        <v>100</v>
      </c>
      <c r="V20" s="714" t="s">
        <v>17</v>
      </c>
      <c r="W20" s="715">
        <f>J20</f>
        <v>100</v>
      </c>
      <c r="X20" s="1539"/>
      <c r="Y20" s="326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68"/>
      <c r="Q21" s="1536"/>
      <c r="R21" s="714"/>
      <c r="S21" s="715"/>
      <c r="T21" s="714"/>
      <c r="U21" s="715"/>
      <c r="V21" s="714"/>
      <c r="W21" s="715"/>
      <c r="X21" s="1539"/>
      <c r="Y21" s="326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68"/>
      <c r="Q22" s="1536" t="str">
        <f>B22</f>
        <v>楼层</v>
      </c>
      <c r="R22" s="714" t="s">
        <v>17</v>
      </c>
      <c r="S22" s="715">
        <f>F22</f>
        <v>100</v>
      </c>
      <c r="T22" s="714" t="s">
        <v>17</v>
      </c>
      <c r="U22" s="715">
        <f>H22</f>
        <v>100</v>
      </c>
      <c r="V22" s="714" t="s">
        <v>17</v>
      </c>
      <c r="W22" s="715">
        <f>J22</f>
        <v>100</v>
      </c>
      <c r="X22" s="1539"/>
      <c r="Y22" s="326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68"/>
      <c r="Q23" s="1536">
        <f>B23</f>
        <v>111</v>
      </c>
      <c r="R23" s="714" t="s">
        <v>17</v>
      </c>
      <c r="S23" s="715">
        <f>F23</f>
        <v>100</v>
      </c>
      <c r="T23" s="714" t="s">
        <v>17</v>
      </c>
      <c r="U23" s="715">
        <f>H23</f>
        <v>100</v>
      </c>
      <c r="V23" s="714" t="s">
        <v>17</v>
      </c>
      <c r="W23" s="715">
        <f>J23</f>
        <v>100</v>
      </c>
      <c r="X23" s="1539"/>
      <c r="Y23" s="326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68"/>
      <c r="Q24" s="1536">
        <f t="shared" ref="Q24:Q36" si="11">B24</f>
        <v>111</v>
      </c>
      <c r="R24" s="714" t="s">
        <v>17</v>
      </c>
      <c r="S24" s="715">
        <f>F24</f>
        <v>100</v>
      </c>
      <c r="T24" s="714" t="s">
        <v>17</v>
      </c>
      <c r="U24" s="715">
        <f>H24</f>
        <v>100</v>
      </c>
      <c r="V24" s="714" t="s">
        <v>17</v>
      </c>
      <c r="W24" s="715">
        <f>J24</f>
        <v>100</v>
      </c>
      <c r="X24" s="1539"/>
      <c r="Y24" s="326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68"/>
      <c r="Q25" s="1527">
        <f t="shared" si="11"/>
        <v>111</v>
      </c>
      <c r="R25" s="710" t="s">
        <v>17</v>
      </c>
      <c r="S25" s="711">
        <f>F25</f>
        <v>100</v>
      </c>
      <c r="T25" s="710" t="s">
        <v>17</v>
      </c>
      <c r="U25" s="711">
        <f>H25</f>
        <v>100</v>
      </c>
      <c r="V25" s="710" t="s">
        <v>17</v>
      </c>
      <c r="W25" s="711">
        <f>J25</f>
        <v>100</v>
      </c>
      <c r="X25" s="712"/>
      <c r="Y25" s="326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69"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7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70"/>
      <c r="Q27" s="716" t="str">
        <f t="shared" si="11"/>
        <v>项目停车位配比</v>
      </c>
      <c r="R27" s="717" t="s">
        <v>17</v>
      </c>
      <c r="S27" s="718">
        <f t="shared" si="12"/>
        <v>100</v>
      </c>
      <c r="T27" s="717" t="s">
        <v>17</v>
      </c>
      <c r="U27" s="718">
        <f t="shared" si="13"/>
        <v>100</v>
      </c>
      <c r="V27" s="717" t="s">
        <v>17</v>
      </c>
      <c r="W27" s="718">
        <f t="shared" si="14"/>
        <v>100</v>
      </c>
      <c r="X27" s="719"/>
      <c r="Y27" s="327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70"/>
      <c r="Q28" s="1536" t="str">
        <f t="shared" si="11"/>
        <v>公共部分装修</v>
      </c>
      <c r="R28" s="714" t="s">
        <v>17</v>
      </c>
      <c r="S28" s="715">
        <f t="shared" si="12"/>
        <v>100</v>
      </c>
      <c r="T28" s="714" t="s">
        <v>17</v>
      </c>
      <c r="U28" s="715">
        <f t="shared" si="13"/>
        <v>100</v>
      </c>
      <c r="V28" s="714" t="s">
        <v>17</v>
      </c>
      <c r="W28" s="715">
        <f t="shared" si="14"/>
        <v>100</v>
      </c>
      <c r="X28" s="1539"/>
      <c r="Y28" s="327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70"/>
      <c r="Q29" s="1536" t="str">
        <f t="shared" si="11"/>
        <v>成新率</v>
      </c>
      <c r="R29" s="714" t="s">
        <v>17</v>
      </c>
      <c r="S29" s="715" t="e">
        <f t="shared" si="12"/>
        <v>#N/A</v>
      </c>
      <c r="T29" s="714" t="s">
        <v>17</v>
      </c>
      <c r="U29" s="715" t="e">
        <f t="shared" si="13"/>
        <v>#N/A</v>
      </c>
      <c r="V29" s="714" t="s">
        <v>17</v>
      </c>
      <c r="W29" s="715" t="e">
        <f t="shared" si="14"/>
        <v>#N/A</v>
      </c>
      <c r="X29" s="1539"/>
      <c r="Y29" s="327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70"/>
      <c r="Q30" s="1536" t="str">
        <f t="shared" si="11"/>
        <v>物业等级</v>
      </c>
      <c r="R30" s="714" t="s">
        <v>17</v>
      </c>
      <c r="S30" s="715">
        <f t="shared" si="12"/>
        <v>100</v>
      </c>
      <c r="T30" s="714" t="s">
        <v>17</v>
      </c>
      <c r="U30" s="715">
        <f t="shared" si="13"/>
        <v>100</v>
      </c>
      <c r="V30" s="714" t="s">
        <v>17</v>
      </c>
      <c r="W30" s="715">
        <f t="shared" si="14"/>
        <v>100</v>
      </c>
      <c r="X30" s="1539"/>
      <c r="Y30" s="327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70"/>
      <c r="Q31" s="1527" t="str">
        <f t="shared" si="11"/>
        <v>停车位面积</v>
      </c>
      <c r="R31" s="710" t="s">
        <v>17</v>
      </c>
      <c r="S31" s="711" t="e">
        <f t="shared" si="12"/>
        <v>#N/A</v>
      </c>
      <c r="T31" s="710" t="s">
        <v>17</v>
      </c>
      <c r="U31" s="711" t="e">
        <f t="shared" si="13"/>
        <v>#N/A</v>
      </c>
      <c r="V31" s="710" t="s">
        <v>17</v>
      </c>
      <c r="W31" s="711" t="e">
        <f t="shared" si="14"/>
        <v>#N/A</v>
      </c>
      <c r="X31" s="712"/>
      <c r="Y31" s="327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70" t="s">
        <v>2386</v>
      </c>
      <c r="Q32" s="1536" t="str">
        <f t="shared" si="11"/>
        <v>车位类型</v>
      </c>
      <c r="R32" s="714" t="s">
        <v>17</v>
      </c>
      <c r="S32" s="715">
        <f t="shared" si="12"/>
        <v>100</v>
      </c>
      <c r="T32" s="714" t="s">
        <v>17</v>
      </c>
      <c r="U32" s="715">
        <f t="shared" si="13"/>
        <v>100</v>
      </c>
      <c r="V32" s="714" t="s">
        <v>17</v>
      </c>
      <c r="W32" s="715">
        <f t="shared" si="14"/>
        <v>100</v>
      </c>
      <c r="X32" s="1539"/>
      <c r="Y32" s="327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70"/>
      <c r="Q33" s="1536" t="str">
        <f t="shared" si="11"/>
        <v>是否直接入户</v>
      </c>
      <c r="R33" s="714" t="s">
        <v>17</v>
      </c>
      <c r="S33" s="715">
        <f t="shared" si="12"/>
        <v>100</v>
      </c>
      <c r="T33" s="714" t="s">
        <v>17</v>
      </c>
      <c r="U33" s="715">
        <f t="shared" si="13"/>
        <v>100</v>
      </c>
      <c r="V33" s="714" t="s">
        <v>17</v>
      </c>
      <c r="W33" s="715">
        <f t="shared" si="14"/>
        <v>100</v>
      </c>
      <c r="X33" s="1539"/>
      <c r="Y33" s="327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70"/>
      <c r="Q34" s="1536">
        <f t="shared" si="11"/>
        <v>111</v>
      </c>
      <c r="R34" s="714" t="s">
        <v>17</v>
      </c>
      <c r="S34" s="715">
        <f t="shared" si="12"/>
        <v>100</v>
      </c>
      <c r="T34" s="714" t="s">
        <v>17</v>
      </c>
      <c r="U34" s="715">
        <f t="shared" si="13"/>
        <v>100</v>
      </c>
      <c r="V34" s="714" t="s">
        <v>17</v>
      </c>
      <c r="W34" s="715">
        <f t="shared" si="14"/>
        <v>100</v>
      </c>
      <c r="X34" s="1539"/>
      <c r="Y34" s="327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70"/>
      <c r="Q35" s="716">
        <f t="shared" si="11"/>
        <v>111</v>
      </c>
      <c r="R35" s="717" t="s">
        <v>17</v>
      </c>
      <c r="S35" s="718">
        <f t="shared" si="12"/>
        <v>100</v>
      </c>
      <c r="T35" s="717" t="s">
        <v>17</v>
      </c>
      <c r="U35" s="718">
        <f t="shared" si="13"/>
        <v>100</v>
      </c>
      <c r="V35" s="717" t="s">
        <v>17</v>
      </c>
      <c r="W35" s="718">
        <f t="shared" si="14"/>
        <v>100</v>
      </c>
      <c r="X35" s="719"/>
      <c r="Y35" s="327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70"/>
      <c r="Q36" s="1536">
        <f t="shared" si="11"/>
        <v>111</v>
      </c>
      <c r="R36" s="714" t="s">
        <v>17</v>
      </c>
      <c r="S36" s="715">
        <f t="shared" si="12"/>
        <v>100</v>
      </c>
      <c r="T36" s="714" t="s">
        <v>17</v>
      </c>
      <c r="U36" s="715">
        <f t="shared" si="13"/>
        <v>100</v>
      </c>
      <c r="V36" s="714" t="s">
        <v>17</v>
      </c>
      <c r="W36" s="715">
        <f t="shared" si="14"/>
        <v>100</v>
      </c>
      <c r="X36" s="1539"/>
      <c r="Y36" s="327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64" t="str">
        <f>A37</f>
        <v>成交单价</v>
      </c>
      <c r="Q37" s="3264"/>
      <c r="R37" s="3337">
        <f>E37</f>
        <v>0</v>
      </c>
      <c r="S37" s="3337"/>
      <c r="T37" s="3337">
        <f>G37</f>
        <v>0</v>
      </c>
      <c r="U37" s="3337"/>
      <c r="V37" s="3337">
        <f>I37</f>
        <v>0</v>
      </c>
      <c r="W37" s="3337"/>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64" t="str">
        <f>A38</f>
        <v>比较价值（元/平方米）</v>
      </c>
      <c r="Q38" s="3264"/>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61" t="str">
        <f>A39</f>
        <v>估价对象XX用房的比较价值（楼面单价，元/平方米）</v>
      </c>
      <c r="Q39" s="3262"/>
      <c r="R39" s="3359" t="e">
        <f>IF(F1="售价",ROUND(IF(D38="简单平均",AVERAGE(R38:W38),R38*F38+T38*H38+V38*J38),0),ROUND(IF(D38="简单平均",AVERAGE(R38:V38),R38*F38+T38*H38+V38*J38),1))</f>
        <v>#DIV/0!</v>
      </c>
      <c r="S39" s="3359"/>
      <c r="T39" s="3359"/>
      <c r="U39" s="3359"/>
      <c r="V39" s="3359"/>
      <c r="W39" s="335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4" t="s">
        <v>2467</v>
      </c>
      <c r="D4" s="3275"/>
      <c r="E4" s="3276" t="s">
        <v>2468</v>
      </c>
      <c r="F4" s="3277"/>
      <c r="G4" s="3274" t="s">
        <v>2469</v>
      </c>
      <c r="H4" s="3275"/>
      <c r="I4" s="3274" t="s">
        <v>2470</v>
      </c>
      <c r="J4" s="3275"/>
      <c r="K4" s="567" t="s">
        <v>2471</v>
      </c>
      <c r="L4" s="2944"/>
      <c r="M4" s="2945"/>
      <c r="N4" s="2945"/>
      <c r="O4" s="2945"/>
      <c r="P4" s="3278" t="s">
        <v>2472</v>
      </c>
      <c r="Q4" s="3279"/>
      <c r="R4" s="3291" t="s">
        <v>2468</v>
      </c>
      <c r="S4" s="3292"/>
      <c r="T4" s="3291" t="s">
        <v>2469</v>
      </c>
      <c r="U4" s="3292"/>
      <c r="V4" s="3266" t="s">
        <v>2470</v>
      </c>
      <c r="W4" s="3266"/>
      <c r="X4" s="1539"/>
      <c r="Y4" s="3291" t="s">
        <v>2472</v>
      </c>
      <c r="Z4" s="3292"/>
      <c r="AA4" s="3271" t="s">
        <v>2468</v>
      </c>
      <c r="AB4" s="3272" t="s">
        <v>2469</v>
      </c>
      <c r="AC4" s="3271" t="s">
        <v>2470</v>
      </c>
    </row>
    <row r="5" spans="1:29" ht="15">
      <c r="A5" s="364"/>
      <c r="B5" s="365"/>
      <c r="C5" s="3295" t="s">
        <v>2363</v>
      </c>
      <c r="D5" s="3296"/>
      <c r="E5" s="3284" t="s">
        <v>2364</v>
      </c>
      <c r="F5" s="3285"/>
      <c r="G5" s="3295" t="s">
        <v>2365</v>
      </c>
      <c r="H5" s="3296"/>
      <c r="I5" s="3295" t="s">
        <v>2366</v>
      </c>
      <c r="J5" s="3296"/>
      <c r="K5" s="567"/>
      <c r="L5" s="2944"/>
      <c r="M5" s="2945"/>
      <c r="N5" s="2945"/>
      <c r="O5" s="2945"/>
      <c r="P5" s="3280"/>
      <c r="Q5" s="3281"/>
      <c r="R5" s="3293"/>
      <c r="S5" s="3294"/>
      <c r="T5" s="3293"/>
      <c r="U5" s="3294"/>
      <c r="V5" s="3266"/>
      <c r="W5" s="3266"/>
      <c r="X5" s="1539"/>
      <c r="Y5" s="3293"/>
      <c r="Z5" s="3294"/>
      <c r="AA5" s="3272"/>
      <c r="AB5" s="3272"/>
      <c r="AC5" s="3272"/>
    </row>
    <row r="6" spans="1:29" ht="15.75" thickBot="1">
      <c r="A6" s="366"/>
      <c r="B6" s="367"/>
      <c r="C6" s="3332" t="s">
        <v>2367</v>
      </c>
      <c r="D6" s="3333"/>
      <c r="E6" s="3334" t="s">
        <v>2367</v>
      </c>
      <c r="F6" s="3335"/>
      <c r="G6" s="3332" t="s">
        <v>2367</v>
      </c>
      <c r="H6" s="3333"/>
      <c r="I6" s="3332" t="s">
        <v>2367</v>
      </c>
      <c r="J6" s="3333"/>
      <c r="K6" s="567" t="s">
        <v>2368</v>
      </c>
      <c r="L6" s="2944"/>
      <c r="M6" s="2945"/>
      <c r="N6" s="2945"/>
      <c r="O6" s="2945"/>
      <c r="P6" s="3282"/>
      <c r="Q6" s="3283"/>
      <c r="R6" s="3293"/>
      <c r="S6" s="3294"/>
      <c r="T6" s="3302"/>
      <c r="U6" s="3303"/>
      <c r="V6" s="3266"/>
      <c r="W6" s="3266"/>
      <c r="X6" s="1539"/>
      <c r="Y6" s="3302"/>
      <c r="Z6" s="3303"/>
      <c r="AA6" s="3273"/>
      <c r="AB6" s="3273"/>
      <c r="AC6" s="3273"/>
    </row>
    <row r="7" spans="1:29" s="113" customFormat="1" ht="15.75" thickBot="1">
      <c r="A7" s="368" t="s">
        <v>2369</v>
      </c>
      <c r="B7" s="369"/>
      <c r="C7" s="370">
        <f>'数据-取费表'!B2</f>
        <v>44371</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6" t="s">
        <v>2370</v>
      </c>
      <c r="Q7" s="3299"/>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64" t="s">
        <v>2376</v>
      </c>
      <c r="Q9" s="1527" t="str">
        <f t="shared" ref="Q9:Q14" si="6">B9</f>
        <v>用途</v>
      </c>
      <c r="R9" s="710" t="s">
        <v>17</v>
      </c>
      <c r="S9" s="711">
        <f t="shared" si="0"/>
        <v>100</v>
      </c>
      <c r="T9" s="710" t="s">
        <v>17</v>
      </c>
      <c r="U9" s="711">
        <f t="shared" si="1"/>
        <v>100</v>
      </c>
      <c r="V9" s="710" t="s">
        <v>17</v>
      </c>
      <c r="W9" s="711">
        <f t="shared" si="2"/>
        <v>100</v>
      </c>
      <c r="X9" s="712"/>
      <c r="Y9" s="323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64"/>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64"/>
      <c r="Q11" s="1527">
        <f t="shared" si="6"/>
        <v>111</v>
      </c>
      <c r="R11" s="710" t="s">
        <v>17</v>
      </c>
      <c r="S11" s="711">
        <f t="shared" si="0"/>
        <v>100</v>
      </c>
      <c r="T11" s="710" t="s">
        <v>17</v>
      </c>
      <c r="U11" s="711">
        <f t="shared" si="1"/>
        <v>100</v>
      </c>
      <c r="V11" s="710" t="s">
        <v>17</v>
      </c>
      <c r="W11" s="711">
        <f t="shared" si="2"/>
        <v>100</v>
      </c>
      <c r="X11" s="712"/>
      <c r="Y11" s="323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6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6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67" t="s">
        <v>2381</v>
      </c>
      <c r="Q14" s="1536" t="str">
        <f t="shared" si="6"/>
        <v>交通便捷度</v>
      </c>
      <c r="R14" s="714" t="s">
        <v>17</v>
      </c>
      <c r="S14" s="715">
        <f t="shared" si="0"/>
        <v>100</v>
      </c>
      <c r="T14" s="714" t="s">
        <v>17</v>
      </c>
      <c r="U14" s="715">
        <f t="shared" si="1"/>
        <v>100</v>
      </c>
      <c r="V14" s="714" t="s">
        <v>17</v>
      </c>
      <c r="W14" s="715">
        <f t="shared" si="2"/>
        <v>100</v>
      </c>
      <c r="X14" s="1539"/>
      <c r="Y14" s="326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68"/>
      <c r="Q15" s="1536"/>
      <c r="R15" s="714"/>
      <c r="S15" s="715"/>
      <c r="T15" s="714"/>
      <c r="U15" s="715"/>
      <c r="V15" s="714"/>
      <c r="W15" s="715"/>
      <c r="X15" s="1539"/>
      <c r="Y15" s="326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68"/>
      <c r="Q16" s="1536" t="str">
        <f>B16</f>
        <v>公共配套设施</v>
      </c>
      <c r="R16" s="714" t="s">
        <v>17</v>
      </c>
      <c r="S16" s="715">
        <f>F16</f>
        <v>100</v>
      </c>
      <c r="T16" s="714" t="s">
        <v>17</v>
      </c>
      <c r="U16" s="715">
        <f>H16</f>
        <v>100</v>
      </c>
      <c r="V16" s="714" t="s">
        <v>17</v>
      </c>
      <c r="W16" s="715">
        <f>J16</f>
        <v>100</v>
      </c>
      <c r="X16" s="1539"/>
      <c r="Y16" s="326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68"/>
      <c r="Q17" s="1536"/>
      <c r="R17" s="714"/>
      <c r="S17" s="715"/>
      <c r="T17" s="714"/>
      <c r="U17" s="715"/>
      <c r="V17" s="714"/>
      <c r="W17" s="715"/>
      <c r="X17" s="1539"/>
      <c r="Y17" s="3268"/>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68"/>
      <c r="Q18" s="1536" t="str">
        <f>B18</f>
        <v>基础设施水平</v>
      </c>
      <c r="R18" s="714" t="s">
        <v>17</v>
      </c>
      <c r="S18" s="715">
        <f>F18</f>
        <v>100</v>
      </c>
      <c r="T18" s="714" t="s">
        <v>17</v>
      </c>
      <c r="U18" s="715">
        <f>H18</f>
        <v>100</v>
      </c>
      <c r="V18" s="714" t="s">
        <v>17</v>
      </c>
      <c r="W18" s="715">
        <f>J18</f>
        <v>100</v>
      </c>
      <c r="X18" s="1539"/>
      <c r="Y18" s="326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68"/>
      <c r="Q19" s="1536"/>
      <c r="R19" s="714"/>
      <c r="S19" s="715"/>
      <c r="T19" s="714"/>
      <c r="U19" s="715"/>
      <c r="V19" s="714"/>
      <c r="W19" s="715"/>
      <c r="X19" s="1539"/>
      <c r="Y19" s="326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68"/>
      <c r="Q20" s="1536" t="str">
        <f>B20</f>
        <v>自然及人文环境</v>
      </c>
      <c r="R20" s="714" t="s">
        <v>17</v>
      </c>
      <c r="S20" s="715">
        <f>F20</f>
        <v>100</v>
      </c>
      <c r="T20" s="714" t="s">
        <v>17</v>
      </c>
      <c r="U20" s="715">
        <f>H20</f>
        <v>100</v>
      </c>
      <c r="V20" s="714" t="s">
        <v>17</v>
      </c>
      <c r="W20" s="715">
        <f>J20</f>
        <v>100</v>
      </c>
      <c r="X20" s="1539"/>
      <c r="Y20" s="326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68"/>
      <c r="Q21" s="1536"/>
      <c r="R21" s="714"/>
      <c r="S21" s="715"/>
      <c r="T21" s="714"/>
      <c r="U21" s="715"/>
      <c r="V21" s="714"/>
      <c r="W21" s="715"/>
      <c r="X21" s="1539"/>
      <c r="Y21" s="326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68"/>
      <c r="Q22" s="1536" t="str">
        <f>B22</f>
        <v>楼层</v>
      </c>
      <c r="R22" s="714" t="s">
        <v>17</v>
      </c>
      <c r="S22" s="715">
        <f>F22</f>
        <v>100</v>
      </c>
      <c r="T22" s="714" t="s">
        <v>17</v>
      </c>
      <c r="U22" s="715">
        <f>H22</f>
        <v>100</v>
      </c>
      <c r="V22" s="714" t="s">
        <v>17</v>
      </c>
      <c r="W22" s="715">
        <f>J22</f>
        <v>100</v>
      </c>
      <c r="X22" s="1539"/>
      <c r="Y22" s="326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68"/>
      <c r="Q23" s="1536">
        <f>B23</f>
        <v>111</v>
      </c>
      <c r="R23" s="714" t="s">
        <v>17</v>
      </c>
      <c r="S23" s="715">
        <f>F23</f>
        <v>100</v>
      </c>
      <c r="T23" s="714" t="s">
        <v>17</v>
      </c>
      <c r="U23" s="715">
        <f>H23</f>
        <v>100</v>
      </c>
      <c r="V23" s="714" t="s">
        <v>17</v>
      </c>
      <c r="W23" s="715">
        <f>J23</f>
        <v>100</v>
      </c>
      <c r="X23" s="1539"/>
      <c r="Y23" s="326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68"/>
      <c r="Q24" s="1536">
        <f t="shared" ref="Q24:Q34" si="11">B24</f>
        <v>111</v>
      </c>
      <c r="R24" s="714" t="s">
        <v>17</v>
      </c>
      <c r="S24" s="715">
        <f>F24</f>
        <v>100</v>
      </c>
      <c r="T24" s="714" t="s">
        <v>17</v>
      </c>
      <c r="U24" s="715">
        <f>H24</f>
        <v>100</v>
      </c>
      <c r="V24" s="714" t="s">
        <v>17</v>
      </c>
      <c r="W24" s="715">
        <f>J24</f>
        <v>100</v>
      </c>
      <c r="X24" s="1539"/>
      <c r="Y24" s="326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68"/>
      <c r="Q25" s="1527">
        <f t="shared" si="11"/>
        <v>111</v>
      </c>
      <c r="R25" s="710" t="s">
        <v>17</v>
      </c>
      <c r="S25" s="711">
        <f>F25</f>
        <v>100</v>
      </c>
      <c r="T25" s="710" t="s">
        <v>17</v>
      </c>
      <c r="U25" s="711">
        <f>H25</f>
        <v>100</v>
      </c>
      <c r="V25" s="710" t="s">
        <v>17</v>
      </c>
      <c r="W25" s="711">
        <f>J25</f>
        <v>100</v>
      </c>
      <c r="X25" s="712"/>
      <c r="Y25" s="326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269"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7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70"/>
      <c r="Q27" s="716" t="str">
        <f t="shared" si="11"/>
        <v>成新率</v>
      </c>
      <c r="R27" s="717" t="s">
        <v>17</v>
      </c>
      <c r="S27" s="718" t="e">
        <f t="shared" si="12"/>
        <v>#N/A</v>
      </c>
      <c r="T27" s="717" t="s">
        <v>17</v>
      </c>
      <c r="U27" s="718" t="e">
        <f t="shared" si="13"/>
        <v>#N/A</v>
      </c>
      <c r="V27" s="717" t="s">
        <v>17</v>
      </c>
      <c r="W27" s="718" t="e">
        <f t="shared" si="14"/>
        <v>#N/A</v>
      </c>
      <c r="X27" s="719"/>
      <c r="Y27" s="327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70"/>
      <c r="Q28" s="1536" t="str">
        <f t="shared" si="11"/>
        <v>物业等级</v>
      </c>
      <c r="R28" s="714" t="s">
        <v>17</v>
      </c>
      <c r="S28" s="715">
        <f t="shared" si="12"/>
        <v>100</v>
      </c>
      <c r="T28" s="714" t="s">
        <v>17</v>
      </c>
      <c r="U28" s="715">
        <f t="shared" si="13"/>
        <v>100</v>
      </c>
      <c r="V28" s="714" t="s">
        <v>17</v>
      </c>
      <c r="W28" s="715">
        <f t="shared" si="14"/>
        <v>100</v>
      </c>
      <c r="X28" s="1539"/>
      <c r="Y28" s="327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70"/>
      <c r="Q29" s="1536" t="str">
        <f t="shared" si="11"/>
        <v>有无电梯</v>
      </c>
      <c r="R29" s="714" t="s">
        <v>17</v>
      </c>
      <c r="S29" s="715">
        <f t="shared" si="12"/>
        <v>100</v>
      </c>
      <c r="T29" s="714" t="s">
        <v>17</v>
      </c>
      <c r="U29" s="715">
        <f t="shared" si="13"/>
        <v>100</v>
      </c>
      <c r="V29" s="714" t="s">
        <v>17</v>
      </c>
      <c r="W29" s="715">
        <f t="shared" si="14"/>
        <v>100</v>
      </c>
      <c r="X29" s="1539"/>
      <c r="Y29" s="327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70"/>
      <c r="Q30" s="1536" t="str">
        <f t="shared" si="11"/>
        <v>建筑面积</v>
      </c>
      <c r="R30" s="714" t="s">
        <v>17</v>
      </c>
      <c r="S30" s="715" t="e">
        <f t="shared" si="12"/>
        <v>#N/A</v>
      </c>
      <c r="T30" s="714" t="s">
        <v>17</v>
      </c>
      <c r="U30" s="715" t="e">
        <f t="shared" si="13"/>
        <v>#N/A</v>
      </c>
      <c r="V30" s="714" t="s">
        <v>17</v>
      </c>
      <c r="W30" s="715" t="e">
        <f t="shared" si="14"/>
        <v>#N/A</v>
      </c>
      <c r="X30" s="1539"/>
      <c r="Y30" s="327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70"/>
      <c r="Q31" s="1527" t="str">
        <f t="shared" si="11"/>
        <v>是否封闭</v>
      </c>
      <c r="R31" s="710" t="s">
        <v>17</v>
      </c>
      <c r="S31" s="711">
        <f t="shared" si="12"/>
        <v>100</v>
      </c>
      <c r="T31" s="710" t="s">
        <v>17</v>
      </c>
      <c r="U31" s="711">
        <f t="shared" si="13"/>
        <v>100</v>
      </c>
      <c r="V31" s="710" t="s">
        <v>17</v>
      </c>
      <c r="W31" s="711">
        <f t="shared" si="14"/>
        <v>100</v>
      </c>
      <c r="X31" s="712"/>
      <c r="Y31" s="327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70" t="s">
        <v>2386</v>
      </c>
      <c r="Q32" s="1536">
        <f t="shared" si="11"/>
        <v>111</v>
      </c>
      <c r="R32" s="714" t="s">
        <v>17</v>
      </c>
      <c r="S32" s="715">
        <f t="shared" si="12"/>
        <v>100</v>
      </c>
      <c r="T32" s="714" t="s">
        <v>17</v>
      </c>
      <c r="U32" s="715">
        <f t="shared" si="13"/>
        <v>100</v>
      </c>
      <c r="V32" s="714" t="s">
        <v>17</v>
      </c>
      <c r="W32" s="715">
        <f t="shared" si="14"/>
        <v>100</v>
      </c>
      <c r="X32" s="1539"/>
      <c r="Y32" s="327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70"/>
      <c r="Q33" s="1536">
        <f t="shared" si="11"/>
        <v>111</v>
      </c>
      <c r="R33" s="714" t="s">
        <v>17</v>
      </c>
      <c r="S33" s="715">
        <f t="shared" si="12"/>
        <v>100</v>
      </c>
      <c r="T33" s="714" t="s">
        <v>17</v>
      </c>
      <c r="U33" s="715">
        <f t="shared" si="13"/>
        <v>100</v>
      </c>
      <c r="V33" s="714" t="s">
        <v>17</v>
      </c>
      <c r="W33" s="715">
        <f t="shared" si="14"/>
        <v>100</v>
      </c>
      <c r="X33" s="1539"/>
      <c r="Y33" s="327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70"/>
      <c r="Q34" s="1536">
        <f t="shared" si="11"/>
        <v>111</v>
      </c>
      <c r="R34" s="714" t="s">
        <v>17</v>
      </c>
      <c r="S34" s="715">
        <f t="shared" si="12"/>
        <v>100</v>
      </c>
      <c r="T34" s="714" t="s">
        <v>17</v>
      </c>
      <c r="U34" s="715">
        <f t="shared" si="13"/>
        <v>100</v>
      </c>
      <c r="V34" s="714" t="s">
        <v>17</v>
      </c>
      <c r="W34" s="715">
        <f t="shared" si="14"/>
        <v>100</v>
      </c>
      <c r="X34" s="1539"/>
      <c r="Y34" s="327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64" t="str">
        <f>A35</f>
        <v>成交单价（元/平方米）</v>
      </c>
      <c r="Q35" s="3264"/>
      <c r="R35" s="3337">
        <f>E35</f>
        <v>0</v>
      </c>
      <c r="S35" s="3337"/>
      <c r="T35" s="3337">
        <f>G35</f>
        <v>0</v>
      </c>
      <c r="U35" s="3337"/>
      <c r="V35" s="3337">
        <f>I35</f>
        <v>0</v>
      </c>
      <c r="W35" s="3337"/>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64" t="str">
        <f>A36</f>
        <v>比较价值（元/平方米）</v>
      </c>
      <c r="Q36" s="3264"/>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61" t="str">
        <f>A37</f>
        <v>估价对象XX用房的比较价值（楼面单价，元/平方米）</v>
      </c>
      <c r="Q37" s="3262"/>
      <c r="R37" s="3359" t="e">
        <f>IF(F1="售价",ROUND(IF(D36="简单平均",AVERAGE(R36:W36),R36*F36+T36*H36+V36*J36),0),ROUND(IF(D36="简单平均",AVERAGE(R36:V36),R36*F36+T36*H36+V36*J36),1))</f>
        <v>#DIV/0!</v>
      </c>
      <c r="S37" s="3359"/>
      <c r="T37" s="3359"/>
      <c r="U37" s="3359"/>
      <c r="V37" s="3359"/>
      <c r="W37" s="335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74" t="s">
        <v>2467</v>
      </c>
      <c r="D4" s="3275"/>
      <c r="E4" s="3276" t="s">
        <v>2468</v>
      </c>
      <c r="F4" s="3277"/>
      <c r="G4" s="3274" t="s">
        <v>2469</v>
      </c>
      <c r="H4" s="3275"/>
      <c r="I4" s="3274" t="s">
        <v>2470</v>
      </c>
      <c r="J4" s="3275"/>
      <c r="K4" s="567" t="s">
        <v>2471</v>
      </c>
      <c r="L4" s="2944"/>
      <c r="M4" s="2945"/>
      <c r="N4" s="2945"/>
      <c r="O4" s="2945"/>
      <c r="P4" s="3278" t="s">
        <v>2472</v>
      </c>
      <c r="Q4" s="3279"/>
      <c r="R4" s="3291" t="s">
        <v>2468</v>
      </c>
      <c r="S4" s="3292"/>
      <c r="T4" s="3291" t="s">
        <v>2469</v>
      </c>
      <c r="U4" s="3292"/>
      <c r="V4" s="3266" t="s">
        <v>2470</v>
      </c>
      <c r="W4" s="3266"/>
      <c r="X4" s="1539"/>
      <c r="Y4" s="3291" t="s">
        <v>2472</v>
      </c>
      <c r="Z4" s="3292"/>
      <c r="AA4" s="3271" t="s">
        <v>2468</v>
      </c>
      <c r="AB4" s="3272" t="s">
        <v>2469</v>
      </c>
      <c r="AC4" s="3271" t="s">
        <v>2470</v>
      </c>
    </row>
    <row r="5" spans="1:30" ht="15">
      <c r="A5" s="364"/>
      <c r="B5" s="365"/>
      <c r="C5" s="3295" t="s">
        <v>2363</v>
      </c>
      <c r="D5" s="3296"/>
      <c r="E5" s="3284" t="s">
        <v>2364</v>
      </c>
      <c r="F5" s="3285"/>
      <c r="G5" s="3295" t="s">
        <v>2365</v>
      </c>
      <c r="H5" s="3296"/>
      <c r="I5" s="3295" t="s">
        <v>2366</v>
      </c>
      <c r="J5" s="3296"/>
      <c r="K5" s="567"/>
      <c r="L5" s="2944"/>
      <c r="M5" s="2945"/>
      <c r="N5" s="2945"/>
      <c r="O5" s="2945"/>
      <c r="P5" s="3280"/>
      <c r="Q5" s="3281"/>
      <c r="R5" s="3293"/>
      <c r="S5" s="3294"/>
      <c r="T5" s="3293"/>
      <c r="U5" s="3294"/>
      <c r="V5" s="3266"/>
      <c r="W5" s="3266"/>
      <c r="X5" s="1539"/>
      <c r="Y5" s="3293"/>
      <c r="Z5" s="3294"/>
      <c r="AA5" s="3272"/>
      <c r="AB5" s="3272"/>
      <c r="AC5" s="3272"/>
    </row>
    <row r="6" spans="1:30" ht="15.75" thickBot="1">
      <c r="A6" s="366"/>
      <c r="B6" s="367"/>
      <c r="C6" s="3332" t="s">
        <v>2367</v>
      </c>
      <c r="D6" s="3333"/>
      <c r="E6" s="3334" t="s">
        <v>2367</v>
      </c>
      <c r="F6" s="3335"/>
      <c r="G6" s="3332" t="s">
        <v>2367</v>
      </c>
      <c r="H6" s="3333"/>
      <c r="I6" s="3332" t="s">
        <v>2367</v>
      </c>
      <c r="J6" s="3333"/>
      <c r="K6" s="567" t="s">
        <v>2368</v>
      </c>
      <c r="L6" s="2944"/>
      <c r="M6" s="2945"/>
      <c r="N6" s="2945"/>
      <c r="O6" s="2945"/>
      <c r="P6" s="3282"/>
      <c r="Q6" s="3283"/>
      <c r="R6" s="3293"/>
      <c r="S6" s="3294"/>
      <c r="T6" s="3302"/>
      <c r="U6" s="3303"/>
      <c r="V6" s="3266"/>
      <c r="W6" s="3266"/>
      <c r="X6" s="1539"/>
      <c r="Y6" s="3302"/>
      <c r="Z6" s="3303"/>
      <c r="AA6" s="3273"/>
      <c r="AB6" s="3273"/>
      <c r="AC6" s="3273"/>
    </row>
    <row r="7" spans="1:30" s="113" customFormat="1" ht="15.75" thickBot="1">
      <c r="A7" s="368" t="s">
        <v>2369</v>
      </c>
      <c r="B7" s="369"/>
      <c r="C7" s="370">
        <f>'数据-取费表'!B2</f>
        <v>44371</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6" t="s">
        <v>2370</v>
      </c>
      <c r="Q7" s="3299"/>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64"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106</v>
      </c>
      <c r="G10" s="422"/>
      <c r="H10" s="132">
        <f>ROUND(100/'数据-取费表'!G16,0)</f>
        <v>106</v>
      </c>
      <c r="I10" s="422"/>
      <c r="J10" s="132">
        <f>ROUND(100/'数据-取费表'!G16,0)</f>
        <v>106</v>
      </c>
      <c r="K10" s="628"/>
      <c r="L10" s="2948"/>
      <c r="M10" s="2949"/>
      <c r="N10" s="2949"/>
      <c r="O10" s="3002"/>
      <c r="P10" s="3264"/>
      <c r="Q10" s="1527" t="str">
        <f t="shared" si="6"/>
        <v>土地使用年限（年）</v>
      </c>
      <c r="R10" s="710" t="s">
        <v>17</v>
      </c>
      <c r="S10" s="711">
        <f t="shared" si="0"/>
        <v>106</v>
      </c>
      <c r="T10" s="710" t="s">
        <v>17</v>
      </c>
      <c r="U10" s="711">
        <f t="shared" si="1"/>
        <v>106</v>
      </c>
      <c r="V10" s="710" t="s">
        <v>17</v>
      </c>
      <c r="W10" s="711">
        <f t="shared" si="2"/>
        <v>106</v>
      </c>
      <c r="X10" s="712"/>
      <c r="Y10" s="3234"/>
      <c r="Z10" s="55" t="str">
        <f t="shared" si="7"/>
        <v>土地使用年限（年）</v>
      </c>
      <c r="AA10" s="713">
        <f t="shared" si="3"/>
        <v>0.94339622641509435</v>
      </c>
      <c r="AB10" s="713">
        <f t="shared" si="4"/>
        <v>0.94339622641509435</v>
      </c>
      <c r="AC10" s="713">
        <f t="shared" si="5"/>
        <v>0.94339622641509435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64"/>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64"/>
      <c r="Q12" s="1527" t="str">
        <f t="shared" si="6"/>
        <v>配建</v>
      </c>
      <c r="R12" s="710" t="s">
        <v>17</v>
      </c>
      <c r="S12" s="711">
        <f t="shared" si="0"/>
        <v>100</v>
      </c>
      <c r="T12" s="710" t="s">
        <v>17</v>
      </c>
      <c r="U12" s="711">
        <f t="shared" si="1"/>
        <v>100</v>
      </c>
      <c r="V12" s="710" t="s">
        <v>17</v>
      </c>
      <c r="W12" s="711">
        <f t="shared" si="2"/>
        <v>100</v>
      </c>
      <c r="X12" s="712"/>
      <c r="Y12" s="323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64"/>
      <c r="Q13" s="1527">
        <f t="shared" si="6"/>
        <v>111</v>
      </c>
      <c r="R13" s="710" t="s">
        <v>17</v>
      </c>
      <c r="S13" s="711">
        <f t="shared" si="0"/>
        <v>100</v>
      </c>
      <c r="T13" s="710" t="s">
        <v>17</v>
      </c>
      <c r="U13" s="711">
        <f t="shared" si="1"/>
        <v>100</v>
      </c>
      <c r="V13" s="710" t="s">
        <v>17</v>
      </c>
      <c r="W13" s="711">
        <f t="shared" si="2"/>
        <v>100</v>
      </c>
      <c r="X13" s="712"/>
      <c r="Y13" s="323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64"/>
      <c r="Q14" s="1527">
        <f t="shared" si="6"/>
        <v>111</v>
      </c>
      <c r="R14" s="710" t="s">
        <v>17</v>
      </c>
      <c r="S14" s="711">
        <f t="shared" si="0"/>
        <v>100</v>
      </c>
      <c r="T14" s="710" t="s">
        <v>17</v>
      </c>
      <c r="U14" s="711">
        <f t="shared" si="1"/>
        <v>100</v>
      </c>
      <c r="V14" s="710" t="s">
        <v>17</v>
      </c>
      <c r="W14" s="711">
        <f t="shared" si="2"/>
        <v>100</v>
      </c>
      <c r="X14" s="712"/>
      <c r="Y14" s="323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67" t="s">
        <v>2381</v>
      </c>
      <c r="Q15" s="1536" t="str">
        <f t="shared" si="6"/>
        <v>居住社区成熟度</v>
      </c>
      <c r="R15" s="714" t="s">
        <v>17</v>
      </c>
      <c r="S15" s="715">
        <f t="shared" si="0"/>
        <v>100</v>
      </c>
      <c r="T15" s="714" t="s">
        <v>17</v>
      </c>
      <c r="U15" s="715">
        <f t="shared" si="1"/>
        <v>100</v>
      </c>
      <c r="V15" s="714" t="s">
        <v>17</v>
      </c>
      <c r="W15" s="715">
        <f t="shared" si="2"/>
        <v>100</v>
      </c>
      <c r="X15" s="1539"/>
      <c r="Y15" s="326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68"/>
      <c r="Q16" s="1536"/>
      <c r="R16" s="714"/>
      <c r="S16" s="715"/>
      <c r="T16" s="714"/>
      <c r="U16" s="715"/>
      <c r="V16" s="714"/>
      <c r="W16" s="715"/>
      <c r="X16" s="1539"/>
      <c r="Y16" s="326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68"/>
      <c r="Q17" s="1536" t="str">
        <f>B17</f>
        <v>商业繁华度</v>
      </c>
      <c r="R17" s="714" t="s">
        <v>17</v>
      </c>
      <c r="S17" s="715">
        <f>F17</f>
        <v>100</v>
      </c>
      <c r="T17" s="714" t="s">
        <v>17</v>
      </c>
      <c r="U17" s="715">
        <f>H17</f>
        <v>100</v>
      </c>
      <c r="V17" s="714" t="s">
        <v>17</v>
      </c>
      <c r="W17" s="715">
        <f>J17</f>
        <v>100</v>
      </c>
      <c r="X17" s="1539"/>
      <c r="Y17" s="326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68"/>
      <c r="Q18" s="1536"/>
      <c r="R18" s="714"/>
      <c r="S18" s="715"/>
      <c r="T18" s="714"/>
      <c r="U18" s="715"/>
      <c r="V18" s="714"/>
      <c r="W18" s="715"/>
      <c r="X18" s="1539"/>
      <c r="Y18" s="326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68"/>
      <c r="Q19" s="1536" t="str">
        <f>B19</f>
        <v>办公集聚程度</v>
      </c>
      <c r="R19" s="714" t="s">
        <v>17</v>
      </c>
      <c r="S19" s="715">
        <f>F19</f>
        <v>100</v>
      </c>
      <c r="T19" s="714" t="s">
        <v>17</v>
      </c>
      <c r="U19" s="715">
        <f>H19</f>
        <v>100</v>
      </c>
      <c r="V19" s="714" t="s">
        <v>17</v>
      </c>
      <c r="W19" s="715">
        <f>J19</f>
        <v>100</v>
      </c>
      <c r="X19" s="1539"/>
      <c r="Y19" s="326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68"/>
      <c r="Q20" s="1536"/>
      <c r="R20" s="714"/>
      <c r="S20" s="715"/>
      <c r="T20" s="714"/>
      <c r="U20" s="715"/>
      <c r="V20" s="714"/>
      <c r="W20" s="715"/>
      <c r="X20" s="1539"/>
      <c r="Y20" s="326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68"/>
      <c r="Q21" s="1536" t="str">
        <f>B21</f>
        <v>交通便捷度</v>
      </c>
      <c r="R21" s="714" t="s">
        <v>17</v>
      </c>
      <c r="S21" s="715">
        <f>F21</f>
        <v>100</v>
      </c>
      <c r="T21" s="714" t="s">
        <v>17</v>
      </c>
      <c r="U21" s="715">
        <f>H21</f>
        <v>100</v>
      </c>
      <c r="V21" s="714" t="s">
        <v>17</v>
      </c>
      <c r="W21" s="715">
        <f>J21</f>
        <v>100</v>
      </c>
      <c r="X21" s="1539"/>
      <c r="Y21" s="326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68"/>
      <c r="Q22" s="1536"/>
      <c r="R22" s="714"/>
      <c r="S22" s="715"/>
      <c r="T22" s="714"/>
      <c r="U22" s="715"/>
      <c r="V22" s="714"/>
      <c r="W22" s="715"/>
      <c r="X22" s="1539"/>
      <c r="Y22" s="3268"/>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68"/>
      <c r="Q23" s="1536" t="str">
        <f t="shared" ref="Q23:Q37" si="8">B23</f>
        <v>区域土地利用方向</v>
      </c>
      <c r="R23" s="714" t="s">
        <v>17</v>
      </c>
      <c r="S23" s="715">
        <f>F23</f>
        <v>100</v>
      </c>
      <c r="T23" s="714" t="s">
        <v>17</v>
      </c>
      <c r="U23" s="715">
        <f>H23</f>
        <v>100</v>
      </c>
      <c r="V23" s="714" t="s">
        <v>17</v>
      </c>
      <c r="W23" s="715">
        <f>J23</f>
        <v>100</v>
      </c>
      <c r="X23" s="1539"/>
      <c r="Y23" s="326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68"/>
      <c r="Q24" s="1536"/>
      <c r="R24" s="714"/>
      <c r="S24" s="715"/>
      <c r="T24" s="714"/>
      <c r="U24" s="715"/>
      <c r="V24" s="714"/>
      <c r="W24" s="715"/>
      <c r="X24" s="1539"/>
      <c r="Y24" s="3268"/>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68"/>
      <c r="Q25" s="1536" t="str">
        <f t="shared" si="8"/>
        <v>自然及人文环境状况</v>
      </c>
      <c r="R25" s="714" t="s">
        <v>17</v>
      </c>
      <c r="S25" s="715">
        <f>F25</f>
        <v>100</v>
      </c>
      <c r="T25" s="714" t="s">
        <v>17</v>
      </c>
      <c r="U25" s="715">
        <f>H25</f>
        <v>100</v>
      </c>
      <c r="V25" s="714" t="s">
        <v>17</v>
      </c>
      <c r="W25" s="715">
        <f>J25</f>
        <v>100</v>
      </c>
      <c r="X25" s="1539"/>
      <c r="Y25" s="326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68"/>
      <c r="Q26" s="1536"/>
      <c r="R26" s="714"/>
      <c r="S26" s="715"/>
      <c r="T26" s="714"/>
      <c r="U26" s="715"/>
      <c r="V26" s="714"/>
      <c r="W26" s="715"/>
      <c r="X26" s="1539"/>
      <c r="Y26" s="3268"/>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68"/>
      <c r="Q27" s="1527" t="str">
        <f t="shared" si="8"/>
        <v>公共配套设施</v>
      </c>
      <c r="R27" s="710" t="s">
        <v>17</v>
      </c>
      <c r="S27" s="711">
        <f>F27</f>
        <v>100</v>
      </c>
      <c r="T27" s="710" t="s">
        <v>17</v>
      </c>
      <c r="U27" s="711">
        <f>H27</f>
        <v>100</v>
      </c>
      <c r="V27" s="710" t="s">
        <v>17</v>
      </c>
      <c r="W27" s="711">
        <f>J27</f>
        <v>100</v>
      </c>
      <c r="X27" s="712"/>
      <c r="Y27" s="326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68"/>
      <c r="Q28" s="1527"/>
      <c r="R28" s="710"/>
      <c r="S28" s="711"/>
      <c r="T28" s="710"/>
      <c r="U28" s="711"/>
      <c r="V28" s="710"/>
      <c r="W28" s="711"/>
      <c r="X28" s="712"/>
      <c r="Y28" s="3268"/>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68"/>
      <c r="Q29" s="1527" t="str">
        <f t="shared" ref="Q29" si="9">B29</f>
        <v>基础设施水平</v>
      </c>
      <c r="R29" s="710" t="s">
        <v>17</v>
      </c>
      <c r="S29" s="711">
        <f>F29</f>
        <v>100</v>
      </c>
      <c r="T29" s="710" t="s">
        <v>17</v>
      </c>
      <c r="U29" s="711">
        <f>H29</f>
        <v>100</v>
      </c>
      <c r="V29" s="710" t="s">
        <v>17</v>
      </c>
      <c r="W29" s="711">
        <f>J29</f>
        <v>100</v>
      </c>
      <c r="X29" s="712"/>
      <c r="Y29" s="326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68"/>
      <c r="Q30" s="1527"/>
      <c r="R30" s="710"/>
      <c r="S30" s="711"/>
      <c r="T30" s="710"/>
      <c r="U30" s="711"/>
      <c r="V30" s="710"/>
      <c r="W30" s="711"/>
      <c r="X30" s="712"/>
      <c r="Y30" s="326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6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68"/>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68"/>
      <c r="Q32" s="1536" t="str">
        <f t="shared" si="8"/>
        <v>毗邻道路的类型与等级</v>
      </c>
      <c r="R32" s="714" t="s">
        <v>17</v>
      </c>
      <c r="S32" s="715">
        <f t="shared" si="10"/>
        <v>100</v>
      </c>
      <c r="T32" s="714" t="s">
        <v>17</v>
      </c>
      <c r="U32" s="715">
        <f t="shared" si="11"/>
        <v>100</v>
      </c>
      <c r="V32" s="714" t="s">
        <v>17</v>
      </c>
      <c r="W32" s="715">
        <f t="shared" si="12"/>
        <v>100</v>
      </c>
      <c r="X32" s="1539"/>
      <c r="Y32" s="326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68"/>
      <c r="Q33" s="1536"/>
      <c r="R33" s="714"/>
      <c r="S33" s="715"/>
      <c r="T33" s="714"/>
      <c r="U33" s="715"/>
      <c r="V33" s="714"/>
      <c r="W33" s="715"/>
      <c r="X33" s="1539"/>
      <c r="Y33" s="326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68"/>
      <c r="Q34" s="1536" t="str">
        <f t="shared" si="8"/>
        <v>土地级别</v>
      </c>
      <c r="R34" s="714" t="s">
        <v>17</v>
      </c>
      <c r="S34" s="715">
        <f t="shared" si="10"/>
        <v>100</v>
      </c>
      <c r="T34" s="714" t="s">
        <v>17</v>
      </c>
      <c r="U34" s="715">
        <f t="shared" si="11"/>
        <v>100</v>
      </c>
      <c r="V34" s="714" t="s">
        <v>17</v>
      </c>
      <c r="W34" s="715">
        <f t="shared" si="12"/>
        <v>100</v>
      </c>
      <c r="X34" s="1539"/>
      <c r="Y34" s="326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68"/>
      <c r="Q35" s="1536">
        <f t="shared" si="8"/>
        <v>111</v>
      </c>
      <c r="R35" s="714" t="s">
        <v>17</v>
      </c>
      <c r="S35" s="715">
        <f t="shared" si="10"/>
        <v>100</v>
      </c>
      <c r="T35" s="714" t="s">
        <v>17</v>
      </c>
      <c r="U35" s="715">
        <f t="shared" si="11"/>
        <v>100</v>
      </c>
      <c r="V35" s="714" t="s">
        <v>17</v>
      </c>
      <c r="W35" s="715">
        <f t="shared" si="12"/>
        <v>100</v>
      </c>
      <c r="X35" s="1539"/>
      <c r="Y35" s="326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69" t="s">
        <v>2386</v>
      </c>
      <c r="Q36" s="1536">
        <f t="shared" si="8"/>
        <v>111</v>
      </c>
      <c r="R36" s="714" t="s">
        <v>17</v>
      </c>
      <c r="S36" s="715">
        <f t="shared" si="10"/>
        <v>100</v>
      </c>
      <c r="T36" s="714" t="s">
        <v>17</v>
      </c>
      <c r="U36" s="715">
        <f t="shared" si="11"/>
        <v>100</v>
      </c>
      <c r="V36" s="714" t="s">
        <v>17</v>
      </c>
      <c r="W36" s="715">
        <f t="shared" si="12"/>
        <v>100</v>
      </c>
      <c r="X36" s="1539"/>
      <c r="Y36" s="327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70"/>
      <c r="Q37" s="1536">
        <f t="shared" si="8"/>
        <v>111</v>
      </c>
      <c r="R37" s="717" t="s">
        <v>17</v>
      </c>
      <c r="S37" s="718">
        <f t="shared" si="10"/>
        <v>100</v>
      </c>
      <c r="T37" s="717" t="s">
        <v>17</v>
      </c>
      <c r="U37" s="718">
        <f t="shared" si="11"/>
        <v>100</v>
      </c>
      <c r="V37" s="717" t="s">
        <v>17</v>
      </c>
      <c r="W37" s="718">
        <f t="shared" si="12"/>
        <v>100</v>
      </c>
      <c r="X37" s="719"/>
      <c r="Y37" s="327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70"/>
      <c r="Q38" s="1536" t="str">
        <f>B38</f>
        <v>宗地面积</v>
      </c>
      <c r="R38" s="714" t="s">
        <v>17</v>
      </c>
      <c r="S38" s="715" t="e">
        <f t="shared" si="10"/>
        <v>#N/A</v>
      </c>
      <c r="T38" s="714" t="s">
        <v>17</v>
      </c>
      <c r="U38" s="715" t="e">
        <f t="shared" si="11"/>
        <v>#N/A</v>
      </c>
      <c r="V38" s="714" t="s">
        <v>17</v>
      </c>
      <c r="W38" s="715" t="e">
        <f t="shared" si="12"/>
        <v>#N/A</v>
      </c>
      <c r="X38" s="1539"/>
      <c r="Y38" s="327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70"/>
      <c r="Q39" s="1536" t="str">
        <f t="shared" ref="Q39:Q45" si="14">B39</f>
        <v>宗地形状</v>
      </c>
      <c r="R39" s="714" t="s">
        <v>17</v>
      </c>
      <c r="S39" s="715">
        <f t="shared" si="10"/>
        <v>100</v>
      </c>
      <c r="T39" s="714" t="s">
        <v>17</v>
      </c>
      <c r="U39" s="715">
        <f t="shared" si="11"/>
        <v>100</v>
      </c>
      <c r="V39" s="714" t="s">
        <v>17</v>
      </c>
      <c r="W39" s="715">
        <f t="shared" si="12"/>
        <v>100</v>
      </c>
      <c r="X39" s="1539"/>
      <c r="Y39" s="327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70"/>
      <c r="Q40" s="1536" t="str">
        <f t="shared" si="14"/>
        <v>临街宽度及深度</v>
      </c>
      <c r="R40" s="714" t="s">
        <v>17</v>
      </c>
      <c r="S40" s="715">
        <f t="shared" si="10"/>
        <v>100</v>
      </c>
      <c r="T40" s="714" t="s">
        <v>17</v>
      </c>
      <c r="U40" s="715">
        <f t="shared" si="11"/>
        <v>100</v>
      </c>
      <c r="V40" s="714" t="s">
        <v>17</v>
      </c>
      <c r="W40" s="715">
        <f t="shared" si="12"/>
        <v>100</v>
      </c>
      <c r="X40" s="1539"/>
      <c r="Y40" s="327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70"/>
      <c r="Q41" s="1536" t="str">
        <f t="shared" si="14"/>
        <v>宗地开发程度</v>
      </c>
      <c r="R41" s="710" t="s">
        <v>17</v>
      </c>
      <c r="S41" s="711">
        <f t="shared" si="10"/>
        <v>100</v>
      </c>
      <c r="T41" s="710" t="s">
        <v>17</v>
      </c>
      <c r="U41" s="711">
        <f t="shared" si="11"/>
        <v>100</v>
      </c>
      <c r="V41" s="710" t="s">
        <v>17</v>
      </c>
      <c r="W41" s="711">
        <f t="shared" si="12"/>
        <v>100</v>
      </c>
      <c r="X41" s="712"/>
      <c r="Y41" s="327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70" t="s">
        <v>2386</v>
      </c>
      <c r="Q42" s="1536" t="str">
        <f t="shared" si="14"/>
        <v>工程地质条件</v>
      </c>
      <c r="R42" s="714" t="s">
        <v>17</v>
      </c>
      <c r="S42" s="715">
        <f t="shared" si="10"/>
        <v>100</v>
      </c>
      <c r="T42" s="714" t="s">
        <v>17</v>
      </c>
      <c r="U42" s="715">
        <f t="shared" si="11"/>
        <v>100</v>
      </c>
      <c r="V42" s="714" t="s">
        <v>17</v>
      </c>
      <c r="W42" s="715">
        <f t="shared" si="12"/>
        <v>100</v>
      </c>
      <c r="X42" s="1539"/>
      <c r="Y42" s="327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70"/>
      <c r="Q43" s="1536">
        <f t="shared" si="14"/>
        <v>111</v>
      </c>
      <c r="R43" s="714" t="s">
        <v>17</v>
      </c>
      <c r="S43" s="715">
        <f t="shared" si="10"/>
        <v>100</v>
      </c>
      <c r="T43" s="714" t="s">
        <v>17</v>
      </c>
      <c r="U43" s="715">
        <f t="shared" si="11"/>
        <v>100</v>
      </c>
      <c r="V43" s="714" t="s">
        <v>17</v>
      </c>
      <c r="W43" s="715">
        <f t="shared" si="12"/>
        <v>100</v>
      </c>
      <c r="X43" s="1539"/>
      <c r="Y43" s="327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70"/>
      <c r="Q44" s="1536">
        <f t="shared" si="14"/>
        <v>111</v>
      </c>
      <c r="R44" s="714" t="s">
        <v>17</v>
      </c>
      <c r="S44" s="715">
        <f t="shared" si="10"/>
        <v>100</v>
      </c>
      <c r="T44" s="714" t="s">
        <v>17</v>
      </c>
      <c r="U44" s="715">
        <f t="shared" si="11"/>
        <v>100</v>
      </c>
      <c r="V44" s="714" t="s">
        <v>17</v>
      </c>
      <c r="W44" s="715">
        <f t="shared" si="12"/>
        <v>100</v>
      </c>
      <c r="X44" s="1539"/>
      <c r="Y44" s="327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70"/>
      <c r="Q45" s="1536">
        <f t="shared" si="14"/>
        <v>111</v>
      </c>
      <c r="R45" s="717" t="s">
        <v>17</v>
      </c>
      <c r="S45" s="718">
        <f t="shared" si="10"/>
        <v>100</v>
      </c>
      <c r="T45" s="717" t="s">
        <v>17</v>
      </c>
      <c r="U45" s="718">
        <f t="shared" si="11"/>
        <v>100</v>
      </c>
      <c r="V45" s="717" t="s">
        <v>17</v>
      </c>
      <c r="W45" s="718">
        <f t="shared" si="12"/>
        <v>100</v>
      </c>
      <c r="X45" s="719"/>
      <c r="Y45" s="327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64" t="str">
        <f>A46</f>
        <v>成交单价</v>
      </c>
      <c r="Q46" s="3264"/>
      <c r="R46" s="3266">
        <f>E46</f>
        <v>0</v>
      </c>
      <c r="S46" s="3266"/>
      <c r="T46" s="3266">
        <f>G46</f>
        <v>0</v>
      </c>
      <c r="U46" s="3266"/>
      <c r="V46" s="3266">
        <f>I46</f>
        <v>0</v>
      </c>
      <c r="W46" s="3266"/>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64" t="str">
        <f>A47</f>
        <v>比较价值（元/平方米）</v>
      </c>
      <c r="Q47" s="3264"/>
      <c r="R47" s="3265" t="e">
        <f>ROUND(PRODUCT(R46,AA7:AA45),0)</f>
        <v>#DIV/0!</v>
      </c>
      <c r="S47" s="3265"/>
      <c r="T47" s="3265" t="e">
        <f>ROUND(PRODUCT(T46,AB7:AB45),0)</f>
        <v>#DIV/0!</v>
      </c>
      <c r="U47" s="3265"/>
      <c r="V47" s="3265" t="e">
        <f>ROUND(PRODUCT(V46,AC7:AC45),0)</f>
        <v>#DIV/0!</v>
      </c>
      <c r="W47" s="326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61" t="str">
        <f>A48</f>
        <v>估价对象XX用房的比较价值（楼面单价，元/平方米）</v>
      </c>
      <c r="Q48" s="3262"/>
      <c r="R48" s="3263" t="e">
        <f>ROUND(IF(D47="简单平均",AVERAGE(R47:W47),R47*F47+T47*H47+V47*J47),0)</f>
        <v>#DIV/0!</v>
      </c>
      <c r="S48" s="3263"/>
      <c r="T48" s="3263"/>
      <c r="U48" s="3263"/>
      <c r="V48" s="3263"/>
      <c r="W48" s="326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74" t="s">
        <v>2585</v>
      </c>
      <c r="H55" s="3288"/>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32069.72</v>
      </c>
      <c r="F56" s="1017" t="e">
        <f t="shared" ref="F56:F65" si="15">ROUND(B56*E56/10000,0)</f>
        <v>#DIV/0!</v>
      </c>
      <c r="G56" s="3289"/>
      <c r="H56" s="326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290"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29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29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29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32069.72</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0.53</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9"/>
      <c r="B4" s="3380"/>
      <c r="C4" s="3380"/>
      <c r="D4" s="3381"/>
      <c r="E4" s="3381"/>
      <c r="F4" s="3381"/>
      <c r="G4" s="3381"/>
      <c r="H4" s="3381"/>
      <c r="I4" s="3381"/>
      <c r="J4" s="3382"/>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0"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0.53</v>
      </c>
      <c r="AA7" s="1378"/>
      <c r="AB7" s="1378"/>
      <c r="AC7" s="1379"/>
      <c r="AD7" s="1380"/>
      <c r="AE7" s="1380"/>
      <c r="AF7" s="1380"/>
      <c r="AG7" s="1380"/>
      <c r="AH7" s="1380"/>
      <c r="AI7" s="1380"/>
      <c r="AJ7" s="1381"/>
    </row>
    <row r="8" spans="1:36" ht="15">
      <c r="A8" s="3383"/>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6" t="s">
        <v>2660</v>
      </c>
      <c r="X8" s="3377"/>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83"/>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8"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3"/>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3"/>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8" t="s">
        <v>2684</v>
      </c>
      <c r="X11" s="1386" t="s">
        <v>2685</v>
      </c>
      <c r="Y11" s="1387">
        <f>$G$3</f>
        <v>0.53</v>
      </c>
      <c r="Z11" s="1387">
        <f t="shared" ref="Z11:AJ11" si="3">$G$3</f>
        <v>0.53</v>
      </c>
      <c r="AA11" s="1387">
        <f t="shared" si="3"/>
        <v>0.53</v>
      </c>
      <c r="AB11" s="1387">
        <f t="shared" si="3"/>
        <v>0.53</v>
      </c>
      <c r="AC11" s="1387">
        <f t="shared" si="3"/>
        <v>0.53</v>
      </c>
      <c r="AD11" s="1387">
        <f t="shared" si="3"/>
        <v>0.53</v>
      </c>
      <c r="AE11" s="1387">
        <f t="shared" si="3"/>
        <v>0.53</v>
      </c>
      <c r="AF11" s="1387">
        <f t="shared" si="3"/>
        <v>0.53</v>
      </c>
      <c r="AG11" s="1387">
        <f t="shared" si="3"/>
        <v>0.53</v>
      </c>
      <c r="AH11" s="1387">
        <f t="shared" si="3"/>
        <v>0.53</v>
      </c>
      <c r="AI11" s="1387">
        <f t="shared" si="3"/>
        <v>0.53</v>
      </c>
      <c r="AJ11" s="1387">
        <f t="shared" si="3"/>
        <v>0.53</v>
      </c>
    </row>
    <row r="12" spans="1:36" ht="25.5" thickBot="1">
      <c r="A12" s="3360"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8"/>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4"/>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378"/>
      <c r="X13" s="1388"/>
      <c r="Y13" s="1385">
        <f>(-0.163*(Y12^2)-0.59*Y12+7617)*(10^(-4))/Y11</f>
        <v>1.4371698113207547</v>
      </c>
      <c r="Z13" s="1385">
        <f t="shared" ref="Z13:AJ13" si="5">(-0.163*(Z12^2)-0.59*Z12+7617)*(10^(-4))/Z11</f>
        <v>1.4371698113207547</v>
      </c>
      <c r="AA13" s="1385">
        <f t="shared" si="5"/>
        <v>1.4371698113207547</v>
      </c>
      <c r="AB13" s="1385">
        <f t="shared" si="5"/>
        <v>1.4371698113207547</v>
      </c>
      <c r="AC13" s="1385">
        <f t="shared" si="5"/>
        <v>1.4371698113207547</v>
      </c>
      <c r="AD13" s="1385">
        <f t="shared" si="5"/>
        <v>1.4371698113207547</v>
      </c>
      <c r="AE13" s="1385">
        <f t="shared" si="5"/>
        <v>1.4371698113207547</v>
      </c>
      <c r="AF13" s="1385">
        <f t="shared" si="5"/>
        <v>1.4371698113207547</v>
      </c>
      <c r="AG13" s="1385">
        <f t="shared" si="5"/>
        <v>1.4371698113207547</v>
      </c>
      <c r="AH13" s="1385">
        <f t="shared" si="5"/>
        <v>1.4371698113207547</v>
      </c>
      <c r="AI13" s="1385">
        <f t="shared" si="5"/>
        <v>1.4371698113207547</v>
      </c>
      <c r="AJ13" s="1385">
        <f t="shared" si="5"/>
        <v>1.4371698113207547</v>
      </c>
    </row>
    <row r="14" spans="1:36" ht="15">
      <c r="A14" s="3384"/>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85"/>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60" t="s">
        <v>2703</v>
      </c>
      <c r="B16" s="2209" t="s">
        <v>2704</v>
      </c>
      <c r="C16" s="2371" t="e">
        <f>ROUND(IF(F17="与级别开发程度一致",0,(G17-E17)/C17),0)</f>
        <v>#DIV/0!</v>
      </c>
      <c r="D16" s="3373" t="s">
        <v>2708</v>
      </c>
      <c r="E16" s="3374"/>
      <c r="F16" s="3373" t="s">
        <v>2705</v>
      </c>
      <c r="G16" s="337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1"/>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44371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0</v>
      </c>
      <c r="D21" s="2265"/>
      <c r="E21" s="2265"/>
      <c r="F21" s="2265"/>
      <c r="G21" s="2265"/>
      <c r="H21" s="2265"/>
      <c r="I21" s="2265"/>
      <c r="J21" s="2266"/>
      <c r="K21" s="1287"/>
      <c r="L21" s="3019"/>
      <c r="M21" s="3019"/>
      <c r="N21" s="2267" t="s">
        <v>2724</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v>
      </c>
      <c r="E22" s="855">
        <f>ROUNDDOWN(G3,1)</f>
        <v>0.5</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2728</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9"/>
      <c r="M24" s="3019"/>
      <c r="N24" s="2277" t="s">
        <v>2733</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7" t="s">
        <v>2634</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0"/>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5"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1"/>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1"/>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2"/>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2" t="s">
        <v>2791</v>
      </c>
      <c r="B90" s="3362"/>
      <c r="C90" s="3362"/>
      <c r="D90" s="3362"/>
      <c r="E90" s="3362"/>
      <c r="F90" s="3362"/>
      <c r="G90" s="3362"/>
      <c r="H90" s="3362"/>
      <c r="I90" s="3362"/>
      <c r="J90" s="3362"/>
      <c r="K90" s="2343"/>
      <c r="L90" s="2343"/>
      <c r="M90" s="2343"/>
      <c r="N90" s="2343"/>
    </row>
    <row r="91" spans="1:37">
      <c r="A91" s="3364" t="s">
        <v>2792</v>
      </c>
      <c r="B91" s="3364" t="s">
        <v>2793</v>
      </c>
      <c r="C91" s="2297" t="s">
        <v>2794</v>
      </c>
      <c r="D91" s="2298"/>
      <c r="E91" s="2298"/>
      <c r="F91" s="2298"/>
      <c r="G91" s="2298"/>
      <c r="H91" s="2298"/>
      <c r="I91" s="2298"/>
      <c r="J91" s="2344"/>
      <c r="K91" s="2345"/>
      <c r="L91" s="2345"/>
      <c r="M91" s="2345"/>
      <c r="N91" s="2345"/>
    </row>
    <row r="92" spans="1:37">
      <c r="A92" s="3364"/>
      <c r="B92" s="336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5"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6"/>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5" t="s">
        <v>2796</v>
      </c>
      <c r="B101" s="2350" t="s">
        <v>2797</v>
      </c>
      <c r="C101" s="2351">
        <f>$G$3</f>
        <v>0.53</v>
      </c>
      <c r="D101" s="2351">
        <f t="shared" ref="D101:N101" si="31">$G$3</f>
        <v>0.53</v>
      </c>
      <c r="E101" s="2351">
        <f t="shared" si="31"/>
        <v>0.53</v>
      </c>
      <c r="F101" s="2351">
        <f t="shared" si="31"/>
        <v>0.53</v>
      </c>
      <c r="G101" s="2351">
        <f t="shared" si="31"/>
        <v>0.53</v>
      </c>
      <c r="H101" s="2351">
        <f t="shared" si="31"/>
        <v>0.53</v>
      </c>
      <c r="I101" s="2351">
        <f t="shared" si="31"/>
        <v>0.53</v>
      </c>
      <c r="J101" s="2351">
        <f t="shared" si="31"/>
        <v>0.53</v>
      </c>
      <c r="K101" s="2351">
        <f t="shared" si="31"/>
        <v>0.53</v>
      </c>
      <c r="L101" s="2351">
        <f t="shared" si="31"/>
        <v>0.53</v>
      </c>
      <c r="M101" s="2351">
        <f t="shared" si="31"/>
        <v>0.53</v>
      </c>
      <c r="N101" s="2351">
        <f t="shared" si="31"/>
        <v>0.53</v>
      </c>
    </row>
    <row r="102" spans="1:14">
      <c r="A102" s="3366"/>
      <c r="B102" s="2346">
        <v>1</v>
      </c>
      <c r="C102" s="2347">
        <f>1.9362/C101</f>
        <v>3.6532075471698109</v>
      </c>
      <c r="D102" s="2347">
        <f>1.9362/D101</f>
        <v>3.6532075471698109</v>
      </c>
      <c r="E102" s="2347">
        <f>1.8629/E101</f>
        <v>3.5149056603773583</v>
      </c>
      <c r="F102" s="2347">
        <f>1.8629/F101</f>
        <v>3.5149056603773583</v>
      </c>
      <c r="G102" s="2347">
        <f>1.8629/G101</f>
        <v>3.5149056603773583</v>
      </c>
      <c r="H102" s="2347">
        <f>1.8629/H101</f>
        <v>3.5149056603773583</v>
      </c>
      <c r="I102" s="2347">
        <f>1.8629/I101</f>
        <v>3.5149056603773583</v>
      </c>
      <c r="J102" s="2347">
        <f>1.942/J101</f>
        <v>3.6641509433962263</v>
      </c>
      <c r="K102" s="2347">
        <f>1.942/K101</f>
        <v>3.6641509433962263</v>
      </c>
      <c r="L102" s="2347">
        <f>1.942/L101</f>
        <v>3.6641509433962263</v>
      </c>
      <c r="M102" s="2347">
        <f>1.942/M101</f>
        <v>3.6641509433962263</v>
      </c>
      <c r="N102" s="2347">
        <f>1.942/N101</f>
        <v>3.6641509433962263</v>
      </c>
    </row>
    <row r="103" spans="1:14">
      <c r="A103" s="3366"/>
      <c r="B103" s="2346">
        <v>2</v>
      </c>
      <c r="C103" s="2347">
        <f>1.4198/C101</f>
        <v>2.6788679245283018</v>
      </c>
      <c r="D103" s="2347">
        <f>1.4198/D101</f>
        <v>2.6788679245283018</v>
      </c>
      <c r="E103" s="2347">
        <f>1.3372/E101</f>
        <v>2.5230188679245282</v>
      </c>
      <c r="F103" s="2347">
        <f>1.3372/F101</f>
        <v>2.5230188679245282</v>
      </c>
      <c r="G103" s="2347">
        <f>1.3372/G101</f>
        <v>2.5230188679245282</v>
      </c>
      <c r="H103" s="2347">
        <f>1.3372/H101</f>
        <v>2.5230188679245282</v>
      </c>
      <c r="I103" s="2347">
        <f>1.3372/I101</f>
        <v>2.5230188679245282</v>
      </c>
      <c r="J103" s="2347">
        <f>1.2799/J101</f>
        <v>2.4149056603773587</v>
      </c>
      <c r="K103" s="2347">
        <f>1.2799/K101</f>
        <v>2.4149056603773587</v>
      </c>
      <c r="L103" s="2347">
        <f>1.2799/L101</f>
        <v>2.4149056603773587</v>
      </c>
      <c r="M103" s="2347">
        <f>1.2799/M101</f>
        <v>2.4149056603773587</v>
      </c>
      <c r="N103" s="2347">
        <f>1.2799/N101</f>
        <v>2.4149056603773587</v>
      </c>
    </row>
    <row r="104" spans="1:14">
      <c r="A104" s="3366"/>
      <c r="B104" s="2346">
        <v>3</v>
      </c>
      <c r="C104" s="2347">
        <f>1.1594/C101</f>
        <v>2.1875471698113205</v>
      </c>
      <c r="D104" s="2347">
        <f>1.1594/D101</f>
        <v>2.1875471698113205</v>
      </c>
      <c r="E104" s="2347">
        <f>1.0788/E101</f>
        <v>2.0354716981132075</v>
      </c>
      <c r="F104" s="2347">
        <f>1.0788/F101</f>
        <v>2.0354716981132075</v>
      </c>
      <c r="G104" s="2347">
        <f>1.0788/G101</f>
        <v>2.0354716981132075</v>
      </c>
      <c r="H104" s="2347">
        <f>1.0788/H101</f>
        <v>2.0354716981132075</v>
      </c>
      <c r="I104" s="2347">
        <f>1.0788/I101</f>
        <v>2.0354716981132075</v>
      </c>
      <c r="J104" s="2347">
        <f>1.0072/J101</f>
        <v>1.9003773584905661</v>
      </c>
      <c r="K104" s="2347">
        <f>1.0072/K101</f>
        <v>1.9003773584905661</v>
      </c>
      <c r="L104" s="2347">
        <f>1.0072/L101</f>
        <v>1.9003773584905661</v>
      </c>
      <c r="M104" s="2347">
        <f>1.0072/M101</f>
        <v>1.9003773584905661</v>
      </c>
      <c r="N104" s="2347">
        <f>1.0072/N101</f>
        <v>1.9003773584905661</v>
      </c>
    </row>
    <row r="105" spans="1:14">
      <c r="A105" s="3366"/>
      <c r="B105" s="2346">
        <v>4</v>
      </c>
      <c r="C105" s="2347">
        <f>0.9622/C101</f>
        <v>1.8154716981132075</v>
      </c>
      <c r="D105" s="2347">
        <f>0.9622/D101</f>
        <v>1.8154716981132075</v>
      </c>
      <c r="E105" s="2347">
        <f>0.8656/E101</f>
        <v>1.6332075471698113</v>
      </c>
      <c r="F105" s="2347">
        <f>0.8656/F101</f>
        <v>1.6332075471698113</v>
      </c>
      <c r="G105" s="2347">
        <f>0.8656/G101</f>
        <v>1.6332075471698113</v>
      </c>
      <c r="H105" s="2347">
        <f>0.8656/H101</f>
        <v>1.6332075471698113</v>
      </c>
      <c r="I105" s="2347">
        <f>0.8656/I101</f>
        <v>1.6332075471698113</v>
      </c>
      <c r="J105" s="2347">
        <f>0.7525/J101</f>
        <v>1.4198113207547167</v>
      </c>
      <c r="K105" s="2347">
        <f>0.7525/K101</f>
        <v>1.4198113207547167</v>
      </c>
      <c r="L105" s="2347">
        <f>0.7525/L101</f>
        <v>1.4198113207547167</v>
      </c>
      <c r="M105" s="2347">
        <f>0.7525/M101</f>
        <v>1.4198113207547167</v>
      </c>
      <c r="N105" s="2347">
        <f>0.7525/N101</f>
        <v>1.4198113207547167</v>
      </c>
    </row>
    <row r="106" spans="1:14">
      <c r="A106" s="3366"/>
      <c r="B106" s="2346">
        <v>5</v>
      </c>
      <c r="C106" s="2347">
        <f>0.8417/C101</f>
        <v>1.5881132075471698</v>
      </c>
      <c r="D106" s="2347">
        <f>0.8417/D101</f>
        <v>1.5881132075471698</v>
      </c>
      <c r="E106" s="2347">
        <f>0.7371/E101</f>
        <v>1.3907547169811321</v>
      </c>
      <c r="F106" s="2347">
        <f>0.7371/F101</f>
        <v>1.3907547169811321</v>
      </c>
      <c r="G106" s="2347">
        <f>0.7371/G101</f>
        <v>1.3907547169811321</v>
      </c>
      <c r="H106" s="2347">
        <f>0.7371/H101</f>
        <v>1.3907547169811321</v>
      </c>
      <c r="I106" s="2347">
        <f>0.7371/I101</f>
        <v>1.3907547169811321</v>
      </c>
      <c r="J106" s="2347">
        <f>0.5659/J101</f>
        <v>1.0677358490566036</v>
      </c>
      <c r="K106" s="2347">
        <f>0.5659/K101</f>
        <v>1.0677358490566036</v>
      </c>
      <c r="L106" s="2347">
        <f>0.5659/L101</f>
        <v>1.0677358490566036</v>
      </c>
      <c r="M106" s="2347">
        <f>0.5659/M101</f>
        <v>1.0677358490566036</v>
      </c>
      <c r="N106" s="2347">
        <f>0.5659/N101</f>
        <v>1.0677358490566036</v>
      </c>
    </row>
    <row r="107" spans="1:14">
      <c r="A107" s="3366"/>
      <c r="B107" s="2346">
        <v>6</v>
      </c>
      <c r="C107" s="2347">
        <f>0.7608/C101</f>
        <v>1.4354716981132076</v>
      </c>
      <c r="D107" s="2347">
        <f>0.7608/D101</f>
        <v>1.4354716981132076</v>
      </c>
      <c r="E107" s="2347">
        <f>0.6482/E101</f>
        <v>1.2230188679245282</v>
      </c>
      <c r="F107" s="2347">
        <f>0.6482/F101</f>
        <v>1.2230188679245282</v>
      </c>
      <c r="G107" s="2347">
        <f>0.6482/G101</f>
        <v>1.2230188679245282</v>
      </c>
      <c r="H107" s="2347">
        <f>0.6482/H101</f>
        <v>1.2230188679245282</v>
      </c>
      <c r="I107" s="2347">
        <f>0.6482/I101</f>
        <v>1.2230188679245282</v>
      </c>
      <c r="J107" s="2347">
        <f>0.4525/J101</f>
        <v>0.85377358490566035</v>
      </c>
      <c r="K107" s="2347">
        <f>0.4525/K101</f>
        <v>0.85377358490566035</v>
      </c>
      <c r="L107" s="2347">
        <f>0.4525/L101</f>
        <v>0.85377358490566035</v>
      </c>
      <c r="M107" s="2347">
        <f>0.4525/M101</f>
        <v>0.85377358490566035</v>
      </c>
      <c r="N107" s="2347">
        <f>0.4525/N101</f>
        <v>0.85377358490566035</v>
      </c>
    </row>
    <row r="108" spans="1:14">
      <c r="A108" s="3366"/>
      <c r="B108" s="3368"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7"/>
      <c r="B109" s="3369"/>
      <c r="C109" s="2349">
        <f>(-0.163*(C108^2)-0.59*C108+7617)*(10^(-4))/C101</f>
        <v>1.4371698113207547</v>
      </c>
      <c r="D109" s="2349">
        <f>(-0.163*(D108^2)-0.59*D108+7617)*(10^(-4))/D101</f>
        <v>1.4371698113207547</v>
      </c>
      <c r="E109" s="2349">
        <f>(-0.161*(E108^2)-7.509*E108+6533)*(10^(-4))/E101</f>
        <v>1.2326415094339622</v>
      </c>
      <c r="F109" s="2349">
        <f>(-0.161*(F108^2)-7.509*F108+6533)*(10^(-4))/F101</f>
        <v>1.2326415094339622</v>
      </c>
      <c r="G109" s="2349">
        <f>(-0.161*(G108^2)-7.509*G108+6533)*(10^(-4))/G101</f>
        <v>1.2326415094339622</v>
      </c>
      <c r="H109" s="2349">
        <f>(-0.161*(H108^2)-7.509*H108+6533)*(10^(-4))/H101</f>
        <v>1.2326415094339622</v>
      </c>
      <c r="I109" s="2349">
        <f>(-0.161*(I108^2)-7.509*I108+6533)*(10^(-4))/I101</f>
        <v>1.2326415094339622</v>
      </c>
      <c r="J109" s="2349">
        <f>(-0.214*(J108^2)-21.991*J108+4665)*(10^(-4))/J101</f>
        <v>0.88018867924528299</v>
      </c>
      <c r="K109" s="2349">
        <f>(-0.214*(K108^2)-21.991*K108+4665)*(10^(-4))/K101</f>
        <v>0.88018867924528299</v>
      </c>
      <c r="L109" s="2349">
        <f>(-0.214*(L108^2)-21.991*L108+4665)*(10^(-4))/L101</f>
        <v>0.88018867924528299</v>
      </c>
      <c r="M109" s="2349">
        <f>(-0.214*(M108^2)-21.991*M108+4665)*(10^(-4))/M101</f>
        <v>0.88018867924528299</v>
      </c>
      <c r="N109" s="2349">
        <f>(-0.214*(N108^2)-21.991*N108+4665)*(10^(-4))/N101</f>
        <v>0.88018867924528299</v>
      </c>
    </row>
    <row r="110" spans="1:14">
      <c r="A110" s="3363" t="s">
        <v>2799</v>
      </c>
      <c r="B110" s="3363"/>
      <c r="C110" s="3363"/>
      <c r="D110" s="3363"/>
      <c r="E110" s="3363"/>
      <c r="F110" s="3363"/>
      <c r="G110" s="3363"/>
      <c r="H110" s="3363"/>
      <c r="I110" s="3363"/>
      <c r="J110" s="3363"/>
      <c r="K110" s="2352"/>
      <c r="L110" s="2352"/>
      <c r="M110" s="2352"/>
      <c r="N110" s="2352"/>
    </row>
    <row r="112" spans="1:14" ht="13.5" thickBot="1"/>
    <row r="113" spans="1:13" ht="25.5" thickBot="1">
      <c r="A113" s="842" t="s">
        <v>2800</v>
      </c>
      <c r="B113" s="1197">
        <f>G3</f>
        <v>0.53</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0.92849999999999999</v>
      </c>
      <c r="C115" s="849">
        <f>B115</f>
        <v>0.92849999999999999</v>
      </c>
      <c r="D115" s="849">
        <f>ROUND(0.8331-0.0109*B113,4)</f>
        <v>0.82730000000000004</v>
      </c>
      <c r="E115" s="849">
        <f>D115</f>
        <v>0.82730000000000004</v>
      </c>
      <c r="F115" s="849">
        <f>E115</f>
        <v>0.82730000000000004</v>
      </c>
      <c r="G115" s="849">
        <f>F115</f>
        <v>0.82730000000000004</v>
      </c>
      <c r="H115" s="849">
        <f>G115</f>
        <v>0.82730000000000004</v>
      </c>
      <c r="I115" s="849">
        <f>ROUND(0.689-0.0155*B113,4)</f>
        <v>0.68079999999999996</v>
      </c>
      <c r="J115" s="849">
        <f t="shared" ref="J115:M118" si="33">I115</f>
        <v>0.68079999999999996</v>
      </c>
      <c r="K115" s="849">
        <f t="shared" si="33"/>
        <v>0.68079999999999996</v>
      </c>
      <c r="L115" s="849">
        <f t="shared" si="33"/>
        <v>0.68079999999999996</v>
      </c>
      <c r="M115" s="850">
        <f t="shared" si="33"/>
        <v>0.68079999999999996</v>
      </c>
    </row>
    <row r="116" spans="1:13">
      <c r="A116" s="848" t="s">
        <v>2700</v>
      </c>
      <c r="B116" s="849">
        <f>ROUND(0.949-0.012*B113,4)</f>
        <v>0.94259999999999999</v>
      </c>
      <c r="C116" s="849">
        <f>B116</f>
        <v>0.94259999999999999</v>
      </c>
      <c r="D116" s="849">
        <f>ROUND(0.8567-0.013*B113,4)</f>
        <v>0.8498</v>
      </c>
      <c r="E116" s="849">
        <f t="shared" ref="E116:H117" si="34">D116</f>
        <v>0.8498</v>
      </c>
      <c r="F116" s="849">
        <f t="shared" si="34"/>
        <v>0.8498</v>
      </c>
      <c r="G116" s="849">
        <f t="shared" si="34"/>
        <v>0.8498</v>
      </c>
      <c r="H116" s="849">
        <f t="shared" si="34"/>
        <v>0.8498</v>
      </c>
      <c r="I116" s="849">
        <f>ROUND(0.7694-0.014*B113,4)</f>
        <v>0.76200000000000001</v>
      </c>
      <c r="J116" s="849">
        <f t="shared" si="33"/>
        <v>0.76200000000000001</v>
      </c>
      <c r="K116" s="849">
        <f t="shared" si="33"/>
        <v>0.76200000000000001</v>
      </c>
      <c r="L116" s="849">
        <f t="shared" si="33"/>
        <v>0.76200000000000001</v>
      </c>
      <c r="M116" s="850">
        <f t="shared" si="33"/>
        <v>0.76200000000000001</v>
      </c>
    </row>
    <row r="117" spans="1:13">
      <c r="A117" s="848" t="s">
        <v>2701</v>
      </c>
      <c r="B117" s="849">
        <f>ROUND(0.8808-0.006*B113,4)</f>
        <v>0.87760000000000005</v>
      </c>
      <c r="C117" s="849">
        <f>B117</f>
        <v>0.87760000000000005</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0.73619999999999997</v>
      </c>
      <c r="J117" s="849">
        <f t="shared" si="33"/>
        <v>0.73619999999999997</v>
      </c>
      <c r="K117" s="849">
        <f t="shared" si="33"/>
        <v>0.73619999999999997</v>
      </c>
      <c r="L117" s="849">
        <f t="shared" si="33"/>
        <v>0.73619999999999997</v>
      </c>
      <c r="M117" s="850">
        <f t="shared" si="33"/>
        <v>0.73619999999999997</v>
      </c>
    </row>
    <row r="118" spans="1:13" ht="13.5" thickBot="1">
      <c r="A118" s="670" t="s">
        <v>2702</v>
      </c>
      <c r="B118" s="851">
        <f>ROUND(0.7275-0.01*B113,4)</f>
        <v>0.72219999999999995</v>
      </c>
      <c r="C118" s="851">
        <f>B118</f>
        <v>0.72219999999999995</v>
      </c>
      <c r="D118" s="851">
        <f>ROUND(0.7043-0.012*B113,4)</f>
        <v>0.69789999999999996</v>
      </c>
      <c r="E118" s="851">
        <f>D118</f>
        <v>0.69789999999999996</v>
      </c>
      <c r="F118" s="851">
        <f>E118</f>
        <v>0.69789999999999996</v>
      </c>
      <c r="G118" s="851">
        <f>ROUND(0.6299-0.0122*B113,4)</f>
        <v>0.62339999999999995</v>
      </c>
      <c r="H118" s="851">
        <f>G118</f>
        <v>0.62339999999999995</v>
      </c>
      <c r="I118" s="851">
        <f>ROUND(0.5667-0.0136*B113,4)</f>
        <v>0.5595</v>
      </c>
      <c r="J118" s="851">
        <f t="shared" si="33"/>
        <v>0.5595</v>
      </c>
      <c r="K118" s="851">
        <f t="shared" si="33"/>
        <v>0.5595</v>
      </c>
      <c r="L118" s="851">
        <f t="shared" si="33"/>
        <v>0.5595</v>
      </c>
      <c r="M118" s="852">
        <f t="shared" si="33"/>
        <v>0.5595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6" t="s">
        <v>183</v>
      </c>
      <c r="B18" s="821" t="s">
        <v>560</v>
      </c>
      <c r="C18" s="822" t="s">
        <v>561</v>
      </c>
      <c r="D18" s="823"/>
      <c r="E18" s="821">
        <v>1</v>
      </c>
      <c r="F18" s="824" t="s">
        <v>562</v>
      </c>
      <c r="G18" s="825"/>
      <c r="H18" s="817"/>
      <c r="I18" s="817"/>
    </row>
    <row r="19" spans="1:9" s="826" customFormat="1" ht="19.5" customHeight="1">
      <c r="A19" s="3386"/>
      <c r="B19" s="3386" t="s">
        <v>563</v>
      </c>
      <c r="C19" s="822" t="s">
        <v>564</v>
      </c>
      <c r="D19" s="823"/>
      <c r="E19" s="821">
        <v>0.9</v>
      </c>
      <c r="F19" s="824" t="s">
        <v>565</v>
      </c>
      <c r="G19" s="825"/>
      <c r="H19" s="817"/>
      <c r="I19" s="817"/>
    </row>
    <row r="20" spans="1:9" s="826" customFormat="1" ht="19.5" customHeight="1">
      <c r="A20" s="3386"/>
      <c r="B20" s="3386"/>
      <c r="C20" s="822" t="s">
        <v>566</v>
      </c>
      <c r="D20" s="823"/>
      <c r="E20" s="821">
        <v>1.1000000000000001</v>
      </c>
      <c r="F20" s="824" t="s">
        <v>567</v>
      </c>
      <c r="G20" s="825"/>
      <c r="H20" s="817"/>
      <c r="I20" s="817"/>
    </row>
    <row r="21" spans="1:9" s="826" customFormat="1" ht="19.5" customHeight="1">
      <c r="A21" s="3386"/>
      <c r="B21" s="3386"/>
      <c r="C21" s="822" t="s">
        <v>568</v>
      </c>
      <c r="D21" s="823"/>
      <c r="E21" s="821">
        <v>0.8</v>
      </c>
      <c r="F21" s="824" t="s">
        <v>569</v>
      </c>
      <c r="G21" s="825"/>
      <c r="H21" s="817"/>
      <c r="I21" s="817"/>
    </row>
    <row r="22" spans="1:9" s="826" customFormat="1" ht="19.5" customHeight="1">
      <c r="A22" s="3386"/>
      <c r="B22" s="3386"/>
      <c r="C22" s="822" t="s">
        <v>570</v>
      </c>
      <c r="D22" s="823"/>
      <c r="E22" s="821">
        <v>0.5</v>
      </c>
      <c r="F22" s="824"/>
      <c r="G22" s="825"/>
      <c r="H22" s="817"/>
      <c r="I22" s="817"/>
    </row>
    <row r="23" spans="1:9" s="826" customFormat="1" ht="19.5" customHeight="1">
      <c r="A23" s="3386" t="s">
        <v>184</v>
      </c>
      <c r="B23" s="821" t="s">
        <v>560</v>
      </c>
      <c r="C23" s="822" t="s">
        <v>571</v>
      </c>
      <c r="D23" s="823"/>
      <c r="E23" s="821">
        <v>1</v>
      </c>
      <c r="F23" s="824" t="s">
        <v>572</v>
      </c>
      <c r="G23" s="825"/>
      <c r="H23" s="817"/>
      <c r="I23" s="817"/>
    </row>
    <row r="24" spans="1:9" s="826" customFormat="1" ht="19.5" customHeight="1">
      <c r="A24" s="3386"/>
      <c r="B24" s="3386" t="s">
        <v>563</v>
      </c>
      <c r="C24" s="822" t="s">
        <v>573</v>
      </c>
      <c r="D24" s="823"/>
      <c r="E24" s="821">
        <v>0.5</v>
      </c>
      <c r="F24" s="824"/>
      <c r="G24" s="825"/>
      <c r="H24" s="817"/>
      <c r="I24" s="817"/>
    </row>
    <row r="25" spans="1:9" s="826" customFormat="1" ht="19.5" customHeight="1">
      <c r="A25" s="3386"/>
      <c r="B25" s="3386"/>
      <c r="C25" s="822" t="s">
        <v>574</v>
      </c>
      <c r="D25" s="823"/>
      <c r="E25" s="821">
        <v>1.1000000000000001</v>
      </c>
      <c r="F25" s="824"/>
      <c r="G25" s="825"/>
      <c r="H25" s="817"/>
      <c r="I25" s="817"/>
    </row>
    <row r="26" spans="1:9" s="826" customFormat="1" ht="19.5" customHeight="1">
      <c r="A26" s="3386"/>
      <c r="B26" s="3386"/>
      <c r="C26" s="822" t="s">
        <v>575</v>
      </c>
      <c r="D26" s="823"/>
      <c r="E26" s="821">
        <v>1.1000000000000001</v>
      </c>
      <c r="F26" s="824"/>
      <c r="G26" s="825"/>
      <c r="H26" s="817"/>
      <c r="I26" s="817"/>
    </row>
    <row r="27" spans="1:9" s="826" customFormat="1" ht="19.5" customHeight="1">
      <c r="A27" s="3386"/>
      <c r="B27" s="3386"/>
      <c r="C27" s="822" t="s">
        <v>576</v>
      </c>
      <c r="D27" s="823"/>
      <c r="E27" s="821">
        <v>0.9</v>
      </c>
      <c r="F27" s="824" t="s">
        <v>577</v>
      </c>
      <c r="G27" s="825"/>
      <c r="H27" s="817"/>
      <c r="I27" s="817"/>
    </row>
    <row r="28" spans="1:9" s="826" customFormat="1" ht="19.5" customHeight="1">
      <c r="A28" s="3386"/>
      <c r="B28" s="3386"/>
      <c r="C28" s="822" t="s">
        <v>578</v>
      </c>
      <c r="D28" s="823"/>
      <c r="E28" s="821">
        <v>0.9</v>
      </c>
      <c r="F28" s="824" t="s">
        <v>579</v>
      </c>
      <c r="G28" s="825"/>
      <c r="H28" s="817"/>
      <c r="I28" s="817"/>
    </row>
    <row r="29" spans="1:9" s="826" customFormat="1" ht="19.5" customHeight="1">
      <c r="A29" s="3386"/>
      <c r="B29" s="3386"/>
      <c r="C29" s="822" t="s">
        <v>580</v>
      </c>
      <c r="D29" s="823"/>
      <c r="E29" s="821">
        <v>0.9</v>
      </c>
      <c r="F29" s="824" t="s">
        <v>581</v>
      </c>
      <c r="G29" s="825"/>
      <c r="H29" s="817"/>
      <c r="I29" s="817"/>
    </row>
    <row r="30" spans="1:9" s="826" customFormat="1" ht="19.5" customHeight="1">
      <c r="A30" s="3386"/>
      <c r="B30" s="3386"/>
      <c r="C30" s="822" t="s">
        <v>582</v>
      </c>
      <c r="D30" s="823"/>
      <c r="E30" s="821">
        <v>0.9</v>
      </c>
      <c r="F30" s="824" t="s">
        <v>583</v>
      </c>
      <c r="G30" s="825"/>
      <c r="H30" s="817"/>
      <c r="I30" s="817"/>
    </row>
    <row r="31" spans="1:9" s="826" customFormat="1" ht="19.5" customHeight="1">
      <c r="A31" s="3386"/>
      <c r="B31" s="3386"/>
      <c r="C31" s="822" t="s">
        <v>584</v>
      </c>
      <c r="D31" s="823"/>
      <c r="E31" s="821">
        <v>0.8</v>
      </c>
      <c r="F31" s="824" t="s">
        <v>585</v>
      </c>
      <c r="G31" s="825"/>
      <c r="H31" s="817"/>
      <c r="I31" s="817"/>
    </row>
    <row r="32" spans="1:9" s="826" customFormat="1" ht="19.5" customHeight="1">
      <c r="A32" s="3386"/>
      <c r="B32" s="3386"/>
      <c r="C32" s="822" t="s">
        <v>586</v>
      </c>
      <c r="D32" s="823"/>
      <c r="E32" s="821">
        <v>0.8</v>
      </c>
      <c r="F32" s="824" t="s">
        <v>587</v>
      </c>
      <c r="G32" s="825"/>
      <c r="H32" s="817"/>
      <c r="I32" s="817"/>
    </row>
    <row r="33" spans="1:9" s="826" customFormat="1" ht="19.5" customHeight="1">
      <c r="A33" s="3386" t="s">
        <v>185</v>
      </c>
      <c r="B33" s="821" t="s">
        <v>560</v>
      </c>
      <c r="C33" s="822" t="s">
        <v>588</v>
      </c>
      <c r="D33" s="823"/>
      <c r="E33" s="821">
        <v>1</v>
      </c>
      <c r="F33" s="824" t="s">
        <v>589</v>
      </c>
      <c r="G33" s="825"/>
      <c r="H33" s="817"/>
      <c r="I33" s="817"/>
    </row>
    <row r="34" spans="1:9" s="826" customFormat="1" ht="19.5" customHeight="1">
      <c r="A34" s="3386"/>
      <c r="B34" s="821" t="s">
        <v>563</v>
      </c>
      <c r="C34" s="822" t="s">
        <v>590</v>
      </c>
      <c r="D34" s="823"/>
      <c r="E34" s="821">
        <v>1.5</v>
      </c>
      <c r="F34" s="824" t="s">
        <v>591</v>
      </c>
      <c r="G34" s="825"/>
      <c r="H34" s="817"/>
      <c r="I34" s="817"/>
    </row>
    <row r="35" spans="1:9" s="826" customFormat="1" ht="19.5" customHeight="1">
      <c r="A35" s="3386" t="s">
        <v>186</v>
      </c>
      <c r="B35" s="821" t="s">
        <v>560</v>
      </c>
      <c r="C35" s="822" t="s">
        <v>592</v>
      </c>
      <c r="D35" s="823"/>
      <c r="E35" s="821">
        <v>1</v>
      </c>
      <c r="F35" s="824" t="s">
        <v>593</v>
      </c>
      <c r="G35" s="825"/>
      <c r="H35" s="817"/>
      <c r="I35" s="817"/>
    </row>
    <row r="36" spans="1:9" s="826" customFormat="1" ht="19.5" customHeight="1">
      <c r="A36" s="3386"/>
      <c r="B36" s="3386" t="s">
        <v>563</v>
      </c>
      <c r="C36" s="822" t="s">
        <v>594</v>
      </c>
      <c r="D36" s="823"/>
      <c r="E36" s="821">
        <v>1</v>
      </c>
      <c r="F36" s="824" t="s">
        <v>595</v>
      </c>
      <c r="G36" s="825"/>
      <c r="H36" s="817"/>
      <c r="I36" s="817"/>
    </row>
    <row r="37" spans="1:9" s="826" customFormat="1" ht="19.5" customHeight="1">
      <c r="A37" s="3386"/>
      <c r="B37" s="3386"/>
      <c r="C37" s="822" t="s">
        <v>596</v>
      </c>
      <c r="D37" s="823"/>
      <c r="E37" s="821">
        <v>1.5</v>
      </c>
      <c r="F37" s="824" t="s">
        <v>597</v>
      </c>
      <c r="G37" s="825"/>
      <c r="H37" s="817"/>
      <c r="I37" s="817"/>
    </row>
    <row r="38" spans="1:9" s="826" customFormat="1" ht="19.5" customHeight="1">
      <c r="A38" s="3386"/>
      <c r="B38" s="3386"/>
      <c r="C38" s="822" t="s">
        <v>598</v>
      </c>
      <c r="D38" s="823"/>
      <c r="E38" s="821">
        <v>1</v>
      </c>
      <c r="F38" s="824" t="s">
        <v>599</v>
      </c>
      <c r="G38" s="825"/>
      <c r="H38" s="817"/>
      <c r="I38" s="817"/>
    </row>
    <row r="39" spans="1:9" s="826" customFormat="1" ht="19.5" customHeight="1">
      <c r="A39" s="3386"/>
      <c r="B39" s="33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6" t="s">
        <v>614</v>
      </c>
      <c r="C61" s="757" t="s">
        <v>615</v>
      </c>
      <c r="D61" s="757" t="s">
        <v>616</v>
      </c>
      <c r="E61" s="834">
        <v>0.5</v>
      </c>
      <c r="F61" s="821">
        <v>80</v>
      </c>
    </row>
    <row r="62" spans="1:8" s="817" customFormat="1" ht="24">
      <c r="A62" s="821">
        <v>2</v>
      </c>
      <c r="B62" s="3386"/>
      <c r="C62" s="757" t="s">
        <v>617</v>
      </c>
      <c r="D62" s="757" t="s">
        <v>618</v>
      </c>
      <c r="E62" s="834">
        <v>0.5</v>
      </c>
      <c r="F62" s="821">
        <v>80</v>
      </c>
    </row>
    <row r="63" spans="1:8" s="817" customFormat="1" ht="36">
      <c r="A63" s="821">
        <v>3</v>
      </c>
      <c r="B63" s="3386"/>
      <c r="C63" s="757" t="s">
        <v>619</v>
      </c>
      <c r="D63" s="757" t="s">
        <v>620</v>
      </c>
      <c r="E63" s="834">
        <v>0.5</v>
      </c>
      <c r="F63" s="821">
        <v>80</v>
      </c>
    </row>
    <row r="64" spans="1:8" s="817" customFormat="1" ht="36">
      <c r="A64" s="821">
        <v>4</v>
      </c>
      <c r="B64" s="3386"/>
      <c r="C64" s="757" t="s">
        <v>621</v>
      </c>
      <c r="D64" s="757" t="s">
        <v>622</v>
      </c>
      <c r="E64" s="834">
        <v>0.4</v>
      </c>
      <c r="F64" s="821">
        <v>60</v>
      </c>
    </row>
    <row r="65" spans="1:6" s="817" customFormat="1" ht="36">
      <c r="A65" s="821">
        <v>5</v>
      </c>
      <c r="B65" s="3386"/>
      <c r="C65" s="757" t="s">
        <v>623</v>
      </c>
      <c r="D65" s="757" t="s">
        <v>624</v>
      </c>
      <c r="E65" s="834">
        <v>0.2</v>
      </c>
      <c r="F65" s="821">
        <v>30</v>
      </c>
    </row>
    <row r="66" spans="1:6" s="817" customFormat="1" ht="36">
      <c r="A66" s="821">
        <v>6</v>
      </c>
      <c r="B66" s="3386"/>
      <c r="C66" s="757" t="s">
        <v>625</v>
      </c>
      <c r="D66" s="757" t="s">
        <v>626</v>
      </c>
      <c r="E66" s="834">
        <v>0.3</v>
      </c>
      <c r="F66" s="821">
        <v>50</v>
      </c>
    </row>
    <row r="67" spans="1:6" s="817" customFormat="1" ht="36">
      <c r="A67" s="821">
        <v>7</v>
      </c>
      <c r="B67" s="3386"/>
      <c r="C67" s="757" t="s">
        <v>627</v>
      </c>
      <c r="D67" s="757" t="s">
        <v>628</v>
      </c>
      <c r="E67" s="834">
        <v>0.2</v>
      </c>
      <c r="F67" s="821">
        <v>30</v>
      </c>
    </row>
    <row r="68" spans="1:6" s="817" customFormat="1" ht="36">
      <c r="A68" s="821">
        <v>8</v>
      </c>
      <c r="B68" s="3386"/>
      <c r="C68" s="757" t="s">
        <v>629</v>
      </c>
      <c r="D68" s="757" t="s">
        <v>630</v>
      </c>
      <c r="E68" s="834">
        <v>0.2</v>
      </c>
      <c r="F68" s="821">
        <v>30</v>
      </c>
    </row>
    <row r="69" spans="1:6" s="817" customFormat="1" ht="36">
      <c r="A69" s="821">
        <v>9</v>
      </c>
      <c r="B69" s="3386"/>
      <c r="C69" s="757" t="s">
        <v>631</v>
      </c>
      <c r="D69" s="757" t="s">
        <v>632</v>
      </c>
      <c r="E69" s="834">
        <v>0.2</v>
      </c>
      <c r="F69" s="821">
        <v>30</v>
      </c>
    </row>
    <row r="70" spans="1:6" s="817" customFormat="1" ht="48">
      <c r="A70" s="821">
        <v>10</v>
      </c>
      <c r="B70" s="3386"/>
      <c r="C70" s="757" t="s">
        <v>633</v>
      </c>
      <c r="D70" s="757" t="s">
        <v>634</v>
      </c>
      <c r="E70" s="834">
        <v>0.2</v>
      </c>
      <c r="F70" s="821">
        <v>30</v>
      </c>
    </row>
    <row r="71" spans="1:6" s="817" customFormat="1" ht="48">
      <c r="A71" s="821">
        <v>11</v>
      </c>
      <c r="B71" s="3386"/>
      <c r="C71" s="757" t="s">
        <v>635</v>
      </c>
      <c r="D71" s="757" t="s">
        <v>636</v>
      </c>
      <c r="E71" s="834">
        <v>0.2</v>
      </c>
      <c r="F71" s="821">
        <v>30</v>
      </c>
    </row>
    <row r="72" spans="1:6" s="817" customFormat="1" ht="36">
      <c r="A72" s="821">
        <v>12</v>
      </c>
      <c r="B72" s="3386"/>
      <c r="C72" s="757" t="s">
        <v>637</v>
      </c>
      <c r="D72" s="757" t="s">
        <v>638</v>
      </c>
      <c r="E72" s="834">
        <v>0.5</v>
      </c>
      <c r="F72" s="821">
        <v>80</v>
      </c>
    </row>
    <row r="73" spans="1:6" s="817" customFormat="1" ht="24">
      <c r="A73" s="821">
        <v>13</v>
      </c>
      <c r="B73" s="3386"/>
      <c r="C73" s="757" t="s">
        <v>639</v>
      </c>
      <c r="D73" s="757" t="s">
        <v>640</v>
      </c>
      <c r="E73" s="834">
        <v>0.4</v>
      </c>
      <c r="F73" s="821">
        <v>60</v>
      </c>
    </row>
    <row r="74" spans="1:6" s="817" customFormat="1" ht="24">
      <c r="A74" s="821">
        <v>14</v>
      </c>
      <c r="B74" s="3386"/>
      <c r="C74" s="757" t="s">
        <v>641</v>
      </c>
      <c r="D74" s="757" t="s">
        <v>642</v>
      </c>
      <c r="E74" s="834">
        <v>0.2</v>
      </c>
      <c r="F74" s="821">
        <v>30</v>
      </c>
    </row>
    <row r="75" spans="1:6" s="817" customFormat="1" ht="24">
      <c r="A75" s="821">
        <v>15</v>
      </c>
      <c r="B75" s="3386"/>
      <c r="C75" s="757" t="s">
        <v>643</v>
      </c>
      <c r="D75" s="757" t="s">
        <v>644</v>
      </c>
      <c r="E75" s="834">
        <v>0.2</v>
      </c>
      <c r="F75" s="821">
        <v>30</v>
      </c>
    </row>
    <row r="76" spans="1:6" s="817" customFormat="1" ht="24">
      <c r="A76" s="821">
        <v>16</v>
      </c>
      <c r="B76" s="3386" t="s">
        <v>645</v>
      </c>
      <c r="C76" s="757" t="s">
        <v>646</v>
      </c>
      <c r="D76" s="757" t="s">
        <v>647</v>
      </c>
      <c r="E76" s="834">
        <v>0.5</v>
      </c>
      <c r="F76" s="821">
        <v>80</v>
      </c>
    </row>
    <row r="77" spans="1:6" s="817" customFormat="1" ht="24">
      <c r="A77" s="821">
        <v>17</v>
      </c>
      <c r="B77" s="3386"/>
      <c r="C77" s="757" t="s">
        <v>648</v>
      </c>
      <c r="D77" s="757" t="s">
        <v>649</v>
      </c>
      <c r="E77" s="834">
        <v>0.5</v>
      </c>
      <c r="F77" s="821">
        <v>80</v>
      </c>
    </row>
    <row r="78" spans="1:6" s="817" customFormat="1" ht="24">
      <c r="A78" s="821">
        <v>18</v>
      </c>
      <c r="B78" s="3386"/>
      <c r="C78" s="757" t="s">
        <v>650</v>
      </c>
      <c r="D78" s="757" t="s">
        <v>651</v>
      </c>
      <c r="E78" s="834">
        <v>0.2</v>
      </c>
      <c r="F78" s="821">
        <v>30</v>
      </c>
    </row>
    <row r="79" spans="1:6" s="817" customFormat="1" ht="24">
      <c r="A79" s="821">
        <v>19</v>
      </c>
      <c r="B79" s="3386"/>
      <c r="C79" s="757" t="s">
        <v>652</v>
      </c>
      <c r="D79" s="757" t="s">
        <v>653</v>
      </c>
      <c r="E79" s="834">
        <v>0.5</v>
      </c>
      <c r="F79" s="821">
        <v>80</v>
      </c>
    </row>
    <row r="80" spans="1:6" s="817" customFormat="1" ht="36">
      <c r="A80" s="821">
        <v>20</v>
      </c>
      <c r="B80" s="3386"/>
      <c r="C80" s="757" t="s">
        <v>654</v>
      </c>
      <c r="D80" s="757" t="s">
        <v>655</v>
      </c>
      <c r="E80" s="834">
        <v>0.2</v>
      </c>
      <c r="F80" s="821">
        <v>30</v>
      </c>
    </row>
    <row r="81" spans="1:6" s="817" customFormat="1" ht="36">
      <c r="A81" s="821">
        <v>21</v>
      </c>
      <c r="B81" s="3386"/>
      <c r="C81" s="757" t="s">
        <v>656</v>
      </c>
      <c r="D81" s="757" t="s">
        <v>657</v>
      </c>
      <c r="E81" s="834">
        <v>0.2</v>
      </c>
      <c r="F81" s="821">
        <v>30</v>
      </c>
    </row>
    <row r="82" spans="1:6" s="817" customFormat="1" ht="48">
      <c r="A82" s="821">
        <v>22</v>
      </c>
      <c r="B82" s="3386"/>
      <c r="C82" s="757" t="s">
        <v>658</v>
      </c>
      <c r="D82" s="757" t="s">
        <v>659</v>
      </c>
      <c r="E82" s="834">
        <v>0.2</v>
      </c>
      <c r="F82" s="821">
        <v>30</v>
      </c>
    </row>
    <row r="83" spans="1:6" s="817" customFormat="1" ht="48">
      <c r="A83" s="821">
        <v>23</v>
      </c>
      <c r="B83" s="3386"/>
      <c r="C83" s="757" t="s">
        <v>660</v>
      </c>
      <c r="D83" s="757" t="s">
        <v>661</v>
      </c>
      <c r="E83" s="834">
        <v>0.2</v>
      </c>
      <c r="F83" s="821">
        <v>30</v>
      </c>
    </row>
    <row r="84" spans="1:6" s="817" customFormat="1" ht="36">
      <c r="A84" s="821">
        <v>24</v>
      </c>
      <c r="B84" s="3386"/>
      <c r="C84" s="757" t="s">
        <v>662</v>
      </c>
      <c r="D84" s="757" t="s">
        <v>663</v>
      </c>
      <c r="E84" s="834">
        <v>0.2</v>
      </c>
      <c r="F84" s="821">
        <v>30</v>
      </c>
    </row>
    <row r="85" spans="1:6" s="817" customFormat="1" ht="36">
      <c r="A85" s="821">
        <v>25</v>
      </c>
      <c r="B85" s="3386"/>
      <c r="C85" s="757" t="s">
        <v>664</v>
      </c>
      <c r="D85" s="757" t="s">
        <v>665</v>
      </c>
      <c r="E85" s="834">
        <v>0.5</v>
      </c>
      <c r="F85" s="821">
        <v>80</v>
      </c>
    </row>
    <row r="86" spans="1:6" s="817" customFormat="1" ht="36">
      <c r="A86" s="821">
        <v>26</v>
      </c>
      <c r="B86" s="3386"/>
      <c r="C86" s="757" t="s">
        <v>666</v>
      </c>
      <c r="D86" s="757" t="s">
        <v>667</v>
      </c>
      <c r="E86" s="834">
        <v>0.2</v>
      </c>
      <c r="F86" s="821">
        <v>30</v>
      </c>
    </row>
    <row r="87" spans="1:6" s="817" customFormat="1" ht="36">
      <c r="A87" s="821">
        <v>27</v>
      </c>
      <c r="B87" s="3386"/>
      <c r="C87" s="757" t="s">
        <v>668</v>
      </c>
      <c r="D87" s="757" t="s">
        <v>669</v>
      </c>
      <c r="E87" s="834">
        <v>0.2</v>
      </c>
      <c r="F87" s="821">
        <v>30</v>
      </c>
    </row>
    <row r="88" spans="1:6" s="817" customFormat="1" ht="36">
      <c r="A88" s="821">
        <v>28</v>
      </c>
      <c r="B88" s="3386"/>
      <c r="C88" s="757" t="s">
        <v>670</v>
      </c>
      <c r="D88" s="757" t="s">
        <v>671</v>
      </c>
      <c r="E88" s="834">
        <v>0.2</v>
      </c>
      <c r="F88" s="821">
        <v>30</v>
      </c>
    </row>
    <row r="89" spans="1:6" s="817" customFormat="1" ht="24">
      <c r="A89" s="821">
        <v>29</v>
      </c>
      <c r="B89" s="3386"/>
      <c r="C89" s="757" t="s">
        <v>672</v>
      </c>
      <c r="D89" s="757" t="s">
        <v>673</v>
      </c>
      <c r="E89" s="834">
        <v>0.2</v>
      </c>
      <c r="F89" s="821">
        <v>30</v>
      </c>
    </row>
    <row r="90" spans="1:6" s="817" customFormat="1" ht="24">
      <c r="A90" s="821">
        <v>30</v>
      </c>
      <c r="B90" s="3386"/>
      <c r="C90" s="757" t="s">
        <v>674</v>
      </c>
      <c r="D90" s="757" t="s">
        <v>675</v>
      </c>
      <c r="E90" s="834">
        <v>0.2</v>
      </c>
      <c r="F90" s="821">
        <v>30</v>
      </c>
    </row>
    <row r="91" spans="1:6" s="817" customFormat="1" ht="36">
      <c r="A91" s="821">
        <v>31</v>
      </c>
      <c r="B91" s="3386"/>
      <c r="C91" s="757" t="s">
        <v>676</v>
      </c>
      <c r="D91" s="757" t="s">
        <v>677</v>
      </c>
      <c r="E91" s="834">
        <v>0.2</v>
      </c>
      <c r="F91" s="821">
        <v>30</v>
      </c>
    </row>
    <row r="92" spans="1:6" s="817" customFormat="1" ht="24">
      <c r="A92" s="821">
        <v>32</v>
      </c>
      <c r="B92" s="3386" t="s">
        <v>678</v>
      </c>
      <c r="C92" s="821" t="s">
        <v>679</v>
      </c>
      <c r="D92" s="757" t="s">
        <v>680</v>
      </c>
      <c r="E92" s="834">
        <v>0.2</v>
      </c>
      <c r="F92" s="821">
        <v>30</v>
      </c>
    </row>
    <row r="93" spans="1:6" s="817" customFormat="1" ht="36">
      <c r="A93" s="821">
        <v>33</v>
      </c>
      <c r="B93" s="3386"/>
      <c r="C93" s="821" t="s">
        <v>681</v>
      </c>
      <c r="D93" s="757" t="s">
        <v>682</v>
      </c>
      <c r="E93" s="834">
        <v>0.2</v>
      </c>
      <c r="F93" s="821">
        <v>30</v>
      </c>
    </row>
    <row r="94" spans="1:6" s="817" customFormat="1" ht="48">
      <c r="A94" s="821">
        <v>34</v>
      </c>
      <c r="B94" s="3386"/>
      <c r="C94" s="821" t="s">
        <v>683</v>
      </c>
      <c r="D94" s="757" t="s">
        <v>684</v>
      </c>
      <c r="E94" s="834">
        <v>0.2</v>
      </c>
      <c r="F94" s="821">
        <v>30</v>
      </c>
    </row>
    <row r="95" spans="1:6" s="817" customFormat="1" ht="36">
      <c r="A95" s="821">
        <v>35</v>
      </c>
      <c r="B95" s="3386"/>
      <c r="C95" s="821" t="s">
        <v>685</v>
      </c>
      <c r="D95" s="757" t="s">
        <v>686</v>
      </c>
      <c r="E95" s="834">
        <v>0.2</v>
      </c>
      <c r="F95" s="821">
        <v>30</v>
      </c>
    </row>
    <row r="96" spans="1:6" s="817" customFormat="1" ht="48">
      <c r="A96" s="821">
        <v>36</v>
      </c>
      <c r="B96" s="3386"/>
      <c r="C96" s="757" t="s">
        <v>687</v>
      </c>
      <c r="D96" s="757" t="s">
        <v>688</v>
      </c>
      <c r="E96" s="834">
        <v>0.2</v>
      </c>
      <c r="F96" s="821">
        <v>30</v>
      </c>
    </row>
    <row r="97" spans="1:6" s="817" customFormat="1" ht="36">
      <c r="A97" s="821">
        <v>37</v>
      </c>
      <c r="B97" s="3386"/>
      <c r="C97" s="821" t="s">
        <v>689</v>
      </c>
      <c r="D97" s="757" t="s">
        <v>690</v>
      </c>
      <c r="E97" s="834">
        <v>0.2</v>
      </c>
      <c r="F97" s="821">
        <v>30</v>
      </c>
    </row>
    <row r="98" spans="1:6" s="817" customFormat="1" ht="36">
      <c r="A98" s="821">
        <v>38</v>
      </c>
      <c r="B98" s="3386"/>
      <c r="C98" s="821" t="s">
        <v>691</v>
      </c>
      <c r="D98" s="757" t="s">
        <v>692</v>
      </c>
      <c r="E98" s="834">
        <v>0.2</v>
      </c>
      <c r="F98" s="821">
        <v>30</v>
      </c>
    </row>
    <row r="99" spans="1:6" s="817" customFormat="1" ht="36">
      <c r="A99" s="821">
        <v>39</v>
      </c>
      <c r="B99" s="3386" t="s">
        <v>693</v>
      </c>
      <c r="C99" s="821" t="s">
        <v>694</v>
      </c>
      <c r="D99" s="757" t="s">
        <v>695</v>
      </c>
      <c r="E99" s="834">
        <v>0.3</v>
      </c>
      <c r="F99" s="821">
        <v>50</v>
      </c>
    </row>
    <row r="100" spans="1:6" s="817" customFormat="1" ht="24">
      <c r="A100" s="821">
        <v>40</v>
      </c>
      <c r="B100" s="3386"/>
      <c r="C100" s="821" t="s">
        <v>696</v>
      </c>
      <c r="D100" s="757" t="s">
        <v>697</v>
      </c>
      <c r="E100" s="834">
        <v>0.2</v>
      </c>
      <c r="F100" s="821">
        <v>30</v>
      </c>
    </row>
    <row r="101" spans="1:6" s="817" customFormat="1" ht="36">
      <c r="A101" s="821">
        <v>41</v>
      </c>
      <c r="B101" s="33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6" t="s">
        <v>708</v>
      </c>
      <c r="C105" s="821" t="s">
        <v>709</v>
      </c>
      <c r="D105" s="757" t="s">
        <v>710</v>
      </c>
      <c r="E105" s="834">
        <v>0.2</v>
      </c>
      <c r="F105" s="821">
        <v>30</v>
      </c>
    </row>
    <row r="106" spans="1:6" s="817" customFormat="1" ht="36">
      <c r="A106" s="821">
        <v>46</v>
      </c>
      <c r="B106" s="3386"/>
      <c r="C106" s="821" t="s">
        <v>711</v>
      </c>
      <c r="D106" s="757" t="s">
        <v>712</v>
      </c>
      <c r="E106" s="834">
        <v>0.2</v>
      </c>
      <c r="F106" s="821">
        <v>30</v>
      </c>
    </row>
    <row r="107" spans="1:6" s="817" customFormat="1" ht="36">
      <c r="A107" s="821">
        <v>47</v>
      </c>
      <c r="B107" s="3386" t="s">
        <v>713</v>
      </c>
      <c r="C107" s="821" t="s">
        <v>714</v>
      </c>
      <c r="D107" s="757" t="s">
        <v>715</v>
      </c>
      <c r="E107" s="834">
        <v>0.3</v>
      </c>
      <c r="F107" s="821">
        <v>50</v>
      </c>
    </row>
    <row r="108" spans="1:6" s="817" customFormat="1" ht="36">
      <c r="A108" s="821">
        <v>48</v>
      </c>
      <c r="B108" s="33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6" t="s">
        <v>724</v>
      </c>
      <c r="C111" s="821" t="s">
        <v>725</v>
      </c>
      <c r="D111" s="757" t="s">
        <v>726</v>
      </c>
      <c r="E111" s="834">
        <v>0.2</v>
      </c>
      <c r="F111" s="821">
        <v>30</v>
      </c>
    </row>
    <row r="112" spans="1:6" s="817" customFormat="1" ht="24">
      <c r="A112" s="821">
        <v>52</v>
      </c>
      <c r="B112" s="3386"/>
      <c r="C112" s="821" t="s">
        <v>727</v>
      </c>
      <c r="D112" s="757" t="s">
        <v>728</v>
      </c>
      <c r="E112" s="834">
        <v>0.2</v>
      </c>
      <c r="F112" s="821">
        <v>30</v>
      </c>
    </row>
    <row r="113" spans="1:6" s="817" customFormat="1" ht="24">
      <c r="A113" s="821">
        <v>53</v>
      </c>
      <c r="B113" s="33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6" t="s">
        <v>737</v>
      </c>
      <c r="C116" s="821" t="s">
        <v>738</v>
      </c>
      <c r="D116" s="757" t="s">
        <v>739</v>
      </c>
      <c r="E116" s="834">
        <v>0.2</v>
      </c>
      <c r="F116" s="821">
        <v>30</v>
      </c>
    </row>
    <row r="117" spans="1:6" ht="36">
      <c r="A117" s="821">
        <v>57</v>
      </c>
      <c r="B117" s="33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t="e">
        <f ca="1">SUMIF(B6:B13,"&lt;&gt;#ref!",B6:B13)</f>
        <v>#DIV/0!</v>
      </c>
      <c r="C2" s="2361" t="s">
        <v>2815</v>
      </c>
      <c r="D2" s="2361" t="s">
        <v>2816</v>
      </c>
      <c r="E2" s="2838">
        <f ca="1">SUMIF(E6:E13,"&lt;&gt;#ref!",E6:E13)</f>
        <v>0</v>
      </c>
      <c r="F2" s="3024"/>
      <c r="G2" s="3024"/>
      <c r="H2" s="3024"/>
      <c r="I2" s="3024"/>
      <c r="J2" s="3024"/>
      <c r="K2" s="3024"/>
      <c r="L2" s="3024"/>
      <c r="M2" s="3024"/>
      <c r="N2" s="3024"/>
      <c r="O2" s="3024"/>
      <c r="P2" s="3024"/>
    </row>
    <row r="3" spans="1:16" ht="15.75">
      <c r="A3" s="2361" t="s">
        <v>2817</v>
      </c>
      <c r="B3" s="2828" t="e">
        <f ca="1">ROUND(B2*10000/E2,0)</f>
        <v>#DIV/0!</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t="e">
        <f ca="1">SUMIF(INDIRECT("'"&amp;A6&amp;"'"&amp;"!A:A"),"总价",INDIRECT("'"&amp;A6&amp;"'"&amp;"!B:B"))</f>
        <v>#DIV/0!</v>
      </c>
      <c r="C6" s="2361" t="s">
        <v>2815</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E21" sqref="E21"/>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1117</v>
      </c>
      <c r="C1" s="3392"/>
      <c r="D1" s="3392"/>
      <c r="E1" s="3392"/>
      <c r="F1" s="3392"/>
      <c r="G1" s="3388" t="s">
        <v>1118</v>
      </c>
      <c r="H1" s="3388"/>
      <c r="I1" s="3388"/>
      <c r="J1" s="3388"/>
      <c r="K1" s="3388"/>
      <c r="L1" s="3388"/>
      <c r="N1" s="3388" t="s">
        <v>1119</v>
      </c>
      <c r="O1" s="3388"/>
      <c r="P1" s="3388"/>
      <c r="Q1" s="3388"/>
      <c r="S1" s="3388" t="s">
        <v>1120</v>
      </c>
      <c r="T1" s="3388"/>
      <c r="U1" s="3388"/>
      <c r="V1" s="3388"/>
      <c r="X1" s="3387" t="s">
        <v>1121</v>
      </c>
      <c r="Y1" s="3388"/>
      <c r="Z1" s="3388"/>
      <c r="AA1" s="3388"/>
      <c r="AB1" s="3388"/>
      <c r="AD1" s="3387" t="s">
        <v>1122</v>
      </c>
      <c r="AE1" s="3388"/>
      <c r="AF1" s="3388"/>
      <c r="AG1" s="3388"/>
      <c r="AH1" s="338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3061</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90">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90"/>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90"/>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7"/>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93">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90"/>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90"/>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7"/>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93">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90"/>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90"/>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91"/>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9">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90"/>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90"/>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91"/>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9">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90"/>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90"/>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91"/>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94">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95"/>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95"/>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96"/>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9">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90"/>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90"/>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91"/>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9">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90">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90">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91">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9">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90">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90">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91">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9">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90">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90">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91">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9">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90">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90">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91">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9">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90">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90">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91">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9">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90">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90">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91">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9">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90">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90">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91">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9">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90">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90">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91">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9">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90">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90">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91">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9">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90">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90">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91">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1" t="s">
        <v>2825</v>
      </c>
      <c r="D1" s="3402"/>
      <c r="E1" s="3402"/>
      <c r="F1" s="3402"/>
      <c r="G1" s="3402"/>
      <c r="H1" s="3402"/>
      <c r="I1" s="3402"/>
      <c r="J1" s="3402"/>
      <c r="K1" s="3402"/>
      <c r="L1" s="3402"/>
      <c r="M1" s="3402"/>
      <c r="N1" s="3402"/>
      <c r="O1" s="3402"/>
      <c r="P1" s="3402"/>
      <c r="Q1" s="3402"/>
      <c r="R1" s="3402"/>
      <c r="S1" s="340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8" t="s">
        <v>33</v>
      </c>
      <c r="D22" s="3399"/>
      <c r="E22" s="3399"/>
      <c r="F22" s="3399"/>
      <c r="G22" s="3399"/>
      <c r="H22" s="3399"/>
      <c r="I22" s="3399"/>
      <c r="J22" s="3399"/>
      <c r="K22" s="3399"/>
      <c r="L22" s="3399"/>
      <c r="M22" s="3399"/>
      <c r="N22" s="3399"/>
      <c r="O22" s="3399"/>
      <c r="P22" s="3399"/>
      <c r="Q22" s="340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9.5" thickBot="1">
      <c r="A4" s="1678"/>
      <c r="B4" s="3073" t="s">
        <v>1595</v>
      </c>
      <c r="C4" s="3073"/>
      <c r="D4" s="3073"/>
      <c r="E4" s="1678"/>
    </row>
    <row r="5" spans="1:5" ht="16.5" thickTop="1">
      <c r="A5" s="1676"/>
      <c r="B5" s="3071" t="s">
        <v>1587</v>
      </c>
      <c r="C5" s="1679" t="s">
        <v>1588</v>
      </c>
      <c r="D5" s="959">
        <f ca="1">结果表!H101</f>
        <v>13688</v>
      </c>
      <c r="E5" s="1676"/>
    </row>
    <row r="6" spans="1:5" ht="15.75">
      <c r="A6" s="1676"/>
      <c r="B6" s="3071"/>
      <c r="C6" s="1679" t="s">
        <v>1589</v>
      </c>
      <c r="D6" s="959" t="str">
        <f ca="1">NUMBERSTRING(INT(D5*10000),2)&amp;"元整"</f>
        <v>壹亿叁仟陆佰捌拾捌万元整</v>
      </c>
      <c r="E6" s="1676"/>
    </row>
    <row r="7" spans="1:5" ht="15.75">
      <c r="A7" s="1676"/>
      <c r="B7" s="3076"/>
      <c r="C7" s="1680" t="s">
        <v>1590</v>
      </c>
      <c r="D7" s="960">
        <f ca="1">结果表!H102</f>
        <v>4268</v>
      </c>
      <c r="E7" s="1676"/>
    </row>
    <row r="8" spans="1:5" ht="15.75">
      <c r="A8" s="1676"/>
      <c r="B8" s="3077" t="str">
        <f>结果表!E103</f>
        <v>2.估价师知悉的法定优先受偿款</v>
      </c>
      <c r="C8" s="1681" t="s">
        <v>1591</v>
      </c>
      <c r="D8" s="960">
        <f>结果表!H103</f>
        <v>0</v>
      </c>
      <c r="E8" s="1676"/>
    </row>
    <row r="9" spans="1:5" ht="15.75">
      <c r="A9" s="1676"/>
      <c r="B9" s="307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0" t="str">
        <f>结果表!E107</f>
        <v>3.房地产抵押价值</v>
      </c>
      <c r="C13" s="1684" t="s">
        <v>1588</v>
      </c>
      <c r="D13" s="962">
        <f ca="1">结果表!H107</f>
        <v>13688</v>
      </c>
      <c r="E13" s="1676"/>
    </row>
    <row r="14" spans="1:5" ht="15.75">
      <c r="A14" s="1676"/>
      <c r="B14" s="3071"/>
      <c r="C14" s="1679" t="s">
        <v>1589</v>
      </c>
      <c r="D14" s="959" t="str">
        <f ca="1">NUMBERSTRING(INT(D13*10000),2)&amp;"元整"</f>
        <v>壹亿叁仟陆佰捌拾捌万元整</v>
      </c>
      <c r="E14" s="1676"/>
    </row>
    <row r="15" spans="1:5" ht="15">
      <c r="A15" s="1676"/>
      <c r="B15" s="3076"/>
      <c r="C15" s="1680" t="s">
        <v>1599</v>
      </c>
      <c r="D15" s="968">
        <f ca="1">结果表!H108</f>
        <v>4268</v>
      </c>
      <c r="E15" s="1676"/>
    </row>
    <row r="16" spans="1:5" ht="15">
      <c r="A16" s="1676"/>
      <c r="B16" s="3077" t="str">
        <f>结果表!E109</f>
        <v>——</v>
      </c>
      <c r="C16" s="1684" t="s">
        <v>1600</v>
      </c>
      <c r="D16" s="1685" t="str">
        <f>结果表!H109</f>
        <v>——</v>
      </c>
      <c r="E16" s="1676"/>
    </row>
    <row r="17" spans="1:5" ht="15.75">
      <c r="A17" s="1676"/>
      <c r="B17" s="3078"/>
      <c r="C17" s="1679" t="s">
        <v>1601</v>
      </c>
      <c r="D17" s="959" t="e">
        <f>NUMBERSTRING(INT(D16*10000),2)&amp;"元整"</f>
        <v>#VALUE!</v>
      </c>
      <c r="E17" s="1676"/>
    </row>
    <row r="18" spans="1:5" ht="15">
      <c r="A18" s="1676"/>
      <c r="B18" s="3079"/>
      <c r="C18" s="1680" t="s">
        <v>1590</v>
      </c>
      <c r="D18" s="968" t="str">
        <f>结果表!H110</f>
        <v>——</v>
      </c>
      <c r="E18" s="1676"/>
    </row>
    <row r="19" spans="1:5" ht="15.75">
      <c r="A19" s="1676"/>
      <c r="B19" s="3070" t="str">
        <f>结果表!E111</f>
        <v>——</v>
      </c>
      <c r="C19" s="1684" t="s">
        <v>1588</v>
      </c>
      <c r="D19" s="960" t="str">
        <f>结果表!H111</f>
        <v>——</v>
      </c>
      <c r="E19" s="1676"/>
    </row>
    <row r="20" spans="1:5" ht="15.75">
      <c r="A20" s="1676"/>
      <c r="B20" s="3071"/>
      <c r="C20" s="1679" t="s">
        <v>1601</v>
      </c>
      <c r="D20" s="959" t="e">
        <f>NUMBERSTRING(INT(D19*10000),2)&amp;"元整"</f>
        <v>#VALUE!</v>
      </c>
      <c r="E20" s="1676"/>
    </row>
    <row r="21" spans="1:5" ht="15.75" thickBot="1">
      <c r="A21" s="1676"/>
      <c r="B21" s="3072"/>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37843</v>
      </c>
      <c r="C2" s="2" t="s">
        <v>133</v>
      </c>
      <c r="D2" s="205"/>
      <c r="E2" s="205"/>
      <c r="F2" s="205"/>
      <c r="G2" s="205"/>
    </row>
    <row r="3" spans="1:7" s="206" customFormat="1" ht="18" customHeight="1" thickBot="1">
      <c r="A3" s="209" t="s">
        <v>85</v>
      </c>
      <c r="B3" s="210">
        <f ca="1">ROUND(B2*10000/'数据-汇总表'!E3,0)</f>
        <v>11800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32069.72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641</v>
      </c>
      <c r="D19" s="958">
        <f>'数据-汇总表'!E3</f>
        <v>32069.72</v>
      </c>
      <c r="E19" s="217">
        <f>'数据-取费表'!B31</f>
        <v>200</v>
      </c>
      <c r="F19" s="237"/>
      <c r="G19" s="1" t="s">
        <v>1042</v>
      </c>
    </row>
    <row r="20" spans="1:7" s="220" customFormat="1" ht="13.5" customHeight="1">
      <c r="A20" s="885" t="s">
        <v>1025</v>
      </c>
      <c r="B20" s="216" t="s">
        <v>104</v>
      </c>
      <c r="C20" s="238">
        <f>ROUND((C5+C19)*F20,0)</f>
        <v>531</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1418</v>
      </c>
      <c r="D22" s="241">
        <f ca="1">C26</f>
        <v>8.0000000000000004E-4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42</v>
      </c>
      <c r="D24" s="244"/>
      <c r="E24" s="244"/>
      <c r="F24" s="245"/>
      <c r="G24" s="246" t="s">
        <v>109</v>
      </c>
    </row>
    <row r="25" spans="1:7" s="220" customFormat="1" ht="24">
      <c r="A25" s="888" t="s">
        <v>793</v>
      </c>
      <c r="B25" s="221" t="s">
        <v>1026</v>
      </c>
      <c r="C25" s="1265">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1743</v>
      </c>
      <c r="D27" s="241">
        <f>C29</f>
        <v>2E-3</v>
      </c>
      <c r="E27" s="242" t="s">
        <v>126</v>
      </c>
      <c r="F27" s="252">
        <f>'数据-取费表'!Q16</f>
        <v>0.08</v>
      </c>
      <c r="G27" s="253" t="s">
        <v>1037</v>
      </c>
    </row>
    <row r="28" spans="1:7" s="220" customFormat="1" ht="13.5" customHeight="1">
      <c r="A28" s="888" t="s">
        <v>794</v>
      </c>
      <c r="B28" s="254" t="s">
        <v>1030</v>
      </c>
      <c r="C28" s="255">
        <f>ROUND((C5+C19+C20)*F27*'数据-取费表'!B21/'数据-取费表'!B20,0)</f>
        <v>1743</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27145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10025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8980</v>
      </c>
      <c r="D34" s="223"/>
      <c r="E34" s="226"/>
      <c r="F34" s="263">
        <f>IF('数据-取费表'!B24=0,1,'数据-取费表'!N16)</f>
        <v>1</v>
      </c>
      <c r="G34" s="225" t="s">
        <v>116</v>
      </c>
    </row>
    <row r="35" spans="1:7" ht="13.5" customHeight="1">
      <c r="A35" s="888" t="s">
        <v>796</v>
      </c>
      <c r="B35" s="221" t="s">
        <v>60</v>
      </c>
      <c r="C35" s="226">
        <f>ROUND(C34*F35,0)</f>
        <v>269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641</v>
      </c>
      <c r="D37" s="223">
        <f>'数据-汇总表'!E3</f>
        <v>32069.72</v>
      </c>
      <c r="E37" s="255">
        <f>'数据-取费表'!B35</f>
        <v>200</v>
      </c>
      <c r="F37" s="265"/>
      <c r="G37" s="267" t="s">
        <v>119</v>
      </c>
    </row>
    <row r="38" spans="1:7" ht="13.5" customHeight="1">
      <c r="A38" s="888" t="s">
        <v>799</v>
      </c>
      <c r="B38" s="221" t="s">
        <v>63</v>
      </c>
      <c r="C38" s="226">
        <f>ROUND(C34*F38,0)</f>
        <v>135</v>
      </c>
      <c r="D38" s="226"/>
      <c r="E38" s="226"/>
      <c r="F38" s="265">
        <f>'数据-取费表'!B36</f>
        <v>1.4999999999999999E-2</v>
      </c>
      <c r="G38" s="225" t="s">
        <v>117</v>
      </c>
    </row>
    <row r="39" spans="1:7" s="220" customFormat="1" ht="13.5" customHeight="1">
      <c r="A39" s="885" t="s">
        <v>783</v>
      </c>
      <c r="B39" s="216" t="s">
        <v>104</v>
      </c>
      <c r="C39" s="238">
        <f>ROUND(C33*F20,0)</f>
        <v>251</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333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325</v>
      </c>
      <c r="D42" s="244"/>
      <c r="E42" s="244"/>
      <c r="F42" s="245"/>
      <c r="G42" s="3258" t="s">
        <v>121</v>
      </c>
    </row>
    <row r="43" spans="1:7" ht="13.5" customHeight="1">
      <c r="A43" s="888" t="s">
        <v>792</v>
      </c>
      <c r="B43" s="221" t="s">
        <v>1032</v>
      </c>
      <c r="C43" s="244">
        <f ca="1">ROUND(IF('数据-取费表'!B22&lt;=1,C39*F22*'数据-取费表'!B21/2,C39*(POWER((1+F22),'数据-取费表'!B21/2)-1)),0)</f>
        <v>8</v>
      </c>
      <c r="D43" s="244"/>
      <c r="E43" s="244"/>
      <c r="F43" s="245"/>
      <c r="G43" s="3259"/>
    </row>
    <row r="44" spans="1:7" ht="13.5" customHeight="1">
      <c r="A44" s="888" t="s">
        <v>793</v>
      </c>
      <c r="B44" s="221" t="s">
        <v>1034</v>
      </c>
      <c r="C44" s="244">
        <f ca="1">ROUND(IF('数据-取费表'!B22&lt;=1,C40*F22*'数据-取费表'!B21/2,C40*(POWER((1+F22),'数据-取费表'!B21/2)-1)),4)</f>
        <v>8.0000000000000004E-4</v>
      </c>
      <c r="D44" s="244"/>
      <c r="E44" s="244"/>
      <c r="F44" s="245"/>
      <c r="G44" s="3260"/>
    </row>
    <row r="45" spans="1:7" s="220" customFormat="1" ht="13.5" customHeight="1">
      <c r="A45" s="885" t="s">
        <v>786</v>
      </c>
      <c r="B45" s="250" t="s">
        <v>112</v>
      </c>
      <c r="C45" s="251">
        <f>C46</f>
        <v>822</v>
      </c>
      <c r="D45" s="241">
        <f>C47</f>
        <v>2E-3</v>
      </c>
      <c r="E45" s="242" t="s">
        <v>129</v>
      </c>
      <c r="F45" s="252"/>
      <c r="G45" s="253" t="s">
        <v>1040</v>
      </c>
    </row>
    <row r="46" spans="1:7" s="220" customFormat="1" ht="13.5" customHeight="1">
      <c r="A46" s="888" t="s">
        <v>794</v>
      </c>
      <c r="B46" s="254" t="s">
        <v>1033</v>
      </c>
      <c r="C46" s="255">
        <f>ROUND((C33+C39)*F27,0)</f>
        <v>822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12440</v>
      </c>
      <c r="D49" s="238"/>
      <c r="E49" s="238"/>
      <c r="F49" s="270"/>
      <c r="G49" s="240" t="s">
        <v>1041</v>
      </c>
    </row>
    <row r="50" spans="1:7" s="264" customFormat="1" ht="24">
      <c r="A50" s="885" t="s">
        <v>789</v>
      </c>
      <c r="B50" s="216" t="s">
        <v>124</v>
      </c>
      <c r="C50" s="238"/>
      <c r="D50" s="238"/>
      <c r="E50" s="238"/>
      <c r="F50" s="270">
        <f>IF('数据-取费表'!B24=0,'数据-取费表'!N16,1)</f>
        <v>0.86</v>
      </c>
      <c r="G50" s="253" t="s">
        <v>125</v>
      </c>
    </row>
    <row r="51" spans="1:7" ht="16.5" customHeight="1">
      <c r="A51" s="885" t="s">
        <v>790</v>
      </c>
      <c r="B51" s="216" t="s">
        <v>132</v>
      </c>
      <c r="C51" s="238">
        <f ca="1">ROUND(C49*F50,0)</f>
        <v>10698</v>
      </c>
      <c r="D51" s="238"/>
      <c r="E51" s="238"/>
      <c r="F51" s="270"/>
      <c r="G51" s="240" t="s">
        <v>64</v>
      </c>
    </row>
    <row r="52" spans="1:7" s="214" customFormat="1" ht="16.5" thickBot="1">
      <c r="A52" s="271" t="s">
        <v>65</v>
      </c>
      <c r="B52" s="272"/>
      <c r="C52" s="273">
        <f ca="1">C31+C51</f>
        <v>37843</v>
      </c>
      <c r="D52" s="272"/>
      <c r="E52" s="272"/>
      <c r="F52" s="272"/>
      <c r="G52" s="274"/>
    </row>
    <row r="55" spans="1:7" ht="15">
      <c r="B55" s="276" t="s">
        <v>66</v>
      </c>
      <c r="C55" s="277"/>
    </row>
    <row r="56" spans="1:7">
      <c r="B56" s="279" t="s">
        <v>67</v>
      </c>
      <c r="C56" s="280">
        <f ca="1">ROUND(C51/C52,3)</f>
        <v>0.28299999999999997</v>
      </c>
    </row>
    <row r="57" spans="1:7">
      <c r="B57" s="279" t="s">
        <v>68</v>
      </c>
      <c r="C57" s="281">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4" t="s">
        <v>156</v>
      </c>
      <c r="B1" s="3404"/>
      <c r="C1" s="3404"/>
      <c r="D1" s="3404"/>
      <c r="E1" s="3404"/>
      <c r="F1" s="34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5" t="s">
        <v>169</v>
      </c>
      <c r="B2" s="3405"/>
      <c r="C2" s="3405"/>
      <c r="D2" s="3405"/>
      <c r="E2" s="3405"/>
      <c r="F2" s="34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4" t="s">
        <v>839</v>
      </c>
      <c r="B1" s="34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44371</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1"/>
  <sheetViews>
    <sheetView topLeftCell="A37" workbookViewId="0">
      <selection activeCell="C68" sqref="C68"/>
    </sheetView>
  </sheetViews>
  <sheetFormatPr defaultRowHeight="13.5"/>
  <cols>
    <col min="1" max="1" width="24.5" style="3068" customWidth="1"/>
    <col min="2" max="16384" width="9" style="3068"/>
  </cols>
  <sheetData>
    <row r="1" spans="1:17">
      <c r="A1" s="3067" t="s">
        <v>3081</v>
      </c>
      <c r="B1" s="3067" t="s">
        <v>3082</v>
      </c>
      <c r="C1" s="3067" t="s">
        <v>3083</v>
      </c>
      <c r="D1" s="3067" t="s">
        <v>3084</v>
      </c>
      <c r="E1" s="3067" t="s">
        <v>3085</v>
      </c>
      <c r="F1" s="3067" t="s">
        <v>3086</v>
      </c>
      <c r="G1" s="3067" t="s">
        <v>3087</v>
      </c>
      <c r="H1" s="3067" t="s">
        <v>3088</v>
      </c>
      <c r="I1" s="3067" t="s">
        <v>3089</v>
      </c>
      <c r="J1" s="3067" t="s">
        <v>3090</v>
      </c>
      <c r="K1" s="3067" t="s">
        <v>3091</v>
      </c>
      <c r="L1" s="3067" t="s">
        <v>3092</v>
      </c>
      <c r="M1" s="3067" t="s">
        <v>3093</v>
      </c>
      <c r="N1" s="3067" t="s">
        <v>3094</v>
      </c>
      <c r="O1" s="3067" t="s">
        <v>3095</v>
      </c>
      <c r="P1" s="3067" t="s">
        <v>3096</v>
      </c>
      <c r="Q1" s="3067" t="s">
        <v>3097</v>
      </c>
    </row>
    <row r="2" spans="1:17">
      <c r="A2" s="3067" t="s">
        <v>3150</v>
      </c>
      <c r="B2" s="3067" t="s">
        <v>3099</v>
      </c>
      <c r="C2" s="3067" t="s">
        <v>3145</v>
      </c>
      <c r="D2" s="3067">
        <v>2875</v>
      </c>
      <c r="E2" s="3067" t="s">
        <v>1298</v>
      </c>
      <c r="F2" s="3067" t="s">
        <v>1298</v>
      </c>
      <c r="G2" s="3067" t="s">
        <v>3102</v>
      </c>
      <c r="H2" s="3067" t="s">
        <v>3151</v>
      </c>
      <c r="I2" s="3067">
        <v>0</v>
      </c>
      <c r="J2" s="3067" t="s">
        <v>3152</v>
      </c>
      <c r="K2" s="3067" t="s">
        <v>3152</v>
      </c>
      <c r="L2" s="3067">
        <v>1530</v>
      </c>
      <c r="M2" s="3067">
        <v>1530</v>
      </c>
      <c r="N2" s="3067" t="s">
        <v>1298</v>
      </c>
      <c r="O2" s="3067">
        <v>0</v>
      </c>
      <c r="P2" s="3067" t="s">
        <v>3153</v>
      </c>
      <c r="Q2" s="3067" t="s">
        <v>3154</v>
      </c>
    </row>
    <row r="3" spans="1:17">
      <c r="A3" s="3067" t="s">
        <v>3159</v>
      </c>
      <c r="B3" s="3067" t="s">
        <v>3099</v>
      </c>
      <c r="C3" s="3067" t="s">
        <v>3145</v>
      </c>
      <c r="D3" s="3067">
        <v>6204.2</v>
      </c>
      <c r="E3" s="3067" t="s">
        <v>1298</v>
      </c>
      <c r="F3" s="3067" t="s">
        <v>1298</v>
      </c>
      <c r="G3" s="3067" t="s">
        <v>3102</v>
      </c>
      <c r="H3" s="3067" t="s">
        <v>3160</v>
      </c>
      <c r="I3" s="3067">
        <v>0</v>
      </c>
      <c r="J3" s="3067" t="s">
        <v>3156</v>
      </c>
      <c r="K3" s="3067" t="s">
        <v>3156</v>
      </c>
      <c r="L3" s="3067">
        <v>3760</v>
      </c>
      <c r="M3" s="3067">
        <v>3760</v>
      </c>
      <c r="N3" s="3067" t="s">
        <v>1298</v>
      </c>
      <c r="O3" s="3067">
        <v>0</v>
      </c>
      <c r="P3" s="3067" t="s">
        <v>3153</v>
      </c>
      <c r="Q3" s="3067" t="s">
        <v>3134</v>
      </c>
    </row>
    <row r="4" spans="1:17">
      <c r="A4" s="3067" t="s">
        <v>3211</v>
      </c>
      <c r="B4" s="3067" t="s">
        <v>3099</v>
      </c>
      <c r="C4" s="3067" t="s">
        <v>3173</v>
      </c>
      <c r="D4" s="3067">
        <v>4897.5</v>
      </c>
      <c r="E4" s="3067" t="s">
        <v>1298</v>
      </c>
      <c r="F4" s="3067" t="s">
        <v>1298</v>
      </c>
      <c r="G4" s="3067" t="s">
        <v>3102</v>
      </c>
      <c r="H4" s="3067" t="s">
        <v>3212</v>
      </c>
      <c r="I4" s="3067">
        <v>0</v>
      </c>
      <c r="J4" s="3067" t="s">
        <v>3213</v>
      </c>
      <c r="K4" s="3067" t="s">
        <v>3213</v>
      </c>
      <c r="L4" s="3067">
        <v>360</v>
      </c>
      <c r="M4" s="3067">
        <v>360</v>
      </c>
      <c r="N4" s="3067" t="s">
        <v>1298</v>
      </c>
      <c r="O4" s="3067">
        <v>0</v>
      </c>
      <c r="P4" s="3067" t="s">
        <v>3214</v>
      </c>
      <c r="Q4" s="3067" t="s">
        <v>3105</v>
      </c>
    </row>
    <row r="5" spans="1:17">
      <c r="A5" s="3067" t="s">
        <v>3262</v>
      </c>
      <c r="B5" s="3067" t="s">
        <v>3099</v>
      </c>
      <c r="C5" s="3067" t="s">
        <v>3145</v>
      </c>
      <c r="D5" s="3067">
        <v>3649</v>
      </c>
      <c r="E5" s="3067">
        <v>729.82</v>
      </c>
      <c r="F5" s="3067" t="s">
        <v>3263</v>
      </c>
      <c r="G5" s="3067" t="s">
        <v>3102</v>
      </c>
      <c r="H5" s="3067" t="s">
        <v>3160</v>
      </c>
      <c r="I5" s="3067">
        <v>0</v>
      </c>
      <c r="J5" s="3067" t="s">
        <v>3258</v>
      </c>
      <c r="K5" s="3067" t="s">
        <v>3258</v>
      </c>
      <c r="L5" s="3067">
        <v>1800</v>
      </c>
      <c r="M5" s="3067">
        <v>8600</v>
      </c>
      <c r="N5" s="3067">
        <v>117837.27</v>
      </c>
      <c r="O5" s="3067">
        <v>377.78</v>
      </c>
      <c r="P5" s="3067" t="s">
        <v>3264</v>
      </c>
      <c r="Q5" s="3067" t="s">
        <v>3129</v>
      </c>
    </row>
    <row r="6" spans="1:17">
      <c r="A6" s="3067" t="s">
        <v>3317</v>
      </c>
      <c r="B6" s="3067" t="s">
        <v>3099</v>
      </c>
      <c r="C6" s="3067" t="s">
        <v>3145</v>
      </c>
      <c r="D6" s="3067">
        <v>3150</v>
      </c>
      <c r="E6" s="3067">
        <v>1260</v>
      </c>
      <c r="F6" s="3067" t="s">
        <v>3318</v>
      </c>
      <c r="G6" s="3067" t="s">
        <v>3102</v>
      </c>
      <c r="H6" s="3067" t="s">
        <v>3319</v>
      </c>
      <c r="I6" s="3067">
        <v>0</v>
      </c>
      <c r="J6" s="3067" t="s">
        <v>3302</v>
      </c>
      <c r="K6" s="3067" t="s">
        <v>3302</v>
      </c>
      <c r="L6" s="3067">
        <v>1840</v>
      </c>
      <c r="M6" s="3067">
        <v>5100</v>
      </c>
      <c r="N6" s="3067">
        <v>40476.19</v>
      </c>
      <c r="O6" s="3067">
        <v>177.17</v>
      </c>
      <c r="P6" s="3067" t="s">
        <v>3320</v>
      </c>
      <c r="Q6" s="3067" t="s">
        <v>3154</v>
      </c>
    </row>
    <row r="7" spans="1:17">
      <c r="A7" s="3067" t="s">
        <v>3138</v>
      </c>
      <c r="B7" s="3067" t="s">
        <v>3099</v>
      </c>
      <c r="C7" s="3067" t="s">
        <v>3123</v>
      </c>
      <c r="D7" s="3067">
        <v>61808.800000000003</v>
      </c>
      <c r="E7" s="3067">
        <v>123617.60000000001</v>
      </c>
      <c r="F7" s="3067" t="s">
        <v>3110</v>
      </c>
      <c r="G7" s="3067" t="s">
        <v>3102</v>
      </c>
      <c r="H7" s="3067" t="s">
        <v>3125</v>
      </c>
      <c r="I7" s="3067" t="s">
        <v>3126</v>
      </c>
      <c r="J7" s="3067" t="s">
        <v>3127</v>
      </c>
      <c r="K7" s="3067" t="s">
        <v>3127</v>
      </c>
      <c r="L7" s="3067">
        <v>115960</v>
      </c>
      <c r="M7" s="3067">
        <v>124000</v>
      </c>
      <c r="N7" s="3067">
        <v>10030.93</v>
      </c>
      <c r="O7" s="3067">
        <v>6.93</v>
      </c>
      <c r="P7" s="3067" t="s">
        <v>3139</v>
      </c>
      <c r="Q7" s="3067" t="s">
        <v>3140</v>
      </c>
    </row>
    <row r="8" spans="1:17">
      <c r="A8" s="3067" t="s">
        <v>3310</v>
      </c>
      <c r="B8" s="3067" t="s">
        <v>3099</v>
      </c>
      <c r="C8" s="3067" t="s">
        <v>3131</v>
      </c>
      <c r="D8" s="3067">
        <v>78660.5</v>
      </c>
      <c r="E8" s="3067">
        <v>150412.9</v>
      </c>
      <c r="F8" s="3067" t="s">
        <v>3311</v>
      </c>
      <c r="G8" s="3067" t="s">
        <v>3102</v>
      </c>
      <c r="H8" s="3067" t="s">
        <v>3312</v>
      </c>
      <c r="I8" s="3067">
        <v>0</v>
      </c>
      <c r="J8" s="3067" t="s">
        <v>3302</v>
      </c>
      <c r="K8" s="3067" t="s">
        <v>3302</v>
      </c>
      <c r="L8" s="3067">
        <v>140450</v>
      </c>
      <c r="M8" s="3067">
        <v>140450</v>
      </c>
      <c r="N8" s="3067">
        <v>9337.6200000000008</v>
      </c>
      <c r="O8" s="3067">
        <v>0</v>
      </c>
      <c r="P8" s="3067" t="s">
        <v>3313</v>
      </c>
      <c r="Q8" s="3067" t="s">
        <v>3134</v>
      </c>
    </row>
    <row r="9" spans="1:17">
      <c r="A9" s="3067" t="s">
        <v>3122</v>
      </c>
      <c r="B9" s="3067" t="s">
        <v>3099</v>
      </c>
      <c r="C9" s="3067" t="s">
        <v>3123</v>
      </c>
      <c r="D9" s="3067">
        <v>92663.7</v>
      </c>
      <c r="E9" s="3067">
        <v>126596.59</v>
      </c>
      <c r="F9" s="3067" t="s">
        <v>3124</v>
      </c>
      <c r="G9" s="3067" t="s">
        <v>3102</v>
      </c>
      <c r="H9" s="3067" t="s">
        <v>3125</v>
      </c>
      <c r="I9" s="3067" t="s">
        <v>3126</v>
      </c>
      <c r="J9" s="3067" t="s">
        <v>3127</v>
      </c>
      <c r="K9" s="3067" t="s">
        <v>3127</v>
      </c>
      <c r="L9" s="3067">
        <v>97430</v>
      </c>
      <c r="M9" s="3067">
        <v>111400</v>
      </c>
      <c r="N9" s="3067">
        <v>8799.61</v>
      </c>
      <c r="O9" s="3067">
        <v>14.34</v>
      </c>
      <c r="P9" s="3067" t="s">
        <v>3128</v>
      </c>
      <c r="Q9" s="3067" t="s">
        <v>3129</v>
      </c>
    </row>
    <row r="10" spans="1:17">
      <c r="A10" s="3067" t="s">
        <v>3324</v>
      </c>
      <c r="B10" s="3067" t="s">
        <v>3099</v>
      </c>
      <c r="C10" s="3067" t="s">
        <v>3123</v>
      </c>
      <c r="D10" s="3067">
        <v>72182.3</v>
      </c>
      <c r="E10" s="3067">
        <v>79684</v>
      </c>
      <c r="F10" s="3067" t="s">
        <v>3325</v>
      </c>
      <c r="G10" s="3067" t="s">
        <v>3102</v>
      </c>
      <c r="H10" s="3067" t="s">
        <v>3125</v>
      </c>
      <c r="I10" s="3067">
        <v>0</v>
      </c>
      <c r="J10" s="3067" t="s">
        <v>3326</v>
      </c>
      <c r="K10" s="3067" t="s">
        <v>3326</v>
      </c>
      <c r="L10" s="3067">
        <v>66867</v>
      </c>
      <c r="M10" s="3067">
        <v>66867</v>
      </c>
      <c r="N10" s="3067">
        <v>8391.52</v>
      </c>
      <c r="O10" s="3067">
        <v>0</v>
      </c>
      <c r="P10" s="3067" t="s">
        <v>3327</v>
      </c>
      <c r="Q10" s="3067" t="s">
        <v>3184</v>
      </c>
    </row>
    <row r="11" spans="1:17">
      <c r="A11" s="3067" t="s">
        <v>3304</v>
      </c>
      <c r="B11" s="3067" t="s">
        <v>3099</v>
      </c>
      <c r="C11" s="3067" t="s">
        <v>3131</v>
      </c>
      <c r="D11" s="3067">
        <v>171668.2</v>
      </c>
      <c r="E11" s="3067">
        <v>214430.85</v>
      </c>
      <c r="F11" s="3067" t="s">
        <v>3305</v>
      </c>
      <c r="G11" s="3067" t="s">
        <v>3102</v>
      </c>
      <c r="H11" s="3067" t="s">
        <v>3306</v>
      </c>
      <c r="I11" s="3067">
        <v>0</v>
      </c>
      <c r="J11" s="3067" t="s">
        <v>3302</v>
      </c>
      <c r="K11" s="3067" t="s">
        <v>3302</v>
      </c>
      <c r="L11" s="3067">
        <v>157800</v>
      </c>
      <c r="M11" s="3067">
        <v>157800</v>
      </c>
      <c r="N11" s="3067">
        <v>7359.02</v>
      </c>
      <c r="O11" s="3067">
        <v>0</v>
      </c>
      <c r="P11" s="3067" t="s">
        <v>3289</v>
      </c>
      <c r="Q11" s="3067" t="s">
        <v>3134</v>
      </c>
    </row>
    <row r="12" spans="1:17">
      <c r="A12" s="3067" t="s">
        <v>3278</v>
      </c>
      <c r="B12" s="3067" t="s">
        <v>3099</v>
      </c>
      <c r="C12" s="3067" t="s">
        <v>3131</v>
      </c>
      <c r="D12" s="3067">
        <v>116425.8</v>
      </c>
      <c r="E12" s="3067">
        <v>178392.4</v>
      </c>
      <c r="F12" s="3067" t="s">
        <v>3279</v>
      </c>
      <c r="G12" s="3067" t="s">
        <v>3102</v>
      </c>
      <c r="H12" s="3067" t="s">
        <v>3280</v>
      </c>
      <c r="I12" s="3067">
        <v>0</v>
      </c>
      <c r="J12" s="3067" t="s">
        <v>3273</v>
      </c>
      <c r="K12" s="3067" t="s">
        <v>3273</v>
      </c>
      <c r="L12" s="3067">
        <v>120980</v>
      </c>
      <c r="M12" s="3067">
        <v>120980</v>
      </c>
      <c r="N12" s="3067">
        <v>6781.68</v>
      </c>
      <c r="O12" s="3067">
        <v>0</v>
      </c>
      <c r="P12" s="3067" t="s">
        <v>3281</v>
      </c>
      <c r="Q12" s="3067" t="s">
        <v>3140</v>
      </c>
    </row>
    <row r="13" spans="1:17">
      <c r="A13" s="3067" t="s">
        <v>3141</v>
      </c>
      <c r="B13" s="3067" t="s">
        <v>3099</v>
      </c>
      <c r="C13" s="3067" t="s">
        <v>3131</v>
      </c>
      <c r="D13" s="3067">
        <v>120938</v>
      </c>
      <c r="E13" s="3067">
        <v>294615.61</v>
      </c>
      <c r="F13" s="3067" t="s">
        <v>3142</v>
      </c>
      <c r="G13" s="3067" t="s">
        <v>3102</v>
      </c>
      <c r="H13" s="3067" t="s">
        <v>3136</v>
      </c>
      <c r="I13" s="3067" t="s">
        <v>3126</v>
      </c>
      <c r="J13" s="3067" t="s">
        <v>3127</v>
      </c>
      <c r="K13" s="3067" t="s">
        <v>3127</v>
      </c>
      <c r="L13" s="3067">
        <v>161900</v>
      </c>
      <c r="M13" s="3067">
        <v>193000</v>
      </c>
      <c r="N13" s="3067">
        <v>6550.9</v>
      </c>
      <c r="O13" s="3067">
        <v>19.21</v>
      </c>
      <c r="P13" s="3067" t="s">
        <v>3143</v>
      </c>
      <c r="Q13" s="3067" t="s">
        <v>3129</v>
      </c>
    </row>
    <row r="14" spans="1:17">
      <c r="A14" s="3067" t="s">
        <v>3282</v>
      </c>
      <c r="B14" s="3067" t="s">
        <v>3099</v>
      </c>
      <c r="C14" s="3067" t="s">
        <v>3123</v>
      </c>
      <c r="D14" s="3067">
        <v>39250.800000000003</v>
      </c>
      <c r="E14" s="3067">
        <v>66727.38</v>
      </c>
      <c r="F14" s="3067" t="s">
        <v>3283</v>
      </c>
      <c r="G14" s="3067" t="s">
        <v>3102</v>
      </c>
      <c r="H14" s="3067" t="s">
        <v>3125</v>
      </c>
      <c r="I14" s="3067">
        <v>0</v>
      </c>
      <c r="J14" s="3067" t="s">
        <v>3284</v>
      </c>
      <c r="K14" s="3067" t="s">
        <v>3284</v>
      </c>
      <c r="L14" s="3067">
        <v>43440</v>
      </c>
      <c r="M14" s="3067">
        <v>43440</v>
      </c>
      <c r="N14" s="3067">
        <v>6510.06</v>
      </c>
      <c r="O14" s="3067">
        <v>0</v>
      </c>
      <c r="P14" s="3067" t="s">
        <v>3285</v>
      </c>
      <c r="Q14" s="3067" t="s">
        <v>3129</v>
      </c>
    </row>
    <row r="15" spans="1:17">
      <c r="A15" s="3067" t="s">
        <v>3180</v>
      </c>
      <c r="B15" s="3067" t="s">
        <v>3099</v>
      </c>
      <c r="C15" s="3067" t="s">
        <v>3131</v>
      </c>
      <c r="D15" s="3067">
        <v>202759.6</v>
      </c>
      <c r="E15" s="3067">
        <v>299590</v>
      </c>
      <c r="F15" s="3067" t="s">
        <v>3181</v>
      </c>
      <c r="G15" s="3067" t="s">
        <v>3102</v>
      </c>
      <c r="H15" s="3067" t="s">
        <v>3182</v>
      </c>
      <c r="I15" s="3067">
        <v>0</v>
      </c>
      <c r="J15" s="3067" t="s">
        <v>3178</v>
      </c>
      <c r="K15" s="3067" t="s">
        <v>3178</v>
      </c>
      <c r="L15" s="3067">
        <v>151210</v>
      </c>
      <c r="M15" s="3067">
        <v>151210</v>
      </c>
      <c r="N15" s="3067">
        <v>5047.22</v>
      </c>
      <c r="O15" s="3067">
        <v>0</v>
      </c>
      <c r="P15" s="3067" t="s">
        <v>3183</v>
      </c>
      <c r="Q15" s="3067" t="s">
        <v>3184</v>
      </c>
    </row>
    <row r="16" spans="1:17">
      <c r="A16" s="3067" t="s">
        <v>3256</v>
      </c>
      <c r="B16" s="3067" t="s">
        <v>3099</v>
      </c>
      <c r="C16" s="3067" t="s">
        <v>3123</v>
      </c>
      <c r="D16" s="3067">
        <v>12873.6</v>
      </c>
      <c r="E16" s="3067">
        <v>14160.96</v>
      </c>
      <c r="F16" s="3067" t="s">
        <v>3257</v>
      </c>
      <c r="G16" s="3067" t="s">
        <v>3102</v>
      </c>
      <c r="H16" s="3067" t="s">
        <v>3125</v>
      </c>
      <c r="I16" s="3067">
        <v>0</v>
      </c>
      <c r="J16" s="3067" t="s">
        <v>3258</v>
      </c>
      <c r="K16" s="3067" t="s">
        <v>3258</v>
      </c>
      <c r="L16" s="3067">
        <v>5990</v>
      </c>
      <c r="M16" s="3067">
        <v>7100</v>
      </c>
      <c r="N16" s="3067">
        <v>5013.7700000000004</v>
      </c>
      <c r="O16" s="3067">
        <v>18.53</v>
      </c>
      <c r="P16" s="3067" t="s">
        <v>3259</v>
      </c>
      <c r="Q16" s="3067" t="s">
        <v>3140</v>
      </c>
    </row>
    <row r="17" spans="1:17">
      <c r="A17" s="3067" t="s">
        <v>3260</v>
      </c>
      <c r="B17" s="3067" t="s">
        <v>3099</v>
      </c>
      <c r="C17" s="3067" t="s">
        <v>3123</v>
      </c>
      <c r="D17" s="3067">
        <v>14032.3</v>
      </c>
      <c r="E17" s="3067">
        <v>15435.53</v>
      </c>
      <c r="F17" s="3067" t="s">
        <v>3257</v>
      </c>
      <c r="G17" s="3067" t="s">
        <v>3102</v>
      </c>
      <c r="H17" s="3067" t="s">
        <v>3125</v>
      </c>
      <c r="I17" s="3067">
        <v>0</v>
      </c>
      <c r="J17" s="3067" t="s">
        <v>3258</v>
      </c>
      <c r="K17" s="3067" t="s">
        <v>3258</v>
      </c>
      <c r="L17" s="3067">
        <v>6530</v>
      </c>
      <c r="M17" s="3067">
        <v>7600</v>
      </c>
      <c r="N17" s="3067">
        <v>4923.71</v>
      </c>
      <c r="O17" s="3067">
        <v>16.39</v>
      </c>
      <c r="P17" s="3067" t="s">
        <v>3261</v>
      </c>
      <c r="Q17" s="3067" t="s">
        <v>3140</v>
      </c>
    </row>
    <row r="18" spans="1:17">
      <c r="A18" s="3067" t="s">
        <v>3161</v>
      </c>
      <c r="B18" s="3067" t="s">
        <v>3099</v>
      </c>
      <c r="C18" s="3067" t="s">
        <v>3123</v>
      </c>
      <c r="D18" s="3067">
        <v>76865.5</v>
      </c>
      <c r="E18" s="3067">
        <v>115290</v>
      </c>
      <c r="F18" s="3067" t="s">
        <v>3124</v>
      </c>
      <c r="G18" s="3067" t="s">
        <v>3102</v>
      </c>
      <c r="H18" s="3067" t="s">
        <v>3125</v>
      </c>
      <c r="I18" s="3067">
        <v>0</v>
      </c>
      <c r="J18" s="3067" t="s">
        <v>3209</v>
      </c>
      <c r="K18" s="3067" t="s">
        <v>3209</v>
      </c>
      <c r="L18" s="3067">
        <v>49140</v>
      </c>
      <c r="M18" s="3067">
        <v>56100</v>
      </c>
      <c r="N18" s="3067">
        <v>4865.9799999999996</v>
      </c>
      <c r="O18" s="3067">
        <v>14.16</v>
      </c>
      <c r="P18" s="3067" t="s">
        <v>3210</v>
      </c>
      <c r="Q18" s="3067" t="s">
        <v>3154</v>
      </c>
    </row>
    <row r="19" spans="1:17">
      <c r="A19" s="3067" t="s">
        <v>3336</v>
      </c>
      <c r="B19" s="3067" t="s">
        <v>3099</v>
      </c>
      <c r="C19" s="3067" t="s">
        <v>3131</v>
      </c>
      <c r="D19" s="3067">
        <v>53107.6</v>
      </c>
      <c r="E19" s="3067">
        <v>58400</v>
      </c>
      <c r="F19" s="3067" t="s">
        <v>3257</v>
      </c>
      <c r="G19" s="3067" t="s">
        <v>3102</v>
      </c>
      <c r="H19" s="3067" t="s">
        <v>3192</v>
      </c>
      <c r="I19" s="3067">
        <v>0</v>
      </c>
      <c r="J19" s="3067" t="s">
        <v>3339</v>
      </c>
      <c r="K19" s="3067" t="s">
        <v>3339</v>
      </c>
      <c r="L19" s="3067">
        <v>28140</v>
      </c>
      <c r="M19" s="3067">
        <v>28140</v>
      </c>
      <c r="N19" s="3067">
        <v>4818.4799999999996</v>
      </c>
      <c r="O19" s="3067">
        <v>0</v>
      </c>
      <c r="P19" s="3067" t="s">
        <v>3340</v>
      </c>
      <c r="Q19" s="3067" t="s">
        <v>3129</v>
      </c>
    </row>
    <row r="20" spans="1:17">
      <c r="A20" s="3067" t="s">
        <v>3336</v>
      </c>
      <c r="B20" s="3067" t="s">
        <v>3099</v>
      </c>
      <c r="C20" s="3067" t="s">
        <v>3131</v>
      </c>
      <c r="D20" s="3067">
        <v>174754.3</v>
      </c>
      <c r="E20" s="3067">
        <v>193200</v>
      </c>
      <c r="F20" s="3067" t="s">
        <v>3257</v>
      </c>
      <c r="G20" s="3067" t="s">
        <v>3102</v>
      </c>
      <c r="H20" s="3067" t="s">
        <v>3192</v>
      </c>
      <c r="I20" s="3067">
        <v>0</v>
      </c>
      <c r="J20" s="3067" t="s">
        <v>3339</v>
      </c>
      <c r="K20" s="3067" t="s">
        <v>3339</v>
      </c>
      <c r="L20" s="3067">
        <v>92730</v>
      </c>
      <c r="M20" s="3067">
        <v>92730</v>
      </c>
      <c r="N20" s="3067">
        <v>4799.68</v>
      </c>
      <c r="O20" s="3067">
        <v>0</v>
      </c>
      <c r="P20" s="3067" t="s">
        <v>3340</v>
      </c>
      <c r="Q20" s="3067" t="s">
        <v>3129</v>
      </c>
    </row>
    <row r="21" spans="1:17">
      <c r="A21" s="3067" t="s">
        <v>3336</v>
      </c>
      <c r="B21" s="3067" t="s">
        <v>3099</v>
      </c>
      <c r="C21" s="3067" t="s">
        <v>3131</v>
      </c>
      <c r="D21" s="3067">
        <v>143969.1</v>
      </c>
      <c r="E21" s="3067">
        <v>165565</v>
      </c>
      <c r="F21" s="3067" t="s">
        <v>3344</v>
      </c>
      <c r="G21" s="3067" t="s">
        <v>3102</v>
      </c>
      <c r="H21" s="3067" t="s">
        <v>3192</v>
      </c>
      <c r="I21" s="3067">
        <v>0</v>
      </c>
      <c r="J21" s="3067" t="s">
        <v>3339</v>
      </c>
      <c r="K21" s="3067" t="s">
        <v>3339</v>
      </c>
      <c r="L21" s="3067">
        <v>79020</v>
      </c>
      <c r="M21" s="3067">
        <v>79020</v>
      </c>
      <c r="N21" s="3067">
        <v>4772.75</v>
      </c>
      <c r="O21" s="3067">
        <v>0</v>
      </c>
      <c r="P21" s="3067" t="s">
        <v>3340</v>
      </c>
      <c r="Q21" s="3067" t="s">
        <v>3129</v>
      </c>
    </row>
    <row r="22" spans="1:17">
      <c r="A22" s="3067" t="s">
        <v>3336</v>
      </c>
      <c r="B22" s="3067" t="s">
        <v>3099</v>
      </c>
      <c r="C22" s="3067" t="s">
        <v>3131</v>
      </c>
      <c r="D22" s="3067">
        <v>177504.3</v>
      </c>
      <c r="E22" s="3067">
        <v>204130</v>
      </c>
      <c r="F22" s="3067" t="s">
        <v>3344</v>
      </c>
      <c r="G22" s="3067" t="s">
        <v>3102</v>
      </c>
      <c r="H22" s="3067" t="s">
        <v>3192</v>
      </c>
      <c r="I22" s="3067">
        <v>0</v>
      </c>
      <c r="J22" s="3067" t="s">
        <v>3339</v>
      </c>
      <c r="K22" s="3067" t="s">
        <v>3339</v>
      </c>
      <c r="L22" s="3067">
        <v>97420</v>
      </c>
      <c r="M22" s="3067">
        <v>97420</v>
      </c>
      <c r="N22" s="3067">
        <v>4772.4399999999996</v>
      </c>
      <c r="O22" s="3067">
        <v>0</v>
      </c>
      <c r="P22" s="3067" t="s">
        <v>3340</v>
      </c>
      <c r="Q22" s="3067" t="s">
        <v>3129</v>
      </c>
    </row>
    <row r="23" spans="1:17">
      <c r="A23" s="3067" t="s">
        <v>3130</v>
      </c>
      <c r="B23" s="3067" t="s">
        <v>3099</v>
      </c>
      <c r="C23" s="3067" t="s">
        <v>3131</v>
      </c>
      <c r="D23" s="3067">
        <v>34902.400000000001</v>
      </c>
      <c r="E23" s="3067">
        <v>55843.839999999997</v>
      </c>
      <c r="F23" s="3067" t="s">
        <v>3132</v>
      </c>
      <c r="G23" s="3067" t="s">
        <v>3102</v>
      </c>
      <c r="H23" s="3067" t="s">
        <v>3125</v>
      </c>
      <c r="I23" s="3067" t="s">
        <v>3126</v>
      </c>
      <c r="J23" s="3067" t="s">
        <v>3127</v>
      </c>
      <c r="K23" s="3067" t="s">
        <v>3127</v>
      </c>
      <c r="L23" s="3067">
        <v>26290</v>
      </c>
      <c r="M23" s="3067">
        <v>26290</v>
      </c>
      <c r="N23" s="3067">
        <v>4707.7700000000004</v>
      </c>
      <c r="O23" s="3067">
        <v>0</v>
      </c>
      <c r="P23" s="3067" t="s">
        <v>3133</v>
      </c>
      <c r="Q23" s="3067" t="s">
        <v>3134</v>
      </c>
    </row>
    <row r="24" spans="1:17">
      <c r="A24" s="3067" t="s">
        <v>3161</v>
      </c>
      <c r="B24" s="3067" t="s">
        <v>3099</v>
      </c>
      <c r="C24" s="3067" t="s">
        <v>3131</v>
      </c>
      <c r="D24" s="3067">
        <v>70556.7</v>
      </c>
      <c r="E24" s="3067">
        <v>112890</v>
      </c>
      <c r="F24" s="3067" t="s">
        <v>3240</v>
      </c>
      <c r="G24" s="3067" t="s">
        <v>3102</v>
      </c>
      <c r="H24" s="3067" t="s">
        <v>3192</v>
      </c>
      <c r="I24" s="3067">
        <v>0</v>
      </c>
      <c r="J24" s="3067" t="s">
        <v>3288</v>
      </c>
      <c r="K24" s="3067" t="s">
        <v>3288</v>
      </c>
      <c r="L24" s="3067">
        <v>40770</v>
      </c>
      <c r="M24" s="3067">
        <v>40770</v>
      </c>
      <c r="N24" s="3067">
        <v>3611.48</v>
      </c>
      <c r="O24" s="3067">
        <v>0</v>
      </c>
      <c r="P24" s="3067" t="s">
        <v>3296</v>
      </c>
      <c r="Q24" s="3067" t="s">
        <v>3154</v>
      </c>
    </row>
    <row r="25" spans="1:17">
      <c r="A25" s="3067" t="s">
        <v>3239</v>
      </c>
      <c r="B25" s="3067" t="s">
        <v>3099</v>
      </c>
      <c r="C25" s="3067" t="s">
        <v>3123</v>
      </c>
      <c r="D25" s="3067">
        <v>60474.3</v>
      </c>
      <c r="E25" s="3067">
        <v>96758.88</v>
      </c>
      <c r="F25" s="3067" t="s">
        <v>3240</v>
      </c>
      <c r="G25" s="3067" t="s">
        <v>3102</v>
      </c>
      <c r="H25" s="3067" t="s">
        <v>3125</v>
      </c>
      <c r="I25" s="3067">
        <v>0</v>
      </c>
      <c r="J25" s="3067" t="s">
        <v>3237</v>
      </c>
      <c r="K25" s="3067" t="s">
        <v>3237</v>
      </c>
      <c r="L25" s="3067">
        <v>34746</v>
      </c>
      <c r="M25" s="3067">
        <v>34746</v>
      </c>
      <c r="N25" s="3067">
        <v>3590.98</v>
      </c>
      <c r="O25" s="3067">
        <v>0</v>
      </c>
      <c r="P25" s="3067" t="s">
        <v>3241</v>
      </c>
      <c r="Q25" s="3067" t="s">
        <v>3134</v>
      </c>
    </row>
    <row r="26" spans="1:17">
      <c r="A26" s="1407" t="s">
        <v>3310</v>
      </c>
      <c r="B26" s="1407" t="s">
        <v>3099</v>
      </c>
      <c r="C26" s="1407" t="s">
        <v>3100</v>
      </c>
      <c r="D26" s="1407">
        <v>10065.1</v>
      </c>
      <c r="E26" s="1407">
        <v>25162.75</v>
      </c>
      <c r="F26" s="1407" t="s">
        <v>3494</v>
      </c>
      <c r="G26" s="1407" t="s">
        <v>3102</v>
      </c>
      <c r="H26" s="1407" t="s">
        <v>3100</v>
      </c>
      <c r="I26" s="1407">
        <v>0</v>
      </c>
      <c r="J26" s="1407" t="s">
        <v>3489</v>
      </c>
      <c r="K26" s="1407" t="s">
        <v>3489</v>
      </c>
      <c r="L26" s="1407">
        <v>8600</v>
      </c>
      <c r="M26" s="1407">
        <v>8600</v>
      </c>
      <c r="N26" s="1407">
        <v>3417.75</v>
      </c>
      <c r="O26" s="1407">
        <v>0</v>
      </c>
      <c r="P26" s="1407" t="s">
        <v>3495</v>
      </c>
      <c r="Q26" s="1407" t="s">
        <v>3105</v>
      </c>
    </row>
    <row r="27" spans="1:17">
      <c r="A27" s="3067" t="s">
        <v>3271</v>
      </c>
      <c r="B27" s="3067" t="s">
        <v>3099</v>
      </c>
      <c r="C27" s="3067" t="s">
        <v>3123</v>
      </c>
      <c r="D27" s="3067">
        <v>43938.5</v>
      </c>
      <c r="E27" s="3067">
        <v>57120.05</v>
      </c>
      <c r="F27" s="3067" t="s">
        <v>3272</v>
      </c>
      <c r="G27" s="3067" t="s">
        <v>3102</v>
      </c>
      <c r="H27" s="3067" t="s">
        <v>3125</v>
      </c>
      <c r="I27" s="3067">
        <v>0</v>
      </c>
      <c r="J27" s="3067" t="s">
        <v>3273</v>
      </c>
      <c r="K27" s="3067" t="s">
        <v>3273</v>
      </c>
      <c r="L27" s="3067">
        <v>18470</v>
      </c>
      <c r="M27" s="3067">
        <v>18470</v>
      </c>
      <c r="N27" s="3067">
        <v>3233.53</v>
      </c>
      <c r="O27" s="3067">
        <v>0</v>
      </c>
      <c r="P27" s="3067" t="s">
        <v>3274</v>
      </c>
      <c r="Q27" s="3067" t="s">
        <v>3154</v>
      </c>
    </row>
    <row r="28" spans="1:17">
      <c r="A28" s="3067" t="s">
        <v>3290</v>
      </c>
      <c r="B28" s="3067" t="s">
        <v>3099</v>
      </c>
      <c r="C28" s="3067" t="s">
        <v>3131</v>
      </c>
      <c r="D28" s="3067">
        <v>47367.199999999997</v>
      </c>
      <c r="E28" s="3067">
        <v>71050.8</v>
      </c>
      <c r="F28" s="3067" t="s">
        <v>3291</v>
      </c>
      <c r="G28" s="3067" t="s">
        <v>3102</v>
      </c>
      <c r="H28" s="3067" t="s">
        <v>3292</v>
      </c>
      <c r="I28" s="3067">
        <v>0</v>
      </c>
      <c r="J28" s="3067" t="s">
        <v>3288</v>
      </c>
      <c r="K28" s="3067" t="s">
        <v>3288</v>
      </c>
      <c r="L28" s="3067">
        <v>21330</v>
      </c>
      <c r="M28" s="3067">
        <v>21330</v>
      </c>
      <c r="N28" s="3067">
        <v>3002.07</v>
      </c>
      <c r="O28" s="3067">
        <v>0</v>
      </c>
      <c r="P28" s="3067" t="s">
        <v>3293</v>
      </c>
      <c r="Q28" s="3067" t="s">
        <v>3134</v>
      </c>
    </row>
    <row r="29" spans="1:17">
      <c r="A29" s="3067" t="s">
        <v>3297</v>
      </c>
      <c r="B29" s="3067" t="s">
        <v>3099</v>
      </c>
      <c r="C29" s="3067" t="s">
        <v>3131</v>
      </c>
      <c r="D29" s="3067">
        <v>54490.1</v>
      </c>
      <c r="E29" s="3067">
        <v>78066.03</v>
      </c>
      <c r="F29" s="3067" t="s">
        <v>3298</v>
      </c>
      <c r="G29" s="3067" t="s">
        <v>3102</v>
      </c>
      <c r="H29" s="3067" t="s">
        <v>3299</v>
      </c>
      <c r="I29" s="3067">
        <v>0</v>
      </c>
      <c r="J29" s="3067" t="s">
        <v>3288</v>
      </c>
      <c r="K29" s="3067" t="s">
        <v>3288</v>
      </c>
      <c r="L29" s="3067">
        <v>22890</v>
      </c>
      <c r="M29" s="3067">
        <v>22890</v>
      </c>
      <c r="N29" s="3067">
        <v>2932.13</v>
      </c>
      <c r="O29" s="3067">
        <v>0</v>
      </c>
      <c r="P29" s="3067" t="s">
        <v>3293</v>
      </c>
      <c r="Q29" s="3067" t="s">
        <v>3134</v>
      </c>
    </row>
    <row r="30" spans="1:17">
      <c r="A30" s="3067" t="s">
        <v>3336</v>
      </c>
      <c r="B30" s="3067" t="s">
        <v>3099</v>
      </c>
      <c r="C30" s="3067" t="s">
        <v>3123</v>
      </c>
      <c r="D30" s="3067">
        <v>33973.9</v>
      </c>
      <c r="E30" s="3067">
        <v>84992</v>
      </c>
      <c r="F30" s="3067" t="s">
        <v>3246</v>
      </c>
      <c r="G30" s="3067" t="s">
        <v>3102</v>
      </c>
      <c r="H30" s="3067" t="s">
        <v>3125</v>
      </c>
      <c r="I30" s="3067">
        <v>0</v>
      </c>
      <c r="J30" s="3067" t="s">
        <v>3349</v>
      </c>
      <c r="K30" s="3067" t="s">
        <v>3349</v>
      </c>
      <c r="L30" s="3067">
        <v>24160</v>
      </c>
      <c r="M30" s="3067">
        <v>24160</v>
      </c>
      <c r="N30" s="3067">
        <v>2842.61</v>
      </c>
      <c r="O30" s="3067">
        <v>0</v>
      </c>
      <c r="P30" s="3067" t="s">
        <v>3340</v>
      </c>
      <c r="Q30" s="3067" t="s">
        <v>3154</v>
      </c>
    </row>
    <row r="31" spans="1:17">
      <c r="A31" s="3067" t="s">
        <v>3336</v>
      </c>
      <c r="B31" s="3067" t="s">
        <v>3099</v>
      </c>
      <c r="C31" s="3067" t="s">
        <v>3123</v>
      </c>
      <c r="D31" s="3067">
        <v>34626</v>
      </c>
      <c r="E31" s="3067">
        <v>86566</v>
      </c>
      <c r="F31" s="3067" t="s">
        <v>3246</v>
      </c>
      <c r="G31" s="3067" t="s">
        <v>3102</v>
      </c>
      <c r="H31" s="3067" t="s">
        <v>3125</v>
      </c>
      <c r="I31" s="3067">
        <v>0</v>
      </c>
      <c r="J31" s="3067" t="s">
        <v>3349</v>
      </c>
      <c r="K31" s="3067" t="s">
        <v>3349</v>
      </c>
      <c r="L31" s="3067">
        <v>24600</v>
      </c>
      <c r="M31" s="3067">
        <v>24600</v>
      </c>
      <c r="N31" s="3067">
        <v>2841.76</v>
      </c>
      <c r="O31" s="3067">
        <v>0</v>
      </c>
      <c r="P31" s="3067" t="s">
        <v>3340</v>
      </c>
      <c r="Q31" s="3067" t="s">
        <v>3154</v>
      </c>
    </row>
    <row r="32" spans="1:17">
      <c r="A32" s="3067" t="s">
        <v>3336</v>
      </c>
      <c r="B32" s="3067" t="s">
        <v>3099</v>
      </c>
      <c r="C32" s="3067" t="s">
        <v>3123</v>
      </c>
      <c r="D32" s="3067">
        <v>25413.599999999999</v>
      </c>
      <c r="E32" s="3067">
        <v>63535</v>
      </c>
      <c r="F32" s="3067" t="s">
        <v>3246</v>
      </c>
      <c r="G32" s="3067" t="s">
        <v>3102</v>
      </c>
      <c r="H32" s="3067" t="s">
        <v>3125</v>
      </c>
      <c r="I32" s="3067">
        <v>0</v>
      </c>
      <c r="J32" s="3067" t="s">
        <v>3349</v>
      </c>
      <c r="K32" s="3067" t="s">
        <v>3349</v>
      </c>
      <c r="L32" s="3067">
        <v>18050</v>
      </c>
      <c r="M32" s="3067">
        <v>18050</v>
      </c>
      <c r="N32" s="3067">
        <v>2840.94</v>
      </c>
      <c r="O32" s="3067">
        <v>0</v>
      </c>
      <c r="P32" s="3067" t="s">
        <v>3340</v>
      </c>
      <c r="Q32" s="3067" t="s">
        <v>3154</v>
      </c>
    </row>
    <row r="33" spans="1:17">
      <c r="A33" s="3067" t="s">
        <v>3336</v>
      </c>
      <c r="B33" s="3067" t="s">
        <v>3099</v>
      </c>
      <c r="C33" s="3067" t="s">
        <v>3123</v>
      </c>
      <c r="D33" s="3067">
        <v>36720.9</v>
      </c>
      <c r="E33" s="3067">
        <v>91803</v>
      </c>
      <c r="F33" s="3067" t="s">
        <v>3246</v>
      </c>
      <c r="G33" s="3067" t="s">
        <v>3102</v>
      </c>
      <c r="H33" s="3067" t="s">
        <v>3125</v>
      </c>
      <c r="I33" s="3067">
        <v>0</v>
      </c>
      <c r="J33" s="3067" t="s">
        <v>3349</v>
      </c>
      <c r="K33" s="3067" t="s">
        <v>3349</v>
      </c>
      <c r="L33" s="3067">
        <v>26080</v>
      </c>
      <c r="M33" s="3067">
        <v>26080</v>
      </c>
      <c r="N33" s="3067">
        <v>2840.86</v>
      </c>
      <c r="O33" s="3067">
        <v>0</v>
      </c>
      <c r="P33" s="3067" t="s">
        <v>3340</v>
      </c>
      <c r="Q33" s="3067" t="s">
        <v>3154</v>
      </c>
    </row>
    <row r="34" spans="1:17">
      <c r="A34" s="3067" t="s">
        <v>3135</v>
      </c>
      <c r="B34" s="3067" t="s">
        <v>3099</v>
      </c>
      <c r="C34" s="3067" t="s">
        <v>3131</v>
      </c>
      <c r="D34" s="3067">
        <v>119614.8</v>
      </c>
      <c r="E34" s="3067">
        <v>179422.2</v>
      </c>
      <c r="F34" s="3067" t="s">
        <v>3124</v>
      </c>
      <c r="G34" s="3067" t="s">
        <v>3102</v>
      </c>
      <c r="H34" s="3067" t="s">
        <v>3136</v>
      </c>
      <c r="I34" s="3067" t="s">
        <v>3126</v>
      </c>
      <c r="J34" s="3067" t="s">
        <v>3127</v>
      </c>
      <c r="K34" s="3067" t="s">
        <v>3127</v>
      </c>
      <c r="L34" s="3067">
        <v>50600</v>
      </c>
      <c r="M34" s="3067">
        <v>50600</v>
      </c>
      <c r="N34" s="3067">
        <v>2820.15</v>
      </c>
      <c r="O34" s="3067">
        <v>0</v>
      </c>
      <c r="P34" s="3067" t="s">
        <v>3137</v>
      </c>
      <c r="Q34" s="3067" t="s">
        <v>3134</v>
      </c>
    </row>
    <row r="35" spans="1:17">
      <c r="A35" s="3067" t="s">
        <v>3234</v>
      </c>
      <c r="B35" s="3067" t="s">
        <v>3099</v>
      </c>
      <c r="C35" s="3067" t="s">
        <v>3131</v>
      </c>
      <c r="D35" s="3067">
        <v>148310.70000000001</v>
      </c>
      <c r="E35" s="3067">
        <v>318119.28999999998</v>
      </c>
      <c r="F35" s="3067" t="s">
        <v>3235</v>
      </c>
      <c r="G35" s="3067" t="s">
        <v>3102</v>
      </c>
      <c r="H35" s="3067" t="s">
        <v>3236</v>
      </c>
      <c r="I35" s="3067">
        <v>0</v>
      </c>
      <c r="J35" s="3067" t="s">
        <v>3237</v>
      </c>
      <c r="K35" s="3067" t="s">
        <v>3237</v>
      </c>
      <c r="L35" s="3067">
        <v>86315</v>
      </c>
      <c r="M35" s="3067">
        <v>86315</v>
      </c>
      <c r="N35" s="3067">
        <v>2713.28</v>
      </c>
      <c r="O35" s="3067">
        <v>0</v>
      </c>
      <c r="P35" s="3067" t="s">
        <v>3238</v>
      </c>
      <c r="Q35" s="3067" t="s">
        <v>3140</v>
      </c>
    </row>
    <row r="36" spans="1:17">
      <c r="A36" s="3067" t="s">
        <v>3265</v>
      </c>
      <c r="B36" s="3067" t="s">
        <v>3099</v>
      </c>
      <c r="C36" s="3067" t="s">
        <v>3145</v>
      </c>
      <c r="D36" s="3067">
        <v>2000.5</v>
      </c>
      <c r="E36" s="3067">
        <v>4001</v>
      </c>
      <c r="F36" s="3067" t="s">
        <v>3266</v>
      </c>
      <c r="G36" s="3067" t="s">
        <v>3102</v>
      </c>
      <c r="H36" s="3067" t="s">
        <v>3267</v>
      </c>
      <c r="I36" s="3067">
        <v>0</v>
      </c>
      <c r="J36" s="3067" t="s">
        <v>3258</v>
      </c>
      <c r="K36" s="3067" t="s">
        <v>3258</v>
      </c>
      <c r="L36" s="3067">
        <v>1080</v>
      </c>
      <c r="M36" s="3067">
        <v>1080</v>
      </c>
      <c r="N36" s="3067">
        <v>2699.32</v>
      </c>
      <c r="O36" s="3067">
        <v>0</v>
      </c>
      <c r="P36" s="3067" t="s">
        <v>3268</v>
      </c>
      <c r="Q36" s="3067" t="s">
        <v>3140</v>
      </c>
    </row>
    <row r="37" spans="1:17">
      <c r="A37" s="3067" t="s">
        <v>3262</v>
      </c>
      <c r="B37" s="3067" t="s">
        <v>3099</v>
      </c>
      <c r="C37" s="3067" t="s">
        <v>3145</v>
      </c>
      <c r="D37" s="3067">
        <v>38375.5</v>
      </c>
      <c r="E37" s="3067">
        <v>95938.75</v>
      </c>
      <c r="F37" s="3067" t="s">
        <v>3294</v>
      </c>
      <c r="G37" s="3067" t="s">
        <v>3102</v>
      </c>
      <c r="H37" s="3067" t="s">
        <v>3267</v>
      </c>
      <c r="I37" s="3067">
        <v>0</v>
      </c>
      <c r="J37" s="3067" t="s">
        <v>3288</v>
      </c>
      <c r="K37" s="3067" t="s">
        <v>3288</v>
      </c>
      <c r="L37" s="3067">
        <v>25670</v>
      </c>
      <c r="M37" s="3067">
        <v>25670</v>
      </c>
      <c r="N37" s="3067">
        <v>2675.67</v>
      </c>
      <c r="O37" s="3067">
        <v>0</v>
      </c>
      <c r="P37" s="3067" t="s">
        <v>3295</v>
      </c>
      <c r="Q37" s="3067" t="s">
        <v>3129</v>
      </c>
    </row>
    <row r="38" spans="1:17">
      <c r="A38" s="3067" t="s">
        <v>3336</v>
      </c>
      <c r="B38" s="3067" t="s">
        <v>3099</v>
      </c>
      <c r="C38" s="3067" t="s">
        <v>3131</v>
      </c>
      <c r="D38" s="3067">
        <v>31810.1</v>
      </c>
      <c r="E38" s="3067">
        <v>79526</v>
      </c>
      <c r="F38" s="3067" t="s">
        <v>3246</v>
      </c>
      <c r="G38" s="3067" t="s">
        <v>3102</v>
      </c>
      <c r="H38" s="3067" t="s">
        <v>3192</v>
      </c>
      <c r="I38" s="3067">
        <v>0</v>
      </c>
      <c r="J38" s="3067" t="s">
        <v>3349</v>
      </c>
      <c r="K38" s="3067" t="s">
        <v>3349</v>
      </c>
      <c r="L38" s="3067">
        <v>21170</v>
      </c>
      <c r="M38" s="3067">
        <v>21170</v>
      </c>
      <c r="N38" s="3067">
        <v>2662.01</v>
      </c>
      <c r="O38" s="3067">
        <v>0</v>
      </c>
      <c r="P38" s="3067" t="s">
        <v>3340</v>
      </c>
      <c r="Q38" s="3067" t="s">
        <v>3154</v>
      </c>
    </row>
    <row r="39" spans="1:17">
      <c r="A39" s="3067" t="s">
        <v>3190</v>
      </c>
      <c r="B39" s="3067" t="s">
        <v>3099</v>
      </c>
      <c r="C39" s="3067" t="s">
        <v>3131</v>
      </c>
      <c r="D39" s="3067">
        <v>198661.1</v>
      </c>
      <c r="E39" s="3067">
        <v>288691.20000000001</v>
      </c>
      <c r="F39" s="3067" t="s">
        <v>3191</v>
      </c>
      <c r="G39" s="3067" t="s">
        <v>3102</v>
      </c>
      <c r="H39" s="3067" t="s">
        <v>3192</v>
      </c>
      <c r="I39" s="3067">
        <v>0</v>
      </c>
      <c r="J39" s="3067" t="s">
        <v>3185</v>
      </c>
      <c r="K39" s="3067" t="s">
        <v>3185</v>
      </c>
      <c r="L39" s="3067">
        <v>73890</v>
      </c>
      <c r="M39" s="3067">
        <v>73890</v>
      </c>
      <c r="N39" s="3067">
        <v>2559.48</v>
      </c>
      <c r="O39" s="3067">
        <v>0</v>
      </c>
      <c r="P39" s="3067" t="s">
        <v>3193</v>
      </c>
      <c r="Q39" s="3067" t="s">
        <v>3134</v>
      </c>
    </row>
    <row r="40" spans="1:17">
      <c r="A40" s="3067" t="s">
        <v>3234</v>
      </c>
      <c r="B40" s="3067" t="s">
        <v>3099</v>
      </c>
      <c r="C40" s="3067" t="s">
        <v>3131</v>
      </c>
      <c r="D40" s="3067">
        <v>175153.7</v>
      </c>
      <c r="E40" s="3067">
        <v>286866</v>
      </c>
      <c r="F40" s="3067" t="s">
        <v>3249</v>
      </c>
      <c r="G40" s="3067" t="s">
        <v>3102</v>
      </c>
      <c r="H40" s="3067" t="s">
        <v>3250</v>
      </c>
      <c r="I40" s="3067">
        <v>0</v>
      </c>
      <c r="J40" s="3067" t="s">
        <v>3237</v>
      </c>
      <c r="K40" s="3067" t="s">
        <v>3237</v>
      </c>
      <c r="L40" s="3067">
        <v>60860</v>
      </c>
      <c r="M40" s="3067">
        <v>60860</v>
      </c>
      <c r="N40" s="3067">
        <v>2121.5500000000002</v>
      </c>
      <c r="O40" s="3067">
        <v>0</v>
      </c>
      <c r="P40" s="3067" t="s">
        <v>3238</v>
      </c>
      <c r="Q40" s="3067" t="s">
        <v>3140</v>
      </c>
    </row>
    <row r="41" spans="1:17">
      <c r="A41" s="3067" t="s">
        <v>3106</v>
      </c>
      <c r="B41" s="3067" t="s">
        <v>3099</v>
      </c>
      <c r="C41" s="3067" t="s">
        <v>3100</v>
      </c>
      <c r="D41" s="3067">
        <v>20899.400000000001</v>
      </c>
      <c r="E41" s="3067">
        <v>20899.400000000001</v>
      </c>
      <c r="F41" s="3067" t="s">
        <v>3101</v>
      </c>
      <c r="G41" s="3067" t="s">
        <v>3102</v>
      </c>
      <c r="H41" s="3067" t="s">
        <v>3100</v>
      </c>
      <c r="I41" s="3067">
        <v>0</v>
      </c>
      <c r="J41" s="3067" t="s">
        <v>3200</v>
      </c>
      <c r="K41" s="3067" t="s">
        <v>3200</v>
      </c>
      <c r="L41" s="3067">
        <v>4150</v>
      </c>
      <c r="M41" s="3067">
        <v>4150</v>
      </c>
      <c r="N41" s="3067">
        <v>1985.7</v>
      </c>
      <c r="O41" s="3067">
        <v>0</v>
      </c>
      <c r="P41" s="3067" t="s">
        <v>3205</v>
      </c>
      <c r="Q41" s="3067" t="s">
        <v>3105</v>
      </c>
    </row>
    <row r="42" spans="1:17">
      <c r="A42" s="3067" t="s">
        <v>3397</v>
      </c>
      <c r="B42" s="3067" t="s">
        <v>3099</v>
      </c>
      <c r="C42" s="3067" t="s">
        <v>3100</v>
      </c>
      <c r="D42" s="3067">
        <v>68267.7</v>
      </c>
      <c r="E42" s="3067">
        <v>23893.7</v>
      </c>
      <c r="F42" s="3067" t="s">
        <v>3398</v>
      </c>
      <c r="G42" s="3067" t="s">
        <v>3102</v>
      </c>
      <c r="H42" s="3067" t="s">
        <v>3111</v>
      </c>
      <c r="I42" s="3067">
        <v>0</v>
      </c>
      <c r="J42" s="3067" t="s">
        <v>3399</v>
      </c>
      <c r="K42" s="3067" t="s">
        <v>3399</v>
      </c>
      <c r="L42" s="3067">
        <v>4680</v>
      </c>
      <c r="M42" s="3067">
        <v>4680</v>
      </c>
      <c r="N42" s="3067">
        <v>1958.68</v>
      </c>
      <c r="O42" s="3067">
        <v>0</v>
      </c>
      <c r="P42" s="3067" t="s">
        <v>3400</v>
      </c>
      <c r="Q42" s="3067" t="s">
        <v>3105</v>
      </c>
    </row>
    <row r="43" spans="1:17">
      <c r="A43" s="3067" t="s">
        <v>3202</v>
      </c>
      <c r="B43" s="3067" t="s">
        <v>3099</v>
      </c>
      <c r="C43" s="3067" t="s">
        <v>3100</v>
      </c>
      <c r="D43" s="3067">
        <v>42839</v>
      </c>
      <c r="E43" s="3067">
        <v>25703.4</v>
      </c>
      <c r="F43" s="3067" t="s">
        <v>3203</v>
      </c>
      <c r="G43" s="3067" t="s">
        <v>3102</v>
      </c>
      <c r="H43" s="3067" t="s">
        <v>3170</v>
      </c>
      <c r="I43" s="3067">
        <v>0</v>
      </c>
      <c r="J43" s="3067" t="s">
        <v>3200</v>
      </c>
      <c r="K43" s="3067" t="s">
        <v>3200</v>
      </c>
      <c r="L43" s="3067">
        <v>5010</v>
      </c>
      <c r="M43" s="3067">
        <v>5010</v>
      </c>
      <c r="N43" s="3067">
        <v>1949.16</v>
      </c>
      <c r="O43" s="3067">
        <v>0</v>
      </c>
      <c r="P43" s="3067" t="s">
        <v>3204</v>
      </c>
      <c r="Q43" s="3067" t="s">
        <v>3105</v>
      </c>
    </row>
    <row r="44" spans="1:17">
      <c r="A44" s="3067" t="s">
        <v>3336</v>
      </c>
      <c r="B44" s="3067" t="s">
        <v>3099</v>
      </c>
      <c r="C44" s="3067" t="s">
        <v>3145</v>
      </c>
      <c r="D44" s="3067">
        <v>13784.6</v>
      </c>
      <c r="E44" s="3067">
        <v>13784.9</v>
      </c>
      <c r="F44" s="3067" t="s">
        <v>3224</v>
      </c>
      <c r="G44" s="3067" t="s">
        <v>3102</v>
      </c>
      <c r="H44" s="3067" t="s">
        <v>3345</v>
      </c>
      <c r="I44" s="3067">
        <v>0</v>
      </c>
      <c r="J44" s="3067" t="s">
        <v>3339</v>
      </c>
      <c r="K44" s="3067" t="s">
        <v>3339</v>
      </c>
      <c r="L44" s="3067">
        <v>2610</v>
      </c>
      <c r="M44" s="3067">
        <v>2610</v>
      </c>
      <c r="N44" s="3067">
        <v>1893.38</v>
      </c>
      <c r="O44" s="3067">
        <v>0</v>
      </c>
      <c r="P44" s="3067" t="s">
        <v>3340</v>
      </c>
      <c r="Q44" s="3067" t="s">
        <v>3129</v>
      </c>
    </row>
    <row r="45" spans="1:17">
      <c r="A45" s="3067" t="s">
        <v>3336</v>
      </c>
      <c r="B45" s="3067" t="s">
        <v>3099</v>
      </c>
      <c r="C45" s="3067" t="s">
        <v>3145</v>
      </c>
      <c r="D45" s="3067">
        <v>15103.3</v>
      </c>
      <c r="E45" s="3067">
        <v>15103.9</v>
      </c>
      <c r="F45" s="3067" t="s">
        <v>3224</v>
      </c>
      <c r="G45" s="3067" t="s">
        <v>3102</v>
      </c>
      <c r="H45" s="3067" t="s">
        <v>3345</v>
      </c>
      <c r="I45" s="3067">
        <v>0</v>
      </c>
      <c r="J45" s="3067" t="s">
        <v>3339</v>
      </c>
      <c r="K45" s="3067" t="s">
        <v>3339</v>
      </c>
      <c r="L45" s="3067">
        <v>2850</v>
      </c>
      <c r="M45" s="3067">
        <v>2850</v>
      </c>
      <c r="N45" s="3067">
        <v>1886.93</v>
      </c>
      <c r="O45" s="3067">
        <v>0</v>
      </c>
      <c r="P45" s="3067" t="s">
        <v>3340</v>
      </c>
      <c r="Q45" s="3067" t="s">
        <v>3129</v>
      </c>
    </row>
    <row r="46" spans="1:17">
      <c r="A46" s="3067" t="s">
        <v>3350</v>
      </c>
      <c r="B46" s="3067" t="s">
        <v>3099</v>
      </c>
      <c r="C46" s="3067" t="s">
        <v>3145</v>
      </c>
      <c r="D46" s="3067">
        <v>8025</v>
      </c>
      <c r="E46" s="3067">
        <v>13642.5</v>
      </c>
      <c r="F46" s="3067" t="s">
        <v>3351</v>
      </c>
      <c r="G46" s="3067" t="s">
        <v>3102</v>
      </c>
      <c r="H46" s="3067" t="s">
        <v>3352</v>
      </c>
      <c r="I46" s="3067">
        <v>0</v>
      </c>
      <c r="J46" s="3067" t="s">
        <v>3349</v>
      </c>
      <c r="K46" s="3067" t="s">
        <v>3349</v>
      </c>
      <c r="L46" s="3067">
        <v>2090</v>
      </c>
      <c r="M46" s="3067">
        <v>2090</v>
      </c>
      <c r="N46" s="3067">
        <v>1531.98</v>
      </c>
      <c r="O46" s="3067">
        <v>0</v>
      </c>
      <c r="P46" s="3067" t="s">
        <v>3353</v>
      </c>
      <c r="Q46" s="3067" t="s">
        <v>3154</v>
      </c>
    </row>
    <row r="47" spans="1:17">
      <c r="A47" s="1407" t="s">
        <v>3472</v>
      </c>
      <c r="B47" s="1407" t="s">
        <v>3099</v>
      </c>
      <c r="C47" s="1407" t="s">
        <v>3100</v>
      </c>
      <c r="D47" s="1407">
        <v>10010.700000000001</v>
      </c>
      <c r="E47" s="1407">
        <v>8008.56</v>
      </c>
      <c r="F47" s="1407" t="s">
        <v>3473</v>
      </c>
      <c r="G47" s="1407" t="s">
        <v>3102</v>
      </c>
      <c r="H47" s="1407" t="s">
        <v>3170</v>
      </c>
      <c r="I47" s="1407">
        <v>0</v>
      </c>
      <c r="J47" s="1407" t="s">
        <v>3474</v>
      </c>
      <c r="K47" s="1407" t="s">
        <v>3474</v>
      </c>
      <c r="L47" s="1407">
        <v>1190</v>
      </c>
      <c r="M47" s="1407">
        <v>1190</v>
      </c>
      <c r="N47" s="1407">
        <v>1485.91</v>
      </c>
      <c r="O47" s="1407">
        <v>0</v>
      </c>
      <c r="P47" s="1407" t="s">
        <v>3475</v>
      </c>
      <c r="Q47" s="1407" t="s">
        <v>3105</v>
      </c>
    </row>
    <row r="48" spans="1:17">
      <c r="A48" s="3067" t="s">
        <v>3336</v>
      </c>
      <c r="B48" s="3067" t="s">
        <v>3099</v>
      </c>
      <c r="C48" s="3067" t="s">
        <v>3131</v>
      </c>
      <c r="D48" s="3067">
        <v>32997.300000000003</v>
      </c>
      <c r="E48" s="3067">
        <v>174940</v>
      </c>
      <c r="F48" s="3067" t="s">
        <v>3337</v>
      </c>
      <c r="G48" s="3067" t="s">
        <v>3102</v>
      </c>
      <c r="H48" s="3067" t="s">
        <v>3338</v>
      </c>
      <c r="I48" s="3067">
        <v>0</v>
      </c>
      <c r="J48" s="3067" t="s">
        <v>3339</v>
      </c>
      <c r="K48" s="3067" t="s">
        <v>3339</v>
      </c>
      <c r="L48" s="3067">
        <v>24080</v>
      </c>
      <c r="M48" s="3067">
        <v>24080</v>
      </c>
      <c r="N48" s="3067">
        <v>1376.47</v>
      </c>
      <c r="O48" s="3067">
        <v>0</v>
      </c>
      <c r="P48" s="3067" t="s">
        <v>3340</v>
      </c>
      <c r="Q48" s="3067" t="s">
        <v>3154</v>
      </c>
    </row>
    <row r="49" spans="1:17">
      <c r="A49" s="1407" t="s">
        <v>3310</v>
      </c>
      <c r="B49" s="1407" t="s">
        <v>3099</v>
      </c>
      <c r="C49" s="1407" t="s">
        <v>3100</v>
      </c>
      <c r="D49" s="1407">
        <v>202531.3</v>
      </c>
      <c r="E49" s="1407">
        <v>303796.95</v>
      </c>
      <c r="F49" s="1407" t="s">
        <v>3499</v>
      </c>
      <c r="G49" s="1407" t="s">
        <v>3102</v>
      </c>
      <c r="H49" s="1407" t="s">
        <v>3100</v>
      </c>
      <c r="I49" s="1407">
        <v>0</v>
      </c>
      <c r="J49" s="1407" t="s">
        <v>3500</v>
      </c>
      <c r="K49" s="1407" t="s">
        <v>3500</v>
      </c>
      <c r="L49" s="1407">
        <v>39880</v>
      </c>
      <c r="M49" s="1407">
        <v>39880</v>
      </c>
      <c r="N49" s="1407">
        <v>1312.72</v>
      </c>
      <c r="O49" s="1407">
        <v>0</v>
      </c>
      <c r="P49" s="1407" t="s">
        <v>3501</v>
      </c>
      <c r="Q49" s="1407" t="s">
        <v>3105</v>
      </c>
    </row>
    <row r="50" spans="1:17">
      <c r="A50" s="3067" t="s">
        <v>3144</v>
      </c>
      <c r="B50" s="3067" t="s">
        <v>3099</v>
      </c>
      <c r="C50" s="3067" t="s">
        <v>3145</v>
      </c>
      <c r="D50" s="3067">
        <v>13805.5</v>
      </c>
      <c r="E50" s="3067">
        <v>41416.5</v>
      </c>
      <c r="F50" s="3067" t="s">
        <v>3146</v>
      </c>
      <c r="G50" s="3067" t="s">
        <v>3102</v>
      </c>
      <c r="H50" s="3067" t="s">
        <v>3147</v>
      </c>
      <c r="I50" s="3067">
        <v>0</v>
      </c>
      <c r="J50" s="3067" t="s">
        <v>3148</v>
      </c>
      <c r="K50" s="3067" t="s">
        <v>3148</v>
      </c>
      <c r="L50" s="3067">
        <v>5120</v>
      </c>
      <c r="M50" s="3067">
        <v>5120</v>
      </c>
      <c r="N50" s="3067">
        <v>1236.22</v>
      </c>
      <c r="O50" s="3067">
        <v>0</v>
      </c>
      <c r="P50" s="3067" t="s">
        <v>3149</v>
      </c>
      <c r="Q50" s="3067" t="s">
        <v>3134</v>
      </c>
    </row>
    <row r="51" spans="1:17">
      <c r="A51" s="3067" t="s">
        <v>3227</v>
      </c>
      <c r="B51" s="3067" t="s">
        <v>3099</v>
      </c>
      <c r="C51" s="3067" t="s">
        <v>3100</v>
      </c>
      <c r="D51" s="3067">
        <v>25067.4</v>
      </c>
      <c r="E51" s="3067">
        <v>15040.44</v>
      </c>
      <c r="F51" s="3067" t="s">
        <v>3228</v>
      </c>
      <c r="G51" s="3067" t="s">
        <v>3102</v>
      </c>
      <c r="H51" s="3067" t="s">
        <v>3100</v>
      </c>
      <c r="I51" s="3067">
        <v>0</v>
      </c>
      <c r="J51" s="3067" t="s">
        <v>3229</v>
      </c>
      <c r="K51" s="3067" t="s">
        <v>3229</v>
      </c>
      <c r="L51" s="3067">
        <v>1630</v>
      </c>
      <c r="M51" s="3067">
        <v>1630</v>
      </c>
      <c r="N51" s="3067">
        <v>1083.74</v>
      </c>
      <c r="O51" s="3067">
        <v>0</v>
      </c>
      <c r="P51" s="3067" t="s">
        <v>3230</v>
      </c>
      <c r="Q51" s="3067" t="s">
        <v>3105</v>
      </c>
    </row>
    <row r="52" spans="1:17">
      <c r="A52" s="3067" t="s">
        <v>3168</v>
      </c>
      <c r="B52" s="3067" t="s">
        <v>3099</v>
      </c>
      <c r="C52" s="3067" t="s">
        <v>3100</v>
      </c>
      <c r="D52" s="3067">
        <v>24978</v>
      </c>
      <c r="E52" s="3067">
        <v>14986.8</v>
      </c>
      <c r="F52" s="3067" t="s">
        <v>3228</v>
      </c>
      <c r="G52" s="3067" t="s">
        <v>3102</v>
      </c>
      <c r="H52" s="3067" t="s">
        <v>3100</v>
      </c>
      <c r="I52" s="3067">
        <v>0</v>
      </c>
      <c r="J52" s="3067" t="s">
        <v>3431</v>
      </c>
      <c r="K52" s="3067" t="s">
        <v>3431</v>
      </c>
      <c r="L52" s="3067">
        <v>1380</v>
      </c>
      <c r="M52" s="3067">
        <v>1380</v>
      </c>
      <c r="N52" s="3067">
        <v>920.8</v>
      </c>
      <c r="O52" s="3067">
        <v>0</v>
      </c>
      <c r="P52" s="3067" t="s">
        <v>3432</v>
      </c>
      <c r="Q52" s="3067" t="s">
        <v>3105</v>
      </c>
    </row>
    <row r="53" spans="1:17">
      <c r="A53" s="3067" t="s">
        <v>3336</v>
      </c>
      <c r="B53" s="3067" t="s">
        <v>3099</v>
      </c>
      <c r="C53" s="3067" t="s">
        <v>3173</v>
      </c>
      <c r="D53" s="3067">
        <v>4560</v>
      </c>
      <c r="E53" s="3067">
        <v>3192</v>
      </c>
      <c r="F53" s="3067" t="s">
        <v>3341</v>
      </c>
      <c r="G53" s="3067" t="s">
        <v>3102</v>
      </c>
      <c r="H53" s="3067" t="s">
        <v>3342</v>
      </c>
      <c r="I53" s="3067">
        <v>0</v>
      </c>
      <c r="J53" s="3067" t="s">
        <v>3339</v>
      </c>
      <c r="K53" s="3067" t="s">
        <v>3339</v>
      </c>
      <c r="L53" s="3067">
        <v>280</v>
      </c>
      <c r="M53" s="3067">
        <v>280</v>
      </c>
      <c r="N53" s="3067">
        <v>877.19</v>
      </c>
      <c r="O53" s="3067">
        <v>0</v>
      </c>
      <c r="P53" s="3067" t="s">
        <v>3340</v>
      </c>
      <c r="Q53" s="3067" t="s">
        <v>3105</v>
      </c>
    </row>
    <row r="54" spans="1:17">
      <c r="A54" s="3067" t="s">
        <v>3336</v>
      </c>
      <c r="B54" s="3067" t="s">
        <v>3099</v>
      </c>
      <c r="C54" s="3067" t="s">
        <v>3173</v>
      </c>
      <c r="D54" s="3067">
        <v>5753.9</v>
      </c>
      <c r="E54" s="3067">
        <v>4027</v>
      </c>
      <c r="F54" s="3067" t="s">
        <v>3341</v>
      </c>
      <c r="G54" s="3067" t="s">
        <v>3102</v>
      </c>
      <c r="H54" s="3067" t="s">
        <v>3342</v>
      </c>
      <c r="I54" s="3067">
        <v>0</v>
      </c>
      <c r="J54" s="3067" t="s">
        <v>3339</v>
      </c>
      <c r="K54" s="3067" t="s">
        <v>3339</v>
      </c>
      <c r="L54" s="3067">
        <v>340</v>
      </c>
      <c r="M54" s="3067">
        <v>340</v>
      </c>
      <c r="N54" s="3067">
        <v>844.29</v>
      </c>
      <c r="O54" s="3067">
        <v>0</v>
      </c>
      <c r="P54" s="3067" t="s">
        <v>3340</v>
      </c>
      <c r="Q54" s="3067" t="s">
        <v>3105</v>
      </c>
    </row>
    <row r="55" spans="1:17">
      <c r="A55" s="3066" t="s">
        <v>3354</v>
      </c>
      <c r="B55" s="3067" t="s">
        <v>3099</v>
      </c>
      <c r="C55" s="3067" t="s">
        <v>3100</v>
      </c>
      <c r="D55" s="3067">
        <v>32819.1</v>
      </c>
      <c r="E55" s="3067">
        <v>22973.37</v>
      </c>
      <c r="F55" s="3067" t="s">
        <v>3308</v>
      </c>
      <c r="G55" s="3067" t="s">
        <v>3102</v>
      </c>
      <c r="H55" s="3067" t="s">
        <v>3100</v>
      </c>
      <c r="I55" s="3067">
        <v>0</v>
      </c>
      <c r="J55" s="3067" t="s">
        <v>3339</v>
      </c>
      <c r="K55" s="3067" t="s">
        <v>3339</v>
      </c>
      <c r="L55" s="3067">
        <v>1860</v>
      </c>
      <c r="M55" s="3067">
        <v>1860</v>
      </c>
      <c r="N55" s="3067">
        <v>809.62</v>
      </c>
      <c r="O55" s="3067">
        <v>0</v>
      </c>
      <c r="P55" s="3067" t="s">
        <v>3343</v>
      </c>
      <c r="Q55" s="3067" t="s">
        <v>3105</v>
      </c>
    </row>
    <row r="56" spans="1:17">
      <c r="A56" s="3067" t="s">
        <v>3406</v>
      </c>
      <c r="B56" s="3067" t="s">
        <v>3099</v>
      </c>
      <c r="C56" s="3067" t="s">
        <v>3100</v>
      </c>
      <c r="D56" s="3067">
        <v>21000.9</v>
      </c>
      <c r="E56" s="3067">
        <v>14700.63</v>
      </c>
      <c r="F56" s="3067" t="s">
        <v>3308</v>
      </c>
      <c r="G56" s="3067" t="s">
        <v>3102</v>
      </c>
      <c r="H56" s="3067" t="s">
        <v>3100</v>
      </c>
      <c r="I56" s="3067">
        <v>0</v>
      </c>
      <c r="J56" s="3067" t="s">
        <v>3401</v>
      </c>
      <c r="K56" s="3067" t="s">
        <v>3401</v>
      </c>
      <c r="L56" s="3067">
        <v>1190</v>
      </c>
      <c r="M56" s="3067">
        <v>1190</v>
      </c>
      <c r="N56" s="3067">
        <v>809.49</v>
      </c>
      <c r="O56" s="3067">
        <v>0</v>
      </c>
      <c r="P56" s="3067" t="s">
        <v>3407</v>
      </c>
      <c r="Q56" s="3067" t="s">
        <v>3105</v>
      </c>
    </row>
    <row r="57" spans="1:17">
      <c r="A57" s="1407" t="s">
        <v>3498</v>
      </c>
      <c r="B57" s="1407" t="s">
        <v>3099</v>
      </c>
      <c r="C57" s="1407" t="s">
        <v>3100</v>
      </c>
      <c r="D57" s="1407">
        <v>25819</v>
      </c>
      <c r="E57" s="1407">
        <v>18073.3</v>
      </c>
      <c r="F57" s="1407" t="s">
        <v>3308</v>
      </c>
      <c r="G57" s="1407" t="s">
        <v>3102</v>
      </c>
      <c r="H57" s="1407" t="s">
        <v>3100</v>
      </c>
      <c r="I57" s="1407">
        <v>0</v>
      </c>
      <c r="J57" s="1407" t="s">
        <v>3497</v>
      </c>
      <c r="K57" s="1407" t="s">
        <v>3497</v>
      </c>
      <c r="L57" s="1407">
        <v>1460</v>
      </c>
      <c r="M57" s="1407">
        <v>1460</v>
      </c>
      <c r="N57" s="1407">
        <v>807.82</v>
      </c>
      <c r="O57" s="1407">
        <v>0</v>
      </c>
      <c r="P57" s="1407" t="s">
        <v>3316</v>
      </c>
      <c r="Q57" s="1407" t="s">
        <v>3105</v>
      </c>
    </row>
    <row r="58" spans="1:17" s="3063" customFormat="1">
      <c r="A58" s="3062" t="s">
        <v>3496</v>
      </c>
      <c r="B58" s="3062" t="s">
        <v>3099</v>
      </c>
      <c r="C58" s="3062" t="s">
        <v>3100</v>
      </c>
      <c r="D58" s="3062">
        <v>62112</v>
      </c>
      <c r="E58" s="3062">
        <v>43478.400000000001</v>
      </c>
      <c r="F58" s="3062" t="s">
        <v>3308</v>
      </c>
      <c r="G58" s="3062" t="s">
        <v>3102</v>
      </c>
      <c r="H58" s="3062" t="s">
        <v>3100</v>
      </c>
      <c r="I58" s="3062">
        <v>0</v>
      </c>
      <c r="J58" s="3062" t="s">
        <v>3497</v>
      </c>
      <c r="K58" s="3062" t="s">
        <v>3497</v>
      </c>
      <c r="L58" s="3062">
        <v>3510</v>
      </c>
      <c r="M58" s="3062">
        <v>3510</v>
      </c>
      <c r="N58" s="3062">
        <v>807.29</v>
      </c>
      <c r="O58" s="3062">
        <v>0</v>
      </c>
      <c r="P58" s="3062" t="s">
        <v>3316</v>
      </c>
      <c r="Q58" s="3062" t="s">
        <v>3105</v>
      </c>
    </row>
    <row r="59" spans="1:17">
      <c r="A59" s="1407" t="s">
        <v>3538</v>
      </c>
      <c r="B59" s="1407" t="s">
        <v>3099</v>
      </c>
      <c r="C59" s="1407" t="s">
        <v>3100</v>
      </c>
      <c r="D59" s="1407">
        <v>100002.5</v>
      </c>
      <c r="E59" s="1407">
        <v>70001.75</v>
      </c>
      <c r="F59" s="1407" t="s">
        <v>3308</v>
      </c>
      <c r="G59" s="1407" t="s">
        <v>3102</v>
      </c>
      <c r="H59" s="1407" t="s">
        <v>3100</v>
      </c>
      <c r="I59" s="1407">
        <v>0</v>
      </c>
      <c r="J59" s="1407" t="s">
        <v>3533</v>
      </c>
      <c r="K59" s="1407" t="s">
        <v>3533</v>
      </c>
      <c r="L59" s="1407">
        <v>5650</v>
      </c>
      <c r="M59" s="1407">
        <v>5650</v>
      </c>
      <c r="N59" s="1407">
        <v>807.12</v>
      </c>
      <c r="O59" s="1407">
        <v>0</v>
      </c>
      <c r="P59" s="1407" t="s">
        <v>3539</v>
      </c>
      <c r="Q59" s="1407" t="s">
        <v>3105</v>
      </c>
    </row>
    <row r="60" spans="1:17" s="3065" customFormat="1">
      <c r="A60" s="3064" t="s">
        <v>3459</v>
      </c>
      <c r="B60" s="3064" t="s">
        <v>3099</v>
      </c>
      <c r="C60" s="3064" t="s">
        <v>3100</v>
      </c>
      <c r="D60" s="3064">
        <v>57398</v>
      </c>
      <c r="E60" s="3064">
        <v>40178.6</v>
      </c>
      <c r="F60" s="3064" t="s">
        <v>3308</v>
      </c>
      <c r="G60" s="3064" t="s">
        <v>3102</v>
      </c>
      <c r="H60" s="3064" t="s">
        <v>3100</v>
      </c>
      <c r="I60" s="3064">
        <v>0</v>
      </c>
      <c r="J60" s="3064" t="s">
        <v>3460</v>
      </c>
      <c r="K60" s="3064" t="s">
        <v>3460</v>
      </c>
      <c r="L60" s="3064">
        <v>3240</v>
      </c>
      <c r="M60" s="3064">
        <v>3240</v>
      </c>
      <c r="N60" s="3064">
        <v>806.39</v>
      </c>
      <c r="O60" s="3064">
        <v>0</v>
      </c>
      <c r="P60" s="3064" t="s">
        <v>3461</v>
      </c>
      <c r="Q60" s="3064" t="s">
        <v>3105</v>
      </c>
    </row>
    <row r="61" spans="1:17" s="3065" customFormat="1">
      <c r="A61" s="3064" t="s">
        <v>3462</v>
      </c>
      <c r="B61" s="3064" t="s">
        <v>3099</v>
      </c>
      <c r="C61" s="3064" t="s">
        <v>3100</v>
      </c>
      <c r="D61" s="3064">
        <v>14000.5</v>
      </c>
      <c r="E61" s="3064">
        <v>9800.35</v>
      </c>
      <c r="F61" s="3064" t="s">
        <v>3308</v>
      </c>
      <c r="G61" s="3064" t="s">
        <v>3102</v>
      </c>
      <c r="H61" s="3064" t="s">
        <v>3100</v>
      </c>
      <c r="I61" s="3064">
        <v>0</v>
      </c>
      <c r="J61" s="3064" t="s">
        <v>3463</v>
      </c>
      <c r="K61" s="3064" t="s">
        <v>3463</v>
      </c>
      <c r="L61" s="3064">
        <v>790</v>
      </c>
      <c r="M61" s="3064">
        <v>790</v>
      </c>
      <c r="N61" s="3064">
        <v>806.09</v>
      </c>
      <c r="O61" s="3064">
        <v>0</v>
      </c>
      <c r="P61" s="3064" t="s">
        <v>3464</v>
      </c>
      <c r="Q61" s="3064" t="s">
        <v>3105</v>
      </c>
    </row>
    <row r="62" spans="1:17">
      <c r="A62" s="3067" t="s">
        <v>3360</v>
      </c>
      <c r="B62" s="3067" t="s">
        <v>3099</v>
      </c>
      <c r="C62" s="3067" t="s">
        <v>3100</v>
      </c>
      <c r="D62" s="3067">
        <v>74618.600000000006</v>
      </c>
      <c r="E62" s="3067">
        <v>52233.02</v>
      </c>
      <c r="F62" s="3067" t="s">
        <v>3308</v>
      </c>
      <c r="G62" s="3067" t="s">
        <v>3102</v>
      </c>
      <c r="H62" s="3067" t="s">
        <v>3100</v>
      </c>
      <c r="I62" s="3067">
        <v>0</v>
      </c>
      <c r="J62" s="3067" t="s">
        <v>3356</v>
      </c>
      <c r="K62" s="3067" t="s">
        <v>3356</v>
      </c>
      <c r="L62" s="3067">
        <v>4210</v>
      </c>
      <c r="M62" s="3067">
        <v>4210</v>
      </c>
      <c r="N62" s="3067">
        <v>806</v>
      </c>
      <c r="O62" s="3067">
        <v>0</v>
      </c>
      <c r="P62" s="3067" t="s">
        <v>3361</v>
      </c>
      <c r="Q62" s="3067" t="s">
        <v>3105</v>
      </c>
    </row>
    <row r="63" spans="1:17">
      <c r="A63" s="3067" t="s">
        <v>3402</v>
      </c>
      <c r="B63" s="3067" t="s">
        <v>3099</v>
      </c>
      <c r="C63" s="3067" t="s">
        <v>3100</v>
      </c>
      <c r="D63" s="3067">
        <v>15069.5</v>
      </c>
      <c r="E63" s="3067">
        <v>10548.65</v>
      </c>
      <c r="F63" s="3067" t="s">
        <v>3308</v>
      </c>
      <c r="G63" s="3067" t="s">
        <v>3102</v>
      </c>
      <c r="H63" s="3067" t="s">
        <v>3100</v>
      </c>
      <c r="I63" s="3067">
        <v>0</v>
      </c>
      <c r="J63" s="3067" t="s">
        <v>3401</v>
      </c>
      <c r="K63" s="3067" t="s">
        <v>3401</v>
      </c>
      <c r="L63" s="3067">
        <v>850</v>
      </c>
      <c r="M63" s="3067">
        <v>850</v>
      </c>
      <c r="N63" s="3067">
        <v>805.78</v>
      </c>
      <c r="O63" s="3067">
        <v>0</v>
      </c>
      <c r="P63" s="3067" t="s">
        <v>3403</v>
      </c>
      <c r="Q63" s="3067" t="s">
        <v>3105</v>
      </c>
    </row>
    <row r="64" spans="1:17">
      <c r="A64" s="3067" t="s">
        <v>3445</v>
      </c>
      <c r="B64" s="3067" t="s">
        <v>3099</v>
      </c>
      <c r="C64" s="3067" t="s">
        <v>3100</v>
      </c>
      <c r="D64" s="3067">
        <v>44001.1</v>
      </c>
      <c r="E64" s="3067">
        <v>30800.77</v>
      </c>
      <c r="F64" s="3067" t="s">
        <v>3308</v>
      </c>
      <c r="G64" s="3067" t="s">
        <v>3102</v>
      </c>
      <c r="H64" s="3067" t="s">
        <v>3100</v>
      </c>
      <c r="I64" s="3067">
        <v>0</v>
      </c>
      <c r="J64" s="3067" t="s">
        <v>3446</v>
      </c>
      <c r="K64" s="3067" t="s">
        <v>3446</v>
      </c>
      <c r="L64" s="3067">
        <v>2480</v>
      </c>
      <c r="M64" s="3067">
        <v>2480</v>
      </c>
      <c r="N64" s="3067">
        <v>805.16</v>
      </c>
      <c r="O64" s="3067">
        <v>0</v>
      </c>
      <c r="P64" s="3067" t="s">
        <v>3447</v>
      </c>
      <c r="Q64" s="3067" t="s">
        <v>3105</v>
      </c>
    </row>
    <row r="65" spans="1:17" s="3063" customFormat="1">
      <c r="A65" s="3062" t="s">
        <v>3413</v>
      </c>
      <c r="B65" s="3062" t="s">
        <v>3099</v>
      </c>
      <c r="C65" s="3062" t="s">
        <v>3100</v>
      </c>
      <c r="D65" s="3062">
        <v>140092.29999999999</v>
      </c>
      <c r="E65" s="3062">
        <v>98064.61</v>
      </c>
      <c r="F65" s="3062" t="s">
        <v>3308</v>
      </c>
      <c r="G65" s="3062" t="s">
        <v>3102</v>
      </c>
      <c r="H65" s="3062" t="s">
        <v>3100</v>
      </c>
      <c r="I65" s="3062">
        <v>0</v>
      </c>
      <c r="J65" s="3062" t="s">
        <v>3411</v>
      </c>
      <c r="K65" s="3062" t="s">
        <v>3411</v>
      </c>
      <c r="L65" s="3062">
        <v>7880</v>
      </c>
      <c r="M65" s="3062">
        <v>7880</v>
      </c>
      <c r="N65" s="3062">
        <v>803.54</v>
      </c>
      <c r="O65" s="3062">
        <v>0</v>
      </c>
      <c r="P65" s="3062" t="s">
        <v>3316</v>
      </c>
      <c r="Q65" s="3062" t="s">
        <v>3105</v>
      </c>
    </row>
    <row r="66" spans="1:17" s="3063" customFormat="1">
      <c r="A66" s="3062" t="s">
        <v>3520</v>
      </c>
      <c r="B66" s="3062" t="s">
        <v>3099</v>
      </c>
      <c r="C66" s="3062" t="s">
        <v>3100</v>
      </c>
      <c r="D66" s="3062">
        <v>148809.79999999999</v>
      </c>
      <c r="E66" s="3062">
        <v>104166.9</v>
      </c>
      <c r="F66" s="3062" t="s">
        <v>3308</v>
      </c>
      <c r="G66" s="3062" t="s">
        <v>3102</v>
      </c>
      <c r="H66" s="3062" t="s">
        <v>3100</v>
      </c>
      <c r="I66" s="3062">
        <v>0</v>
      </c>
      <c r="J66" s="3062" t="s">
        <v>3518</v>
      </c>
      <c r="K66" s="3062" t="s">
        <v>3518</v>
      </c>
      <c r="L66" s="3062">
        <v>8190</v>
      </c>
      <c r="M66" s="3062">
        <v>8190</v>
      </c>
      <c r="N66" s="3062">
        <v>786.24</v>
      </c>
      <c r="O66" s="3062">
        <v>0</v>
      </c>
      <c r="P66" s="3062" t="s">
        <v>3521</v>
      </c>
      <c r="Q66" s="3062" t="s">
        <v>3105</v>
      </c>
    </row>
    <row r="67" spans="1:17">
      <c r="A67" s="3067" t="s">
        <v>3307</v>
      </c>
      <c r="B67" s="3067" t="s">
        <v>3099</v>
      </c>
      <c r="C67" s="3067" t="s">
        <v>3100</v>
      </c>
      <c r="D67" s="3067">
        <v>39990</v>
      </c>
      <c r="E67" s="3067">
        <v>27993</v>
      </c>
      <c r="F67" s="3067" t="s">
        <v>3308</v>
      </c>
      <c r="G67" s="3067" t="s">
        <v>3102</v>
      </c>
      <c r="H67" s="3067" t="s">
        <v>3100</v>
      </c>
      <c r="I67" s="3067">
        <v>0</v>
      </c>
      <c r="J67" s="3067" t="s">
        <v>3302</v>
      </c>
      <c r="K67" s="3067" t="s">
        <v>3302</v>
      </c>
      <c r="L67" s="3067">
        <v>2200</v>
      </c>
      <c r="M67" s="3067">
        <v>2200</v>
      </c>
      <c r="N67" s="3067">
        <v>785.9</v>
      </c>
      <c r="O67" s="3067">
        <v>0</v>
      </c>
      <c r="P67" s="3067" t="s">
        <v>3309</v>
      </c>
      <c r="Q67" s="3067" t="s">
        <v>3105</v>
      </c>
    </row>
    <row r="68" spans="1:17">
      <c r="A68" s="3066" t="s">
        <v>3248</v>
      </c>
      <c r="B68" s="3067" t="s">
        <v>3099</v>
      </c>
      <c r="C68" s="3067" t="s">
        <v>3100</v>
      </c>
      <c r="D68" s="3067">
        <v>45436.3</v>
      </c>
      <c r="E68" s="3067">
        <v>90872.6</v>
      </c>
      <c r="F68" s="3067" t="s">
        <v>3101</v>
      </c>
      <c r="G68" s="3067" t="s">
        <v>3102</v>
      </c>
      <c r="H68" s="3067" t="s">
        <v>3100</v>
      </c>
      <c r="I68" s="3067">
        <v>0</v>
      </c>
      <c r="J68" s="3067" t="s">
        <v>3162</v>
      </c>
      <c r="K68" s="3067" t="s">
        <v>3162</v>
      </c>
      <c r="L68" s="3067">
        <v>7080</v>
      </c>
      <c r="M68" s="3067">
        <v>7080</v>
      </c>
      <c r="N68" s="3067">
        <v>779.11</v>
      </c>
      <c r="O68" s="3067">
        <v>0</v>
      </c>
      <c r="P68" s="3067" t="s">
        <v>3167</v>
      </c>
      <c r="Q68" s="3067" t="s">
        <v>3105</v>
      </c>
    </row>
    <row r="69" spans="1:17">
      <c r="A69" s="3067" t="s">
        <v>3219</v>
      </c>
      <c r="B69" s="3067" t="s">
        <v>3099</v>
      </c>
      <c r="C69" s="3067" t="s">
        <v>3100</v>
      </c>
      <c r="D69" s="3067">
        <v>21057.9</v>
      </c>
      <c r="E69" s="3067">
        <v>35798.43</v>
      </c>
      <c r="F69" s="3067" t="s">
        <v>3220</v>
      </c>
      <c r="G69" s="3067" t="s">
        <v>3102</v>
      </c>
      <c r="H69" s="3067" t="s">
        <v>3100</v>
      </c>
      <c r="I69" s="3067">
        <v>0</v>
      </c>
      <c r="J69" s="3067" t="s">
        <v>3217</v>
      </c>
      <c r="K69" s="3067" t="s">
        <v>3217</v>
      </c>
      <c r="L69" s="3067">
        <v>2760</v>
      </c>
      <c r="M69" s="3067">
        <v>2760</v>
      </c>
      <c r="N69" s="3067">
        <v>770.98</v>
      </c>
      <c r="O69" s="3067">
        <v>0</v>
      </c>
      <c r="P69" s="3067" t="s">
        <v>3205</v>
      </c>
      <c r="Q69" s="3067" t="s">
        <v>3105</v>
      </c>
    </row>
    <row r="70" spans="1:17">
      <c r="A70" s="3067" t="s">
        <v>3168</v>
      </c>
      <c r="B70" s="3067" t="s">
        <v>3099</v>
      </c>
      <c r="C70" s="3067" t="s">
        <v>3100</v>
      </c>
      <c r="D70" s="3067">
        <v>478988.5</v>
      </c>
      <c r="E70" s="3067">
        <v>478988.5</v>
      </c>
      <c r="F70" s="3067" t="s">
        <v>3169</v>
      </c>
      <c r="G70" s="3067" t="s">
        <v>3102</v>
      </c>
      <c r="H70" s="3067" t="s">
        <v>3170</v>
      </c>
      <c r="I70" s="3067">
        <v>0</v>
      </c>
      <c r="J70" s="3067" t="s">
        <v>3162</v>
      </c>
      <c r="K70" s="3067" t="s">
        <v>3162</v>
      </c>
      <c r="L70" s="3067">
        <v>35930</v>
      </c>
      <c r="M70" s="3067">
        <v>35930</v>
      </c>
      <c r="N70" s="3067">
        <v>750.12</v>
      </c>
      <c r="O70" s="3067">
        <v>0</v>
      </c>
      <c r="P70" s="3067" t="s">
        <v>3171</v>
      </c>
      <c r="Q70" s="3067" t="s">
        <v>3105</v>
      </c>
    </row>
    <row r="71" spans="1:17">
      <c r="A71" s="1407" t="s">
        <v>3542</v>
      </c>
      <c r="B71" s="1407" t="s">
        <v>3099</v>
      </c>
      <c r="C71" s="1407" t="s">
        <v>3100</v>
      </c>
      <c r="D71" s="1407">
        <v>37574.800000000003</v>
      </c>
      <c r="E71" s="1407">
        <v>37574.800000000003</v>
      </c>
      <c r="F71" s="1407" t="s">
        <v>3517</v>
      </c>
      <c r="G71" s="1407" t="s">
        <v>3102</v>
      </c>
      <c r="H71" s="1407" t="s">
        <v>3111</v>
      </c>
      <c r="I71" s="1407">
        <v>0</v>
      </c>
      <c r="J71" s="1407" t="s">
        <v>3540</v>
      </c>
      <c r="K71" s="1407" t="s">
        <v>3540</v>
      </c>
      <c r="L71" s="1407">
        <v>2760</v>
      </c>
      <c r="M71" s="1407">
        <v>2760</v>
      </c>
      <c r="N71" s="1407">
        <v>734.52</v>
      </c>
      <c r="O71" s="1407">
        <v>0</v>
      </c>
      <c r="P71" s="1407" t="s">
        <v>3543</v>
      </c>
      <c r="Q71" s="1407" t="s">
        <v>3105</v>
      </c>
    </row>
    <row r="72" spans="1:17">
      <c r="A72" s="1407" t="s">
        <v>3524</v>
      </c>
      <c r="B72" s="1407" t="s">
        <v>3099</v>
      </c>
      <c r="C72" s="1407" t="s">
        <v>3100</v>
      </c>
      <c r="D72" s="1407">
        <v>76817.100000000006</v>
      </c>
      <c r="E72" s="1407">
        <v>76817.100000000006</v>
      </c>
      <c r="F72" s="1407" t="s">
        <v>3517</v>
      </c>
      <c r="G72" s="1407" t="s">
        <v>3102</v>
      </c>
      <c r="H72" s="1407" t="s">
        <v>3111</v>
      </c>
      <c r="I72" s="1407">
        <v>0</v>
      </c>
      <c r="J72" s="1407" t="s">
        <v>3518</v>
      </c>
      <c r="K72" s="1407" t="s">
        <v>3518</v>
      </c>
      <c r="L72" s="1407">
        <v>5640</v>
      </c>
      <c r="M72" s="1407">
        <v>5640</v>
      </c>
      <c r="N72" s="1407">
        <v>734.21</v>
      </c>
      <c r="O72" s="1407">
        <v>0</v>
      </c>
      <c r="P72" s="1407" t="s">
        <v>3519</v>
      </c>
      <c r="Q72" s="1407" t="s">
        <v>3105</v>
      </c>
    </row>
    <row r="73" spans="1:17">
      <c r="A73" s="1407" t="s">
        <v>3516</v>
      </c>
      <c r="B73" s="1407" t="s">
        <v>3099</v>
      </c>
      <c r="C73" s="1407" t="s">
        <v>3100</v>
      </c>
      <c r="D73" s="1407">
        <v>100799.9</v>
      </c>
      <c r="E73" s="1407">
        <v>100799.9</v>
      </c>
      <c r="F73" s="1407" t="s">
        <v>3517</v>
      </c>
      <c r="G73" s="1407" t="s">
        <v>3102</v>
      </c>
      <c r="H73" s="1407" t="s">
        <v>3111</v>
      </c>
      <c r="I73" s="1407">
        <v>0</v>
      </c>
      <c r="J73" s="1407" t="s">
        <v>3518</v>
      </c>
      <c r="K73" s="1407" t="s">
        <v>3518</v>
      </c>
      <c r="L73" s="1407">
        <v>7400</v>
      </c>
      <c r="M73" s="1407">
        <v>7400</v>
      </c>
      <c r="N73" s="1407">
        <v>734.12</v>
      </c>
      <c r="O73" s="1407">
        <v>0</v>
      </c>
      <c r="P73" s="1407" t="s">
        <v>3519</v>
      </c>
      <c r="Q73" s="1407" t="s">
        <v>3105</v>
      </c>
    </row>
    <row r="74" spans="1:17">
      <c r="A74" s="3067" t="s">
        <v>3336</v>
      </c>
      <c r="B74" s="3067" t="s">
        <v>3099</v>
      </c>
      <c r="C74" s="3067" t="s">
        <v>3173</v>
      </c>
      <c r="D74" s="3067">
        <v>14080</v>
      </c>
      <c r="E74" s="3067">
        <v>11264</v>
      </c>
      <c r="F74" s="3067" t="s">
        <v>3347</v>
      </c>
      <c r="G74" s="3067" t="s">
        <v>3102</v>
      </c>
      <c r="H74" s="3067" t="s">
        <v>3348</v>
      </c>
      <c r="I74" s="3067">
        <v>0</v>
      </c>
      <c r="J74" s="3067" t="s">
        <v>3339</v>
      </c>
      <c r="K74" s="3067" t="s">
        <v>3339</v>
      </c>
      <c r="L74" s="3067">
        <v>810</v>
      </c>
      <c r="M74" s="3067">
        <v>810</v>
      </c>
      <c r="N74" s="3067">
        <v>719.11</v>
      </c>
      <c r="O74" s="3067">
        <v>0</v>
      </c>
      <c r="P74" s="3067" t="s">
        <v>3340</v>
      </c>
      <c r="Q74" s="3067" t="s">
        <v>3105</v>
      </c>
    </row>
    <row r="75" spans="1:17">
      <c r="A75" s="3067" t="s">
        <v>3328</v>
      </c>
      <c r="B75" s="3067" t="s">
        <v>3099</v>
      </c>
      <c r="C75" s="3067" t="s">
        <v>3173</v>
      </c>
      <c r="D75" s="3067">
        <v>6257</v>
      </c>
      <c r="E75" s="3067">
        <v>20000</v>
      </c>
      <c r="F75" s="3067" t="s">
        <v>3335</v>
      </c>
      <c r="G75" s="3067" t="s">
        <v>3102</v>
      </c>
      <c r="H75" s="3067" t="s">
        <v>3330</v>
      </c>
      <c r="I75" s="3067">
        <v>0</v>
      </c>
      <c r="J75" s="3067" t="s">
        <v>3326</v>
      </c>
      <c r="K75" s="3067" t="s">
        <v>3326</v>
      </c>
      <c r="L75" s="3067">
        <v>1358</v>
      </c>
      <c r="M75" s="3067">
        <v>1358</v>
      </c>
      <c r="N75" s="3067">
        <v>679</v>
      </c>
      <c r="O75" s="3067">
        <v>0</v>
      </c>
      <c r="P75" s="3067" t="s">
        <v>3331</v>
      </c>
      <c r="Q75" s="3067" t="s">
        <v>3105</v>
      </c>
    </row>
    <row r="76" spans="1:17">
      <c r="A76" s="3067" t="s">
        <v>3328</v>
      </c>
      <c r="B76" s="3067" t="s">
        <v>3099</v>
      </c>
      <c r="C76" s="3067" t="s">
        <v>3173</v>
      </c>
      <c r="D76" s="3067">
        <v>11117.6</v>
      </c>
      <c r="E76" s="3067">
        <v>31000</v>
      </c>
      <c r="F76" s="3067" t="s">
        <v>3329</v>
      </c>
      <c r="G76" s="3067" t="s">
        <v>3102</v>
      </c>
      <c r="H76" s="3067" t="s">
        <v>3330</v>
      </c>
      <c r="I76" s="3067">
        <v>0</v>
      </c>
      <c r="J76" s="3067" t="s">
        <v>3326</v>
      </c>
      <c r="K76" s="3067" t="s">
        <v>3326</v>
      </c>
      <c r="L76" s="3067">
        <v>2104</v>
      </c>
      <c r="M76" s="3067">
        <v>2104</v>
      </c>
      <c r="N76" s="3067">
        <v>678.71</v>
      </c>
      <c r="O76" s="3067">
        <v>0</v>
      </c>
      <c r="P76" s="3067" t="s">
        <v>3331</v>
      </c>
      <c r="Q76" s="3067" t="s">
        <v>3105</v>
      </c>
    </row>
    <row r="77" spans="1:17">
      <c r="A77" s="3067" t="s">
        <v>3223</v>
      </c>
      <c r="B77" s="3067" t="s">
        <v>3099</v>
      </c>
      <c r="C77" s="3067" t="s">
        <v>3100</v>
      </c>
      <c r="D77" s="3067">
        <v>147309.79999999999</v>
      </c>
      <c r="E77" s="3067">
        <v>147309.79999999999</v>
      </c>
      <c r="F77" s="3067" t="s">
        <v>3224</v>
      </c>
      <c r="G77" s="3067" t="s">
        <v>3102</v>
      </c>
      <c r="H77" s="3067" t="s">
        <v>3111</v>
      </c>
      <c r="I77" s="3067">
        <v>0</v>
      </c>
      <c r="J77" s="3067" t="s">
        <v>3225</v>
      </c>
      <c r="K77" s="3067" t="s">
        <v>3225</v>
      </c>
      <c r="L77" s="3067">
        <v>9800</v>
      </c>
      <c r="M77" s="3067">
        <v>9800</v>
      </c>
      <c r="N77" s="3067">
        <v>665.25</v>
      </c>
      <c r="O77" s="3067">
        <v>0</v>
      </c>
      <c r="P77" s="3067" t="s">
        <v>3226</v>
      </c>
      <c r="Q77" s="3067" t="s">
        <v>3105</v>
      </c>
    </row>
    <row r="78" spans="1:17">
      <c r="A78" s="3067" t="s">
        <v>3253</v>
      </c>
      <c r="B78" s="3067" t="s">
        <v>3099</v>
      </c>
      <c r="C78" s="3067" t="s">
        <v>3100</v>
      </c>
      <c r="D78" s="3067">
        <v>100627</v>
      </c>
      <c r="E78" s="3067">
        <v>201254</v>
      </c>
      <c r="F78" s="3067" t="s">
        <v>3254</v>
      </c>
      <c r="G78" s="3067" t="s">
        <v>3102</v>
      </c>
      <c r="H78" s="3067" t="s">
        <v>3170</v>
      </c>
      <c r="I78" s="3067">
        <v>0</v>
      </c>
      <c r="J78" s="3067" t="s">
        <v>3237</v>
      </c>
      <c r="K78" s="3067" t="s">
        <v>3237</v>
      </c>
      <c r="L78" s="3067">
        <v>12290</v>
      </c>
      <c r="M78" s="3067">
        <v>12290</v>
      </c>
      <c r="N78" s="3067">
        <v>610.66</v>
      </c>
      <c r="O78" s="3067">
        <v>0</v>
      </c>
      <c r="P78" s="3067" t="s">
        <v>3255</v>
      </c>
      <c r="Q78" s="3067" t="s">
        <v>3105</v>
      </c>
    </row>
    <row r="79" spans="1:17">
      <c r="A79" s="3067" t="s">
        <v>3336</v>
      </c>
      <c r="B79" s="3067" t="s">
        <v>3099</v>
      </c>
      <c r="C79" s="3067" t="s">
        <v>3173</v>
      </c>
      <c r="D79" s="3067">
        <v>6600.1</v>
      </c>
      <c r="E79" s="3067">
        <v>6600</v>
      </c>
      <c r="F79" s="3067" t="s">
        <v>3224</v>
      </c>
      <c r="G79" s="3067" t="s">
        <v>3102</v>
      </c>
      <c r="H79" s="3067" t="s">
        <v>3342</v>
      </c>
      <c r="I79" s="3067">
        <v>0</v>
      </c>
      <c r="J79" s="3067" t="s">
        <v>3349</v>
      </c>
      <c r="K79" s="3067" t="s">
        <v>3349</v>
      </c>
      <c r="L79" s="3067">
        <v>400</v>
      </c>
      <c r="M79" s="3067">
        <v>400</v>
      </c>
      <c r="N79" s="3067">
        <v>606.04999999999995</v>
      </c>
      <c r="O79" s="3067">
        <v>0</v>
      </c>
      <c r="P79" s="3067" t="s">
        <v>3340</v>
      </c>
      <c r="Q79" s="3067" t="s">
        <v>3105</v>
      </c>
    </row>
    <row r="80" spans="1:17">
      <c r="A80" s="3067" t="s">
        <v>3336</v>
      </c>
      <c r="B80" s="3067" t="s">
        <v>3099</v>
      </c>
      <c r="C80" s="3067" t="s">
        <v>3173</v>
      </c>
      <c r="D80" s="3067">
        <v>20987.7</v>
      </c>
      <c r="E80" s="3067">
        <v>20987</v>
      </c>
      <c r="F80" s="3067" t="s">
        <v>3224</v>
      </c>
      <c r="G80" s="3067" t="s">
        <v>3102</v>
      </c>
      <c r="H80" s="3067" t="s">
        <v>3348</v>
      </c>
      <c r="I80" s="3067">
        <v>0</v>
      </c>
      <c r="J80" s="3067" t="s">
        <v>3349</v>
      </c>
      <c r="K80" s="3067" t="s">
        <v>3349</v>
      </c>
      <c r="L80" s="3067">
        <v>1270</v>
      </c>
      <c r="M80" s="3067">
        <v>1270</v>
      </c>
      <c r="N80" s="3067">
        <v>605.13</v>
      </c>
      <c r="O80" s="3067">
        <v>0</v>
      </c>
      <c r="P80" s="3067" t="s">
        <v>3340</v>
      </c>
      <c r="Q80" s="3067" t="s">
        <v>3105</v>
      </c>
    </row>
    <row r="81" spans="1:17">
      <c r="A81" s="3067" t="s">
        <v>3358</v>
      </c>
      <c r="B81" s="3067" t="s">
        <v>3099</v>
      </c>
      <c r="C81" s="3067" t="s">
        <v>3100</v>
      </c>
      <c r="D81" s="3067">
        <v>19999.8</v>
      </c>
      <c r="E81" s="3067">
        <v>19999.8</v>
      </c>
      <c r="F81" s="3067" t="s">
        <v>3101</v>
      </c>
      <c r="G81" s="3067" t="s">
        <v>3102</v>
      </c>
      <c r="H81" s="3067" t="s">
        <v>3100</v>
      </c>
      <c r="I81" s="3067">
        <v>0</v>
      </c>
      <c r="J81" s="3067" t="s">
        <v>3356</v>
      </c>
      <c r="K81" s="3067" t="s">
        <v>3356</v>
      </c>
      <c r="L81" s="3067">
        <v>1150</v>
      </c>
      <c r="M81" s="3067">
        <v>1150</v>
      </c>
      <c r="N81" s="3067">
        <v>575</v>
      </c>
      <c r="O81" s="3067">
        <v>0</v>
      </c>
      <c r="P81" s="3067" t="s">
        <v>3359</v>
      </c>
      <c r="Q81" s="3067" t="s">
        <v>3105</v>
      </c>
    </row>
    <row r="82" spans="1:17">
      <c r="A82" s="1407" t="s">
        <v>3262</v>
      </c>
      <c r="B82" s="1407" t="s">
        <v>3099</v>
      </c>
      <c r="C82" s="1407" t="s">
        <v>3100</v>
      </c>
      <c r="D82" s="1407">
        <v>45632.4</v>
      </c>
      <c r="E82" s="1407">
        <v>45632.4</v>
      </c>
      <c r="F82" s="1407" t="s">
        <v>3488</v>
      </c>
      <c r="G82" s="1407" t="s">
        <v>3102</v>
      </c>
      <c r="H82" s="1407" t="s">
        <v>3100</v>
      </c>
      <c r="I82" s="1407">
        <v>0</v>
      </c>
      <c r="J82" s="1407" t="s">
        <v>3489</v>
      </c>
      <c r="K82" s="1407" t="s">
        <v>3489</v>
      </c>
      <c r="L82" s="1407">
        <v>2620</v>
      </c>
      <c r="M82" s="1407">
        <v>2620</v>
      </c>
      <c r="N82" s="1407">
        <v>574.14</v>
      </c>
      <c r="O82" s="1407">
        <v>0</v>
      </c>
      <c r="P82" s="1407" t="s">
        <v>3490</v>
      </c>
      <c r="Q82" s="1407" t="s">
        <v>3105</v>
      </c>
    </row>
    <row r="83" spans="1:17">
      <c r="A83" s="3067" t="s">
        <v>3373</v>
      </c>
      <c r="B83" s="3067" t="s">
        <v>3099</v>
      </c>
      <c r="C83" s="3067" t="s">
        <v>3100</v>
      </c>
      <c r="D83" s="3067">
        <v>372467.5</v>
      </c>
      <c r="E83" s="3067">
        <v>372467.5</v>
      </c>
      <c r="F83" s="3067" t="s">
        <v>3365</v>
      </c>
      <c r="G83" s="3067" t="s">
        <v>3102</v>
      </c>
      <c r="H83" s="3067" t="s">
        <v>3100</v>
      </c>
      <c r="I83" s="3067">
        <v>0</v>
      </c>
      <c r="J83" s="3067" t="s">
        <v>3374</v>
      </c>
      <c r="K83" s="3067" t="s">
        <v>3374</v>
      </c>
      <c r="L83" s="3067">
        <v>21360</v>
      </c>
      <c r="M83" s="3067">
        <v>21360</v>
      </c>
      <c r="N83" s="3067">
        <v>573.47</v>
      </c>
      <c r="O83" s="3067">
        <v>0</v>
      </c>
      <c r="P83" s="3067" t="s">
        <v>3375</v>
      </c>
      <c r="Q83" s="3067" t="s">
        <v>3105</v>
      </c>
    </row>
    <row r="84" spans="1:17">
      <c r="A84" s="1407" t="s">
        <v>3522</v>
      </c>
      <c r="B84" s="1407" t="s">
        <v>3099</v>
      </c>
      <c r="C84" s="1407" t="s">
        <v>3100</v>
      </c>
      <c r="D84" s="1407">
        <v>62287.9</v>
      </c>
      <c r="E84" s="1407">
        <v>62287.9</v>
      </c>
      <c r="F84" s="1407" t="s">
        <v>3101</v>
      </c>
      <c r="G84" s="1407" t="s">
        <v>3102</v>
      </c>
      <c r="H84" s="1407" t="s">
        <v>3100</v>
      </c>
      <c r="I84" s="1407">
        <v>0</v>
      </c>
      <c r="J84" s="1407" t="s">
        <v>3518</v>
      </c>
      <c r="K84" s="1407" t="s">
        <v>3518</v>
      </c>
      <c r="L84" s="1407">
        <v>3520</v>
      </c>
      <c r="M84" s="1407">
        <v>3520</v>
      </c>
      <c r="N84" s="1407">
        <v>565.12</v>
      </c>
      <c r="O84" s="1407">
        <v>0</v>
      </c>
      <c r="P84" s="1407" t="s">
        <v>3523</v>
      </c>
      <c r="Q84" s="1407" t="s">
        <v>3105</v>
      </c>
    </row>
    <row r="85" spans="1:17">
      <c r="A85" s="1407" t="s">
        <v>3560</v>
      </c>
      <c r="B85" s="1407" t="s">
        <v>3099</v>
      </c>
      <c r="C85" s="1407" t="s">
        <v>3100</v>
      </c>
      <c r="D85" s="1407">
        <v>35243.9</v>
      </c>
      <c r="E85" s="1407">
        <v>35243.9</v>
      </c>
      <c r="F85" s="1407" t="s">
        <v>3101</v>
      </c>
      <c r="G85" s="1407" t="s">
        <v>3102</v>
      </c>
      <c r="H85" s="1407" t="s">
        <v>3100</v>
      </c>
      <c r="I85" s="1407">
        <v>0</v>
      </c>
      <c r="J85" s="1407" t="s">
        <v>3561</v>
      </c>
      <c r="K85" s="1407" t="s">
        <v>3561</v>
      </c>
      <c r="L85" s="1407">
        <v>1990</v>
      </c>
      <c r="M85" s="1407">
        <v>1990</v>
      </c>
      <c r="N85" s="1407">
        <v>564.63</v>
      </c>
      <c r="O85" s="1407">
        <v>0</v>
      </c>
      <c r="P85" s="1407" t="s">
        <v>3562</v>
      </c>
      <c r="Q85" s="1407" t="s">
        <v>3105</v>
      </c>
    </row>
    <row r="86" spans="1:17">
      <c r="A86" s="1407" t="s">
        <v>3168</v>
      </c>
      <c r="B86" s="1407" t="s">
        <v>3099</v>
      </c>
      <c r="C86" s="1407" t="s">
        <v>3100</v>
      </c>
      <c r="D86" s="1407">
        <v>193006.9</v>
      </c>
      <c r="E86" s="1407">
        <v>193006.9</v>
      </c>
      <c r="F86" s="1407" t="s">
        <v>3365</v>
      </c>
      <c r="G86" s="1407" t="s">
        <v>3102</v>
      </c>
      <c r="H86" s="1407" t="s">
        <v>3100</v>
      </c>
      <c r="I86" s="1407">
        <v>0</v>
      </c>
      <c r="J86" s="1407" t="s">
        <v>3481</v>
      </c>
      <c r="K86" s="1407" t="s">
        <v>3481</v>
      </c>
      <c r="L86" s="1407">
        <v>10810</v>
      </c>
      <c r="M86" s="1407">
        <v>10810</v>
      </c>
      <c r="N86" s="1407">
        <v>560.08000000000004</v>
      </c>
      <c r="O86" s="1407">
        <v>0</v>
      </c>
      <c r="P86" s="1407" t="s">
        <v>3482</v>
      </c>
      <c r="Q86" s="1407" t="s">
        <v>3105</v>
      </c>
    </row>
    <row r="87" spans="1:17">
      <c r="A87" s="3067" t="s">
        <v>3168</v>
      </c>
      <c r="B87" s="3067" t="s">
        <v>3099</v>
      </c>
      <c r="C87" s="3067" t="s">
        <v>3100</v>
      </c>
      <c r="D87" s="3067">
        <v>20001.7</v>
      </c>
      <c r="E87" s="3067">
        <v>20001.7</v>
      </c>
      <c r="F87" s="3067" t="s">
        <v>3365</v>
      </c>
      <c r="G87" s="3067" t="s">
        <v>3102</v>
      </c>
      <c r="H87" s="3067" t="s">
        <v>3100</v>
      </c>
      <c r="I87" s="3067">
        <v>0</v>
      </c>
      <c r="J87" s="3067" t="s">
        <v>3363</v>
      </c>
      <c r="K87" s="3067" t="s">
        <v>3363</v>
      </c>
      <c r="L87" s="3067">
        <v>1110</v>
      </c>
      <c r="M87" s="3067">
        <v>1110</v>
      </c>
      <c r="N87" s="3067">
        <v>554.95000000000005</v>
      </c>
      <c r="O87" s="3067">
        <v>0</v>
      </c>
      <c r="P87" s="3067" t="s">
        <v>3366</v>
      </c>
      <c r="Q87" s="3067" t="s">
        <v>3105</v>
      </c>
    </row>
    <row r="88" spans="1:17">
      <c r="A88" s="3067" t="s">
        <v>3098</v>
      </c>
      <c r="B88" s="3067" t="s">
        <v>3099</v>
      </c>
      <c r="C88" s="3067" t="s">
        <v>3100</v>
      </c>
      <c r="D88" s="3067">
        <v>60014.1</v>
      </c>
      <c r="E88" s="3067">
        <v>60014.1</v>
      </c>
      <c r="F88" s="3067" t="s">
        <v>3101</v>
      </c>
      <c r="G88" s="3067" t="s">
        <v>3102</v>
      </c>
      <c r="H88" s="3067" t="s">
        <v>3100</v>
      </c>
      <c r="I88" s="3067">
        <v>0</v>
      </c>
      <c r="J88" s="3067" t="s">
        <v>3103</v>
      </c>
      <c r="K88" s="3067" t="s">
        <v>3103</v>
      </c>
      <c r="L88" s="3067">
        <v>3310</v>
      </c>
      <c r="M88" s="3067">
        <v>3310</v>
      </c>
      <c r="N88" s="3067">
        <v>551.53</v>
      </c>
      <c r="O88" s="3067">
        <v>0</v>
      </c>
      <c r="P88" s="3067" t="s">
        <v>3104</v>
      </c>
      <c r="Q88" s="3067" t="s">
        <v>3105</v>
      </c>
    </row>
    <row r="89" spans="1:17">
      <c r="A89" s="3067" t="s">
        <v>3300</v>
      </c>
      <c r="B89" s="3067" t="s">
        <v>3099</v>
      </c>
      <c r="C89" s="3067" t="s">
        <v>3100</v>
      </c>
      <c r="D89" s="3067">
        <v>14229</v>
      </c>
      <c r="E89" s="3067">
        <v>17074.8</v>
      </c>
      <c r="F89" s="3067" t="s">
        <v>3301</v>
      </c>
      <c r="G89" s="3067" t="s">
        <v>3102</v>
      </c>
      <c r="H89" s="3067" t="s">
        <v>3100</v>
      </c>
      <c r="I89" s="3067">
        <v>0</v>
      </c>
      <c r="J89" s="3067" t="s">
        <v>3302</v>
      </c>
      <c r="K89" s="3067" t="s">
        <v>3302</v>
      </c>
      <c r="L89" s="3067">
        <v>910</v>
      </c>
      <c r="M89" s="3067">
        <v>910</v>
      </c>
      <c r="N89" s="3067">
        <v>532.95000000000005</v>
      </c>
      <c r="O89" s="3067">
        <v>0</v>
      </c>
      <c r="P89" s="3067" t="s">
        <v>3303</v>
      </c>
      <c r="Q89" s="3067" t="s">
        <v>3105</v>
      </c>
    </row>
    <row r="90" spans="1:17">
      <c r="A90" s="3067" t="s">
        <v>3310</v>
      </c>
      <c r="B90" s="3067" t="s">
        <v>3099</v>
      </c>
      <c r="C90" s="3067" t="s">
        <v>3100</v>
      </c>
      <c r="D90" s="3067">
        <v>13556.5</v>
      </c>
      <c r="E90" s="3067">
        <v>33891.25</v>
      </c>
      <c r="F90" s="3067" t="s">
        <v>3440</v>
      </c>
      <c r="G90" s="3067" t="s">
        <v>3102</v>
      </c>
      <c r="H90" s="3067" t="s">
        <v>3100</v>
      </c>
      <c r="I90" s="3067">
        <v>0</v>
      </c>
      <c r="J90" s="3067" t="s">
        <v>3441</v>
      </c>
      <c r="K90" s="3067" t="s">
        <v>3441</v>
      </c>
      <c r="L90" s="3067">
        <v>1770</v>
      </c>
      <c r="M90" s="3067">
        <v>1770</v>
      </c>
      <c r="N90" s="3067">
        <v>522.25</v>
      </c>
      <c r="O90" s="3067">
        <v>0</v>
      </c>
      <c r="P90" s="3067" t="s">
        <v>3442</v>
      </c>
      <c r="Q90" s="3067" t="s">
        <v>3105</v>
      </c>
    </row>
    <row r="91" spans="1:17">
      <c r="A91" s="3067" t="s">
        <v>3245</v>
      </c>
      <c r="B91" s="3067" t="s">
        <v>3099</v>
      </c>
      <c r="C91" s="3067" t="s">
        <v>3100</v>
      </c>
      <c r="D91" s="3067">
        <v>52011.4</v>
      </c>
      <c r="E91" s="3067">
        <v>130028.5</v>
      </c>
      <c r="F91" s="3067" t="s">
        <v>3246</v>
      </c>
      <c r="G91" s="3067" t="s">
        <v>3102</v>
      </c>
      <c r="H91" s="3067" t="s">
        <v>3100</v>
      </c>
      <c r="I91" s="3067">
        <v>0</v>
      </c>
      <c r="J91" s="3067" t="s">
        <v>3237</v>
      </c>
      <c r="K91" s="3067" t="s">
        <v>3237</v>
      </c>
      <c r="L91" s="3067">
        <v>6780</v>
      </c>
      <c r="M91" s="3067">
        <v>6780</v>
      </c>
      <c r="N91" s="3067">
        <v>521.41</v>
      </c>
      <c r="O91" s="3067">
        <v>0</v>
      </c>
      <c r="P91" s="3067" t="s">
        <v>3247</v>
      </c>
      <c r="Q91" s="3067" t="s">
        <v>3105</v>
      </c>
    </row>
    <row r="92" spans="1:17">
      <c r="A92" s="1407" t="s">
        <v>3491</v>
      </c>
      <c r="B92" s="1407" t="s">
        <v>3099</v>
      </c>
      <c r="C92" s="1407" t="s">
        <v>3100</v>
      </c>
      <c r="D92" s="1407">
        <v>25539.4</v>
      </c>
      <c r="E92" s="1407">
        <v>25539.4</v>
      </c>
      <c r="F92" s="1407" t="s">
        <v>3492</v>
      </c>
      <c r="G92" s="1407" t="s">
        <v>3102</v>
      </c>
      <c r="H92" s="1407" t="s">
        <v>3100</v>
      </c>
      <c r="I92" s="1407">
        <v>0</v>
      </c>
      <c r="J92" s="1407" t="s">
        <v>3489</v>
      </c>
      <c r="K92" s="1407" t="s">
        <v>3489</v>
      </c>
      <c r="L92" s="1407">
        <v>1300</v>
      </c>
      <c r="M92" s="1407">
        <v>1300</v>
      </c>
      <c r="N92" s="1407">
        <v>509.01</v>
      </c>
      <c r="O92" s="1407">
        <v>0</v>
      </c>
      <c r="P92" s="1407" t="s">
        <v>3493</v>
      </c>
      <c r="Q92" s="1407" t="s">
        <v>3105</v>
      </c>
    </row>
    <row r="93" spans="1:17">
      <c r="A93" s="3067" t="s">
        <v>3106</v>
      </c>
      <c r="B93" s="3067" t="s">
        <v>3099</v>
      </c>
      <c r="C93" s="3067" t="s">
        <v>3100</v>
      </c>
      <c r="D93" s="3067">
        <v>60375.1</v>
      </c>
      <c r="E93" s="3067">
        <v>60375.1</v>
      </c>
      <c r="F93" s="3067" t="s">
        <v>3101</v>
      </c>
      <c r="G93" s="3067" t="s">
        <v>3102</v>
      </c>
      <c r="H93" s="3067" t="s">
        <v>3100</v>
      </c>
      <c r="I93" s="3067">
        <v>0</v>
      </c>
      <c r="J93" s="3067" t="s">
        <v>3217</v>
      </c>
      <c r="K93" s="3067" t="s">
        <v>3217</v>
      </c>
      <c r="L93" s="3067">
        <v>3070</v>
      </c>
      <c r="M93" s="3067">
        <v>3070</v>
      </c>
      <c r="N93" s="3067">
        <v>508.49</v>
      </c>
      <c r="O93" s="3067">
        <v>0</v>
      </c>
      <c r="P93" s="3067" t="s">
        <v>3222</v>
      </c>
      <c r="Q93" s="3067" t="s">
        <v>3105</v>
      </c>
    </row>
    <row r="94" spans="1:17">
      <c r="A94" s="3067" t="s">
        <v>3418</v>
      </c>
      <c r="B94" s="3067" t="s">
        <v>3099</v>
      </c>
      <c r="C94" s="3067" t="s">
        <v>3100</v>
      </c>
      <c r="D94" s="3067">
        <v>65864.399999999994</v>
      </c>
      <c r="E94" s="3067">
        <v>65864.399999999994</v>
      </c>
      <c r="F94" s="3067" t="s">
        <v>3101</v>
      </c>
      <c r="G94" s="3067" t="s">
        <v>3102</v>
      </c>
      <c r="H94" s="3067" t="s">
        <v>3100</v>
      </c>
      <c r="I94" s="3067">
        <v>0</v>
      </c>
      <c r="J94" s="3067" t="s">
        <v>3415</v>
      </c>
      <c r="K94" s="3067" t="s">
        <v>3415</v>
      </c>
      <c r="L94" s="3067">
        <v>3340</v>
      </c>
      <c r="M94" s="3067">
        <v>3340</v>
      </c>
      <c r="N94" s="3067">
        <v>507.1</v>
      </c>
      <c r="O94" s="3067">
        <v>0</v>
      </c>
      <c r="P94" s="3067" t="s">
        <v>3205</v>
      </c>
      <c r="Q94" s="3067" t="s">
        <v>3105</v>
      </c>
    </row>
    <row r="95" spans="1:17">
      <c r="A95" s="3067" t="s">
        <v>3251</v>
      </c>
      <c r="B95" s="3067" t="s">
        <v>3099</v>
      </c>
      <c r="C95" s="3067" t="s">
        <v>3100</v>
      </c>
      <c r="D95" s="3067">
        <v>110249.2</v>
      </c>
      <c r="E95" s="3067">
        <v>110249.2</v>
      </c>
      <c r="F95" s="3067" t="s">
        <v>3101</v>
      </c>
      <c r="G95" s="3067" t="s">
        <v>3102</v>
      </c>
      <c r="H95" s="3067" t="s">
        <v>3100</v>
      </c>
      <c r="I95" s="3067">
        <v>0</v>
      </c>
      <c r="J95" s="3067" t="s">
        <v>3339</v>
      </c>
      <c r="K95" s="3067" t="s">
        <v>3339</v>
      </c>
      <c r="L95" s="3067">
        <v>5590</v>
      </c>
      <c r="M95" s="3067">
        <v>5590</v>
      </c>
      <c r="N95" s="3067">
        <v>507.02</v>
      </c>
      <c r="O95" s="3067">
        <v>0</v>
      </c>
      <c r="P95" s="3067" t="s">
        <v>3346</v>
      </c>
      <c r="Q95" s="3067" t="s">
        <v>3105</v>
      </c>
    </row>
    <row r="96" spans="1:17">
      <c r="A96" s="3067" t="s">
        <v>3106</v>
      </c>
      <c r="B96" s="3067" t="s">
        <v>3099</v>
      </c>
      <c r="C96" s="3067" t="s">
        <v>3100</v>
      </c>
      <c r="D96" s="3067">
        <v>24666.7</v>
      </c>
      <c r="E96" s="3067">
        <v>24666.7</v>
      </c>
      <c r="F96" s="3067" t="s">
        <v>3101</v>
      </c>
      <c r="G96" s="3067" t="s">
        <v>3102</v>
      </c>
      <c r="H96" s="3067" t="s">
        <v>3100</v>
      </c>
      <c r="I96" s="3067">
        <v>0</v>
      </c>
      <c r="J96" s="3067" t="s">
        <v>3107</v>
      </c>
      <c r="K96" s="3067" t="s">
        <v>3107</v>
      </c>
      <c r="L96" s="3067">
        <v>1250</v>
      </c>
      <c r="M96" s="3067">
        <v>1250</v>
      </c>
      <c r="N96" s="3067">
        <v>506.75</v>
      </c>
      <c r="O96" s="3067">
        <v>0</v>
      </c>
      <c r="P96" s="3067" t="s">
        <v>3108</v>
      </c>
      <c r="Q96" s="3067" t="s">
        <v>3105</v>
      </c>
    </row>
    <row r="97" spans="1:17">
      <c r="A97" s="3067" t="s">
        <v>3414</v>
      </c>
      <c r="B97" s="3067" t="s">
        <v>3099</v>
      </c>
      <c r="C97" s="3067" t="s">
        <v>3100</v>
      </c>
      <c r="D97" s="3067">
        <v>28460.7</v>
      </c>
      <c r="E97" s="3067">
        <v>28460.7</v>
      </c>
      <c r="F97" s="3067" t="s">
        <v>3101</v>
      </c>
      <c r="G97" s="3067" t="s">
        <v>3102</v>
      </c>
      <c r="H97" s="3067" t="s">
        <v>3100</v>
      </c>
      <c r="I97" s="3067">
        <v>0</v>
      </c>
      <c r="J97" s="3067" t="s">
        <v>3415</v>
      </c>
      <c r="K97" s="3067" t="s">
        <v>3415</v>
      </c>
      <c r="L97" s="3067">
        <v>1440</v>
      </c>
      <c r="M97" s="3067">
        <v>1440</v>
      </c>
      <c r="N97" s="3067">
        <v>505.95</v>
      </c>
      <c r="O97" s="3067">
        <v>0</v>
      </c>
      <c r="P97" s="3067" t="s">
        <v>3417</v>
      </c>
      <c r="Q97" s="3067" t="s">
        <v>3105</v>
      </c>
    </row>
    <row r="98" spans="1:17">
      <c r="A98" s="1407" t="s">
        <v>3502</v>
      </c>
      <c r="B98" s="1407" t="s">
        <v>3099</v>
      </c>
      <c r="C98" s="1407" t="s">
        <v>3100</v>
      </c>
      <c r="D98" s="1407">
        <v>22675.599999999999</v>
      </c>
      <c r="E98" s="1407">
        <v>52607.39</v>
      </c>
      <c r="F98" s="1407" t="s">
        <v>3503</v>
      </c>
      <c r="G98" s="1407" t="s">
        <v>3102</v>
      </c>
      <c r="H98" s="1407" t="s">
        <v>3170</v>
      </c>
      <c r="I98" s="1407">
        <v>0</v>
      </c>
      <c r="J98" s="1407" t="s">
        <v>3504</v>
      </c>
      <c r="K98" s="1407" t="s">
        <v>3504</v>
      </c>
      <c r="L98" s="1407">
        <v>2660</v>
      </c>
      <c r="M98" s="1407">
        <v>2660</v>
      </c>
      <c r="N98" s="1407">
        <v>505.62</v>
      </c>
      <c r="O98" s="1407">
        <v>0</v>
      </c>
      <c r="P98" s="1407" t="s">
        <v>3505</v>
      </c>
      <c r="Q98" s="1407" t="s">
        <v>3105</v>
      </c>
    </row>
    <row r="99" spans="1:17">
      <c r="A99" s="3067" t="s">
        <v>3418</v>
      </c>
      <c r="B99" s="3067" t="s">
        <v>3099</v>
      </c>
      <c r="C99" s="3067" t="s">
        <v>3100</v>
      </c>
      <c r="D99" s="3067">
        <v>61843.199999999997</v>
      </c>
      <c r="E99" s="3067">
        <v>61843.199999999997</v>
      </c>
      <c r="F99" s="3067" t="s">
        <v>3101</v>
      </c>
      <c r="G99" s="3067" t="s">
        <v>3102</v>
      </c>
      <c r="H99" s="3067" t="s">
        <v>3100</v>
      </c>
      <c r="I99" s="3067">
        <v>0</v>
      </c>
      <c r="J99" s="3067" t="s">
        <v>3415</v>
      </c>
      <c r="K99" s="3067" t="s">
        <v>3415</v>
      </c>
      <c r="L99" s="3067">
        <v>3120</v>
      </c>
      <c r="M99" s="3067">
        <v>3120</v>
      </c>
      <c r="N99" s="3067">
        <v>504.5</v>
      </c>
      <c r="O99" s="3067">
        <v>0</v>
      </c>
      <c r="P99" s="3067" t="s">
        <v>3205</v>
      </c>
      <c r="Q99" s="3067" t="s">
        <v>3105</v>
      </c>
    </row>
    <row r="100" spans="1:17">
      <c r="A100" s="3067" t="s">
        <v>3251</v>
      </c>
      <c r="B100" s="3067" t="s">
        <v>3099</v>
      </c>
      <c r="C100" s="3067" t="s">
        <v>3100</v>
      </c>
      <c r="D100" s="3067">
        <v>33333.300000000003</v>
      </c>
      <c r="E100" s="3067">
        <v>33333.300000000003</v>
      </c>
      <c r="F100" s="3067" t="s">
        <v>3101</v>
      </c>
      <c r="G100" s="3067" t="s">
        <v>3102</v>
      </c>
      <c r="H100" s="3067" t="s">
        <v>3100</v>
      </c>
      <c r="I100" s="3067">
        <v>0</v>
      </c>
      <c r="J100" s="3067" t="s">
        <v>3237</v>
      </c>
      <c r="K100" s="3067" t="s">
        <v>3237</v>
      </c>
      <c r="L100" s="3067">
        <v>1680</v>
      </c>
      <c r="M100" s="3067">
        <v>1680</v>
      </c>
      <c r="N100" s="3067">
        <v>504</v>
      </c>
      <c r="O100" s="3067">
        <v>0</v>
      </c>
      <c r="P100" s="3067" t="s">
        <v>3252</v>
      </c>
      <c r="Q100" s="3067" t="s">
        <v>3105</v>
      </c>
    </row>
    <row r="101" spans="1:17">
      <c r="A101" s="1407" t="s">
        <v>3380</v>
      </c>
      <c r="B101" s="1407" t="s">
        <v>3099</v>
      </c>
      <c r="C101" s="1407" t="s">
        <v>3100</v>
      </c>
      <c r="D101" s="1407">
        <v>30001.3</v>
      </c>
      <c r="E101" s="1407">
        <v>30001.3</v>
      </c>
      <c r="F101" s="1407" t="s">
        <v>3101</v>
      </c>
      <c r="G101" s="1407" t="s">
        <v>3102</v>
      </c>
      <c r="H101" s="1407" t="s">
        <v>3100</v>
      </c>
      <c r="I101" s="1407">
        <v>0</v>
      </c>
      <c r="J101" s="1407" t="s">
        <v>3554</v>
      </c>
      <c r="K101" s="1407" t="s">
        <v>3554</v>
      </c>
      <c r="L101" s="1407">
        <v>1510</v>
      </c>
      <c r="M101" s="1407">
        <v>1510</v>
      </c>
      <c r="N101" s="1407">
        <v>503.31</v>
      </c>
      <c r="O101" s="1407">
        <v>0</v>
      </c>
      <c r="P101" s="1407" t="s">
        <v>3555</v>
      </c>
      <c r="Q101" s="1407" t="s">
        <v>3105</v>
      </c>
    </row>
    <row r="102" spans="1:17">
      <c r="A102" s="1407" t="s">
        <v>3380</v>
      </c>
      <c r="B102" s="1407" t="s">
        <v>3099</v>
      </c>
      <c r="C102" s="1407" t="s">
        <v>3100</v>
      </c>
      <c r="D102" s="1407">
        <v>58834.3</v>
      </c>
      <c r="E102" s="1407">
        <v>58834.3</v>
      </c>
      <c r="F102" s="1407" t="s">
        <v>3101</v>
      </c>
      <c r="G102" s="1407" t="s">
        <v>3102</v>
      </c>
      <c r="H102" s="1407" t="s">
        <v>3100</v>
      </c>
      <c r="I102" s="1407">
        <v>0</v>
      </c>
      <c r="J102" s="1407" t="s">
        <v>3528</v>
      </c>
      <c r="K102" s="1407" t="s">
        <v>3528</v>
      </c>
      <c r="L102" s="1407">
        <v>2960</v>
      </c>
      <c r="M102" s="1407">
        <v>2960</v>
      </c>
      <c r="N102" s="1407">
        <v>503.11</v>
      </c>
      <c r="O102" s="1407">
        <v>0</v>
      </c>
      <c r="P102" s="1407" t="s">
        <v>3530</v>
      </c>
      <c r="Q102" s="1407" t="s">
        <v>3105</v>
      </c>
    </row>
    <row r="103" spans="1:17">
      <c r="A103" s="3067" t="s">
        <v>3251</v>
      </c>
      <c r="B103" s="3067" t="s">
        <v>3099</v>
      </c>
      <c r="C103" s="3067" t="s">
        <v>3100</v>
      </c>
      <c r="D103" s="3067">
        <v>62666.7</v>
      </c>
      <c r="E103" s="3067">
        <v>62666.7</v>
      </c>
      <c r="F103" s="3067" t="s">
        <v>3101</v>
      </c>
      <c r="G103" s="3067" t="s">
        <v>3102</v>
      </c>
      <c r="H103" s="3067" t="s">
        <v>3100</v>
      </c>
      <c r="I103" s="3067">
        <v>0</v>
      </c>
      <c r="J103" s="3067" t="s">
        <v>3288</v>
      </c>
      <c r="K103" s="3067" t="s">
        <v>3288</v>
      </c>
      <c r="L103" s="3067">
        <v>3150</v>
      </c>
      <c r="M103" s="3067">
        <v>3150</v>
      </c>
      <c r="N103" s="3067">
        <v>502.66</v>
      </c>
      <c r="O103" s="3067">
        <v>0</v>
      </c>
      <c r="P103" s="3067" t="s">
        <v>3205</v>
      </c>
      <c r="Q103" s="3067" t="s">
        <v>3105</v>
      </c>
    </row>
    <row r="104" spans="1:17">
      <c r="A104" s="1407" t="s">
        <v>3380</v>
      </c>
      <c r="B104" s="1407" t="s">
        <v>3099</v>
      </c>
      <c r="C104" s="1407" t="s">
        <v>3100</v>
      </c>
      <c r="D104" s="1407">
        <v>31656.400000000001</v>
      </c>
      <c r="E104" s="1407">
        <v>31656.400000000001</v>
      </c>
      <c r="F104" s="1407" t="s">
        <v>3101</v>
      </c>
      <c r="G104" s="1407" t="s">
        <v>3102</v>
      </c>
      <c r="H104" s="1407" t="s">
        <v>3100</v>
      </c>
      <c r="I104" s="1407">
        <v>0</v>
      </c>
      <c r="J104" s="1407" t="s">
        <v>3544</v>
      </c>
      <c r="K104" s="1407" t="s">
        <v>3544</v>
      </c>
      <c r="L104" s="1407">
        <v>1590</v>
      </c>
      <c r="M104" s="1407">
        <v>1590</v>
      </c>
      <c r="N104" s="1407">
        <v>502.26</v>
      </c>
      <c r="O104" s="1407">
        <v>0</v>
      </c>
      <c r="P104" s="1407" t="s">
        <v>3545</v>
      </c>
      <c r="Q104" s="1407" t="s">
        <v>3105</v>
      </c>
    </row>
    <row r="105" spans="1:17">
      <c r="A105" s="3067" t="s">
        <v>3168</v>
      </c>
      <c r="B105" s="3067" t="s">
        <v>3099</v>
      </c>
      <c r="C105" s="3067" t="s">
        <v>3100</v>
      </c>
      <c r="D105" s="3067">
        <v>285922.40000000002</v>
      </c>
      <c r="E105" s="3067">
        <v>428883.6</v>
      </c>
      <c r="F105" s="3067" t="s">
        <v>3387</v>
      </c>
      <c r="G105" s="3067" t="s">
        <v>3102</v>
      </c>
      <c r="H105" s="3067" t="s">
        <v>3100</v>
      </c>
      <c r="I105" s="3067">
        <v>0</v>
      </c>
      <c r="J105" s="3067" t="s">
        <v>3385</v>
      </c>
      <c r="K105" s="3067" t="s">
        <v>3385</v>
      </c>
      <c r="L105" s="3067">
        <v>21450</v>
      </c>
      <c r="M105" s="3067">
        <v>21450</v>
      </c>
      <c r="N105" s="3067">
        <v>500.13</v>
      </c>
      <c r="O105" s="3067">
        <v>0</v>
      </c>
      <c r="P105" s="3067" t="s">
        <v>3388</v>
      </c>
      <c r="Q105" s="3067" t="s">
        <v>3105</v>
      </c>
    </row>
    <row r="106" spans="1:17">
      <c r="A106" s="3067" t="s">
        <v>3392</v>
      </c>
      <c r="B106" s="3067" t="s">
        <v>3099</v>
      </c>
      <c r="C106" s="3067" t="s">
        <v>3100</v>
      </c>
      <c r="D106" s="3067">
        <v>84368.1</v>
      </c>
      <c r="E106" s="3067">
        <v>126400</v>
      </c>
      <c r="F106" s="3067" t="s">
        <v>3393</v>
      </c>
      <c r="G106" s="3067" t="s">
        <v>3102</v>
      </c>
      <c r="H106" s="3067" t="s">
        <v>3111</v>
      </c>
      <c r="I106" s="3067">
        <v>0</v>
      </c>
      <c r="J106" s="3067" t="s">
        <v>3394</v>
      </c>
      <c r="K106" s="3067" t="s">
        <v>3394</v>
      </c>
      <c r="L106" s="3067">
        <v>6300</v>
      </c>
      <c r="M106" s="3067">
        <v>6300</v>
      </c>
      <c r="N106" s="3067">
        <v>498.42</v>
      </c>
      <c r="O106" s="3067">
        <v>0</v>
      </c>
      <c r="P106" s="3067" t="s">
        <v>3395</v>
      </c>
      <c r="Q106" s="3067" t="s">
        <v>3105</v>
      </c>
    </row>
    <row r="107" spans="1:17">
      <c r="A107" s="1407" t="s">
        <v>3483</v>
      </c>
      <c r="B107" s="1407" t="s">
        <v>3099</v>
      </c>
      <c r="C107" s="1407" t="s">
        <v>3100</v>
      </c>
      <c r="D107" s="1407">
        <v>6010.6</v>
      </c>
      <c r="E107" s="1407">
        <v>9015.9</v>
      </c>
      <c r="F107" s="1407" t="s">
        <v>3387</v>
      </c>
      <c r="G107" s="1407" t="s">
        <v>3102</v>
      </c>
      <c r="H107" s="1407" t="s">
        <v>3170</v>
      </c>
      <c r="I107" s="1407">
        <v>0</v>
      </c>
      <c r="J107" s="1407" t="s">
        <v>3485</v>
      </c>
      <c r="K107" s="1407" t="s">
        <v>3485</v>
      </c>
      <c r="L107" s="1407">
        <v>430</v>
      </c>
      <c r="M107" s="1407">
        <v>430</v>
      </c>
      <c r="N107" s="1407">
        <v>476.93</v>
      </c>
      <c r="O107" s="1407">
        <v>0</v>
      </c>
      <c r="P107" s="1407" t="s">
        <v>3487</v>
      </c>
      <c r="Q107" s="1407" t="s">
        <v>3105</v>
      </c>
    </row>
    <row r="108" spans="1:17">
      <c r="A108" s="3067" t="s">
        <v>3332</v>
      </c>
      <c r="B108" s="3067" t="s">
        <v>3099</v>
      </c>
      <c r="C108" s="3067" t="s">
        <v>3100</v>
      </c>
      <c r="D108" s="3067">
        <v>117216.2</v>
      </c>
      <c r="E108" s="3067">
        <v>117216.2</v>
      </c>
      <c r="F108" s="3067" t="s">
        <v>3101</v>
      </c>
      <c r="G108" s="3067" t="s">
        <v>3102</v>
      </c>
      <c r="H108" s="3067" t="s">
        <v>3100</v>
      </c>
      <c r="I108" s="3067">
        <v>0</v>
      </c>
      <c r="J108" s="3067" t="s">
        <v>3326</v>
      </c>
      <c r="K108" s="3067" t="s">
        <v>3326</v>
      </c>
      <c r="L108" s="3067">
        <v>5510</v>
      </c>
      <c r="M108" s="3067">
        <v>5510</v>
      </c>
      <c r="N108" s="3067">
        <v>470.06</v>
      </c>
      <c r="O108" s="3067">
        <v>0</v>
      </c>
      <c r="P108" s="3067" t="s">
        <v>3334</v>
      </c>
      <c r="Q108" s="3067" t="s">
        <v>3105</v>
      </c>
    </row>
    <row r="109" spans="1:17">
      <c r="A109" s="3067" t="s">
        <v>3172</v>
      </c>
      <c r="B109" s="3067" t="s">
        <v>3099</v>
      </c>
      <c r="C109" s="3067" t="s">
        <v>3173</v>
      </c>
      <c r="D109" s="3067">
        <v>33252.1</v>
      </c>
      <c r="E109" s="3067">
        <v>49878.15</v>
      </c>
      <c r="F109" s="3067" t="s">
        <v>3174</v>
      </c>
      <c r="G109" s="3067" t="s">
        <v>3102</v>
      </c>
      <c r="H109" s="3067" t="s">
        <v>3175</v>
      </c>
      <c r="I109" s="3067">
        <v>0</v>
      </c>
      <c r="J109" s="3067" t="s">
        <v>3162</v>
      </c>
      <c r="K109" s="3067" t="s">
        <v>3162</v>
      </c>
      <c r="L109" s="3067">
        <v>2280</v>
      </c>
      <c r="M109" s="3067">
        <v>2280</v>
      </c>
      <c r="N109" s="3067">
        <v>457.11</v>
      </c>
      <c r="O109" s="3067">
        <v>0</v>
      </c>
      <c r="P109" s="3067" t="s">
        <v>3176</v>
      </c>
      <c r="Q109" s="3067" t="s">
        <v>3105</v>
      </c>
    </row>
    <row r="110" spans="1:17">
      <c r="A110" s="3067" t="s">
        <v>3161</v>
      </c>
      <c r="B110" s="3067" t="s">
        <v>3099</v>
      </c>
      <c r="C110" s="3067" t="s">
        <v>3100</v>
      </c>
      <c r="D110" s="3067">
        <v>1969889.3</v>
      </c>
      <c r="E110" s="3067">
        <v>2954833.95</v>
      </c>
      <c r="F110" s="3067" t="s">
        <v>3404</v>
      </c>
      <c r="G110" s="3067" t="s">
        <v>3102</v>
      </c>
      <c r="H110" s="3067" t="s">
        <v>3100</v>
      </c>
      <c r="I110" s="3067">
        <v>0</v>
      </c>
      <c r="J110" s="3067" t="s">
        <v>3401</v>
      </c>
      <c r="K110" s="3067" t="s">
        <v>3401</v>
      </c>
      <c r="L110" s="3067">
        <v>133170</v>
      </c>
      <c r="M110" s="3067">
        <v>133170</v>
      </c>
      <c r="N110" s="3067">
        <v>450.68</v>
      </c>
      <c r="O110" s="3067">
        <v>0</v>
      </c>
      <c r="P110" s="3067" t="s">
        <v>3405</v>
      </c>
      <c r="Q110" s="3067" t="s">
        <v>3105</v>
      </c>
    </row>
    <row r="111" spans="1:17">
      <c r="A111" s="3067" t="s">
        <v>3286</v>
      </c>
      <c r="B111" s="3067" t="s">
        <v>3099</v>
      </c>
      <c r="C111" s="3067" t="s">
        <v>3100</v>
      </c>
      <c r="D111" s="3067">
        <v>33115.1</v>
      </c>
      <c r="E111" s="3067">
        <v>43049.63</v>
      </c>
      <c r="F111" s="3067" t="s">
        <v>3287</v>
      </c>
      <c r="G111" s="3067" t="s">
        <v>3102</v>
      </c>
      <c r="H111" s="3067" t="s">
        <v>3100</v>
      </c>
      <c r="I111" s="3067">
        <v>0</v>
      </c>
      <c r="J111" s="3067" t="s">
        <v>3288</v>
      </c>
      <c r="K111" s="3067" t="s">
        <v>3288</v>
      </c>
      <c r="L111" s="3067">
        <v>1870</v>
      </c>
      <c r="M111" s="3067">
        <v>1870</v>
      </c>
      <c r="N111" s="3067">
        <v>434.37</v>
      </c>
      <c r="O111" s="3067">
        <v>0</v>
      </c>
      <c r="P111" s="3067" t="s">
        <v>3289</v>
      </c>
      <c r="Q111" s="3067" t="s">
        <v>3105</v>
      </c>
    </row>
    <row r="112" spans="1:17">
      <c r="A112" s="1407" t="s">
        <v>3168</v>
      </c>
      <c r="B112" s="1407" t="s">
        <v>3099</v>
      </c>
      <c r="C112" s="1407" t="s">
        <v>3100</v>
      </c>
      <c r="D112" s="1407">
        <v>62828.800000000003</v>
      </c>
      <c r="E112" s="1407">
        <v>94243.199999999997</v>
      </c>
      <c r="F112" s="1407" t="s">
        <v>3367</v>
      </c>
      <c r="G112" s="1407" t="s">
        <v>3102</v>
      </c>
      <c r="H112" s="1407" t="s">
        <v>3100</v>
      </c>
      <c r="I112" s="1407">
        <v>0</v>
      </c>
      <c r="J112" s="1407" t="s">
        <v>3506</v>
      </c>
      <c r="K112" s="1407" t="s">
        <v>3506</v>
      </c>
      <c r="L112" s="1407">
        <v>4090</v>
      </c>
      <c r="M112" s="1407">
        <v>4090</v>
      </c>
      <c r="N112" s="1407">
        <v>433.98</v>
      </c>
      <c r="O112" s="1407">
        <v>0</v>
      </c>
      <c r="P112" s="1407" t="s">
        <v>3507</v>
      </c>
      <c r="Q112" s="1407" t="s">
        <v>3105</v>
      </c>
    </row>
    <row r="113" spans="1:17">
      <c r="A113" s="3067" t="s">
        <v>3164</v>
      </c>
      <c r="B113" s="3067" t="s">
        <v>3099</v>
      </c>
      <c r="C113" s="3067" t="s">
        <v>3100</v>
      </c>
      <c r="D113" s="3067">
        <v>5000</v>
      </c>
      <c r="E113" s="3067">
        <v>7500</v>
      </c>
      <c r="F113" s="3067" t="s">
        <v>3101</v>
      </c>
      <c r="G113" s="3067" t="s">
        <v>3102</v>
      </c>
      <c r="H113" s="3067" t="s">
        <v>3100</v>
      </c>
      <c r="I113" s="3067">
        <v>0</v>
      </c>
      <c r="J113" s="3067" t="s">
        <v>3162</v>
      </c>
      <c r="K113" s="3067" t="s">
        <v>3162</v>
      </c>
      <c r="L113" s="3067">
        <v>320</v>
      </c>
      <c r="M113" s="3067">
        <v>320</v>
      </c>
      <c r="N113" s="3067">
        <v>426.67</v>
      </c>
      <c r="O113" s="3067">
        <v>0</v>
      </c>
      <c r="P113" s="3067" t="s">
        <v>3165</v>
      </c>
      <c r="Q113" s="3067" t="s">
        <v>3105</v>
      </c>
    </row>
    <row r="114" spans="1:17">
      <c r="A114" s="1407" t="s">
        <v>3483</v>
      </c>
      <c r="B114" s="1407" t="s">
        <v>3099</v>
      </c>
      <c r="C114" s="1407" t="s">
        <v>3100</v>
      </c>
      <c r="D114" s="1407">
        <v>32178.7</v>
      </c>
      <c r="E114" s="1407">
        <v>48268.05</v>
      </c>
      <c r="F114" s="1407" t="s">
        <v>3435</v>
      </c>
      <c r="G114" s="1407" t="s">
        <v>3102</v>
      </c>
      <c r="H114" s="1407" t="s">
        <v>3100</v>
      </c>
      <c r="I114" s="1407">
        <v>0</v>
      </c>
      <c r="J114" s="1407" t="s">
        <v>3558</v>
      </c>
      <c r="K114" s="1407" t="s">
        <v>3558</v>
      </c>
      <c r="L114" s="1407">
        <v>2030</v>
      </c>
      <c r="M114" s="1407">
        <v>2030</v>
      </c>
      <c r="N114" s="1407">
        <v>420.56</v>
      </c>
      <c r="O114" s="1407">
        <v>0</v>
      </c>
      <c r="P114" s="1407" t="s">
        <v>3559</v>
      </c>
      <c r="Q114" s="1407" t="s">
        <v>3105</v>
      </c>
    </row>
    <row r="115" spans="1:17">
      <c r="A115" s="3067" t="s">
        <v>3242</v>
      </c>
      <c r="B115" s="3067" t="s">
        <v>3099</v>
      </c>
      <c r="C115" s="3067" t="s">
        <v>3100</v>
      </c>
      <c r="D115" s="3067">
        <v>5057.3</v>
      </c>
      <c r="E115" s="3067">
        <v>6068.76</v>
      </c>
      <c r="F115" s="3067" t="s">
        <v>3243</v>
      </c>
      <c r="G115" s="3067" t="s">
        <v>3102</v>
      </c>
      <c r="H115" s="3067" t="s">
        <v>3100</v>
      </c>
      <c r="I115" s="3067">
        <v>0</v>
      </c>
      <c r="J115" s="3067" t="s">
        <v>3237</v>
      </c>
      <c r="K115" s="3067" t="s">
        <v>3237</v>
      </c>
      <c r="L115" s="3067">
        <v>240</v>
      </c>
      <c r="M115" s="3067">
        <v>240</v>
      </c>
      <c r="N115" s="3067">
        <v>395.47</v>
      </c>
      <c r="O115" s="3067">
        <v>0</v>
      </c>
      <c r="P115" s="3067" t="s">
        <v>3244</v>
      </c>
      <c r="Q115" s="3067" t="s">
        <v>3105</v>
      </c>
    </row>
    <row r="116" spans="1:17">
      <c r="A116" s="3067" t="s">
        <v>3428</v>
      </c>
      <c r="B116" s="3067" t="s">
        <v>3099</v>
      </c>
      <c r="C116" s="3067" t="s">
        <v>3100</v>
      </c>
      <c r="D116" s="3067">
        <v>9527</v>
      </c>
      <c r="E116" s="3067">
        <v>11432.4</v>
      </c>
      <c r="F116" s="3067" t="s">
        <v>3301</v>
      </c>
      <c r="G116" s="3067" t="s">
        <v>3102</v>
      </c>
      <c r="H116" s="3067" t="s">
        <v>3100</v>
      </c>
      <c r="I116" s="3067">
        <v>0</v>
      </c>
      <c r="J116" s="3067" t="s">
        <v>3429</v>
      </c>
      <c r="K116" s="3067" t="s">
        <v>3429</v>
      </c>
      <c r="L116" s="3067">
        <v>450</v>
      </c>
      <c r="M116" s="3067">
        <v>450</v>
      </c>
      <c r="N116" s="3067">
        <v>393.62</v>
      </c>
      <c r="O116" s="3067">
        <v>0</v>
      </c>
      <c r="P116" s="3067" t="s">
        <v>3430</v>
      </c>
      <c r="Q116" s="3067" t="s">
        <v>3105</v>
      </c>
    </row>
    <row r="117" spans="1:17">
      <c r="A117" s="1407" t="s">
        <v>3358</v>
      </c>
      <c r="B117" s="1407" t="s">
        <v>3099</v>
      </c>
      <c r="C117" s="1407" t="s">
        <v>3100</v>
      </c>
      <c r="D117" s="1407">
        <v>12996.6</v>
      </c>
      <c r="E117" s="1407">
        <v>19494.900000000001</v>
      </c>
      <c r="F117" s="1407" t="s">
        <v>3435</v>
      </c>
      <c r="G117" s="1407" t="s">
        <v>3102</v>
      </c>
      <c r="H117" s="1407" t="s">
        <v>3100</v>
      </c>
      <c r="I117" s="1407">
        <v>0</v>
      </c>
      <c r="J117" s="1407" t="s">
        <v>3508</v>
      </c>
      <c r="K117" s="1407" t="s">
        <v>3508</v>
      </c>
      <c r="L117" s="1407">
        <v>740</v>
      </c>
      <c r="M117" s="1407">
        <v>740</v>
      </c>
      <c r="N117" s="1407">
        <v>379.58</v>
      </c>
      <c r="O117" s="1407">
        <v>0</v>
      </c>
      <c r="P117" s="1407" t="s">
        <v>3509</v>
      </c>
      <c r="Q117" s="1407" t="s">
        <v>3105</v>
      </c>
    </row>
    <row r="118" spans="1:17">
      <c r="A118" s="1407" t="s">
        <v>3168</v>
      </c>
      <c r="B118" s="1407" t="s">
        <v>3099</v>
      </c>
      <c r="C118" s="1407" t="s">
        <v>3100</v>
      </c>
      <c r="D118" s="1407">
        <v>78325.5</v>
      </c>
      <c r="E118" s="1407">
        <v>117488.25</v>
      </c>
      <c r="F118" s="1407" t="s">
        <v>3367</v>
      </c>
      <c r="G118" s="1407" t="s">
        <v>3102</v>
      </c>
      <c r="H118" s="1407" t="s">
        <v>3100</v>
      </c>
      <c r="I118" s="1407">
        <v>0</v>
      </c>
      <c r="J118" s="1407" t="s">
        <v>3467</v>
      </c>
      <c r="K118" s="1407" t="s">
        <v>3467</v>
      </c>
      <c r="L118" s="1407">
        <v>4390</v>
      </c>
      <c r="M118" s="1407">
        <v>4390</v>
      </c>
      <c r="N118" s="1407">
        <v>373.64</v>
      </c>
      <c r="O118" s="1407">
        <v>0</v>
      </c>
      <c r="P118" s="1407" t="s">
        <v>3471</v>
      </c>
      <c r="Q118" s="1407" t="s">
        <v>3105</v>
      </c>
    </row>
    <row r="119" spans="1:17">
      <c r="A119" s="3067" t="s">
        <v>3187</v>
      </c>
      <c r="B119" s="3067" t="s">
        <v>3099</v>
      </c>
      <c r="C119" s="3067" t="s">
        <v>3100</v>
      </c>
      <c r="D119" s="3067">
        <v>34150.1</v>
      </c>
      <c r="E119" s="3067">
        <v>51225.15</v>
      </c>
      <c r="F119" s="3067" t="s">
        <v>3188</v>
      </c>
      <c r="G119" s="3067" t="s">
        <v>3102</v>
      </c>
      <c r="H119" s="3067" t="s">
        <v>3111</v>
      </c>
      <c r="I119" s="3067">
        <v>0</v>
      </c>
      <c r="J119" s="3067" t="s">
        <v>3185</v>
      </c>
      <c r="K119" s="3067" t="s">
        <v>3185</v>
      </c>
      <c r="L119" s="3067">
        <v>1890</v>
      </c>
      <c r="M119" s="3067">
        <v>1890</v>
      </c>
      <c r="N119" s="3067">
        <v>368.95</v>
      </c>
      <c r="O119" s="3067">
        <v>0</v>
      </c>
      <c r="P119" s="3067" t="s">
        <v>3189</v>
      </c>
      <c r="Q119" s="3067" t="s">
        <v>3105</v>
      </c>
    </row>
    <row r="120" spans="1:17">
      <c r="A120" s="3067" t="s">
        <v>3168</v>
      </c>
      <c r="B120" s="3067" t="s">
        <v>3099</v>
      </c>
      <c r="C120" s="3067" t="s">
        <v>3100</v>
      </c>
      <c r="D120" s="3067">
        <v>37904</v>
      </c>
      <c r="E120" s="3067">
        <v>56856</v>
      </c>
      <c r="F120" s="3067" t="s">
        <v>3367</v>
      </c>
      <c r="G120" s="3067" t="s">
        <v>3102</v>
      </c>
      <c r="H120" s="3067" t="s">
        <v>3100</v>
      </c>
      <c r="I120" s="3067">
        <v>0</v>
      </c>
      <c r="J120" s="3067" t="s">
        <v>3363</v>
      </c>
      <c r="K120" s="3067" t="s">
        <v>3363</v>
      </c>
      <c r="L120" s="3067">
        <v>2090</v>
      </c>
      <c r="M120" s="3067">
        <v>2090</v>
      </c>
      <c r="N120" s="3067">
        <v>367.6</v>
      </c>
      <c r="O120" s="3067">
        <v>0</v>
      </c>
      <c r="P120" s="3067" t="s">
        <v>3368</v>
      </c>
      <c r="Q120" s="3067" t="s">
        <v>3105</v>
      </c>
    </row>
    <row r="121" spans="1:17">
      <c r="A121" s="1407" t="s">
        <v>3168</v>
      </c>
      <c r="B121" s="1407" t="s">
        <v>3099</v>
      </c>
      <c r="C121" s="1407" t="s">
        <v>3100</v>
      </c>
      <c r="D121" s="1407">
        <v>109471.7</v>
      </c>
      <c r="E121" s="1407">
        <v>164207.5</v>
      </c>
      <c r="F121" s="1407" t="s">
        <v>3367</v>
      </c>
      <c r="G121" s="1407" t="s">
        <v>3102</v>
      </c>
      <c r="H121" s="1407" t="s">
        <v>3100</v>
      </c>
      <c r="I121" s="1407">
        <v>0</v>
      </c>
      <c r="J121" s="1407" t="s">
        <v>3546</v>
      </c>
      <c r="K121" s="1407" t="s">
        <v>3546</v>
      </c>
      <c r="L121" s="1407">
        <v>6030</v>
      </c>
      <c r="M121" s="1407">
        <v>6030</v>
      </c>
      <c r="N121" s="1407">
        <v>367.22</v>
      </c>
      <c r="O121" s="1407">
        <v>0</v>
      </c>
      <c r="P121" s="1407" t="s">
        <v>3548</v>
      </c>
      <c r="Q121" s="1407" t="s">
        <v>3105</v>
      </c>
    </row>
    <row r="122" spans="1:17">
      <c r="A122" s="1407" t="s">
        <v>3168</v>
      </c>
      <c r="B122" s="1407" t="s">
        <v>3099</v>
      </c>
      <c r="C122" s="1407" t="s">
        <v>3100</v>
      </c>
      <c r="D122" s="1407">
        <v>54476.6</v>
      </c>
      <c r="E122" s="1407">
        <v>81714.899999999994</v>
      </c>
      <c r="F122" s="1407" t="s">
        <v>3367</v>
      </c>
      <c r="G122" s="1407" t="s">
        <v>3102</v>
      </c>
      <c r="H122" s="1407" t="s">
        <v>3100</v>
      </c>
      <c r="I122" s="1407">
        <v>0</v>
      </c>
      <c r="J122" s="1407" t="s">
        <v>3512</v>
      </c>
      <c r="K122" s="1407" t="s">
        <v>3512</v>
      </c>
      <c r="L122" s="1407">
        <v>3000</v>
      </c>
      <c r="M122" s="1407">
        <v>3000</v>
      </c>
      <c r="N122" s="1407">
        <v>367.12</v>
      </c>
      <c r="O122" s="1407">
        <v>0</v>
      </c>
      <c r="P122" s="1407" t="s">
        <v>3514</v>
      </c>
      <c r="Q122" s="1407" t="s">
        <v>3105</v>
      </c>
    </row>
    <row r="123" spans="1:17">
      <c r="A123" s="3067" t="s">
        <v>3321</v>
      </c>
      <c r="B123" s="3067" t="s">
        <v>3099</v>
      </c>
      <c r="C123" s="3067" t="s">
        <v>3100</v>
      </c>
      <c r="D123" s="3067">
        <v>10345.6</v>
      </c>
      <c r="E123" s="3067">
        <v>12414.72</v>
      </c>
      <c r="F123" s="3067" t="s">
        <v>3322</v>
      </c>
      <c r="G123" s="3067" t="s">
        <v>3102</v>
      </c>
      <c r="H123" s="3067" t="s">
        <v>3100</v>
      </c>
      <c r="I123" s="3067">
        <v>0</v>
      </c>
      <c r="J123" s="3067" t="s">
        <v>3302</v>
      </c>
      <c r="K123" s="3067" t="s">
        <v>3302</v>
      </c>
      <c r="L123" s="3067">
        <v>430</v>
      </c>
      <c r="M123" s="3067">
        <v>430</v>
      </c>
      <c r="N123" s="3067">
        <v>346.36</v>
      </c>
      <c r="O123" s="3067">
        <v>0</v>
      </c>
      <c r="P123" s="3067" t="s">
        <v>3323</v>
      </c>
      <c r="Q123" s="3067" t="s">
        <v>3105</v>
      </c>
    </row>
    <row r="124" spans="1:17">
      <c r="A124" s="3067" t="s">
        <v>3116</v>
      </c>
      <c r="B124" s="3067" t="s">
        <v>3099</v>
      </c>
      <c r="C124" s="3067" t="s">
        <v>3100</v>
      </c>
      <c r="D124" s="3067">
        <v>24010.2</v>
      </c>
      <c r="E124" s="3067">
        <v>28812.240000000002</v>
      </c>
      <c r="F124" s="3067" t="s">
        <v>3117</v>
      </c>
      <c r="G124" s="3067" t="s">
        <v>3102</v>
      </c>
      <c r="H124" s="3067" t="s">
        <v>3100</v>
      </c>
      <c r="I124" s="3067">
        <v>0</v>
      </c>
      <c r="J124" s="3067" t="s">
        <v>3118</v>
      </c>
      <c r="K124" s="3067" t="s">
        <v>3118</v>
      </c>
      <c r="L124" s="3067">
        <v>990</v>
      </c>
      <c r="M124" s="3067">
        <v>990</v>
      </c>
      <c r="N124" s="3067">
        <v>343.6</v>
      </c>
      <c r="O124" s="3067">
        <v>0</v>
      </c>
      <c r="P124" s="3067" t="s">
        <v>3119</v>
      </c>
      <c r="Q124" s="3067" t="s">
        <v>3105</v>
      </c>
    </row>
    <row r="125" spans="1:17">
      <c r="A125" s="1407" t="s">
        <v>3166</v>
      </c>
      <c r="B125" s="1407" t="s">
        <v>3099</v>
      </c>
      <c r="C125" s="1407" t="s">
        <v>3100</v>
      </c>
      <c r="D125" s="1407">
        <v>7200.4</v>
      </c>
      <c r="E125" s="1407">
        <v>10800.6</v>
      </c>
      <c r="F125" s="1407" t="s">
        <v>3355</v>
      </c>
      <c r="G125" s="1407" t="s">
        <v>3102</v>
      </c>
      <c r="H125" s="1407" t="s">
        <v>3100</v>
      </c>
      <c r="I125" s="1407">
        <v>0</v>
      </c>
      <c r="J125" s="1407" t="s">
        <v>3512</v>
      </c>
      <c r="K125" s="1407" t="s">
        <v>3512</v>
      </c>
      <c r="L125" s="1407">
        <v>370</v>
      </c>
      <c r="M125" s="1407">
        <v>370</v>
      </c>
      <c r="N125" s="1407">
        <v>342.56</v>
      </c>
      <c r="O125" s="1407">
        <v>0</v>
      </c>
      <c r="P125" s="1407" t="s">
        <v>3513</v>
      </c>
      <c r="Q125" s="1407" t="s">
        <v>3105</v>
      </c>
    </row>
    <row r="126" spans="1:17">
      <c r="A126" s="3067" t="s">
        <v>3166</v>
      </c>
      <c r="B126" s="3067" t="s">
        <v>3099</v>
      </c>
      <c r="C126" s="3067" t="s">
        <v>3100</v>
      </c>
      <c r="D126" s="3067">
        <v>27513</v>
      </c>
      <c r="E126" s="3067">
        <v>41269.5</v>
      </c>
      <c r="F126" s="3067" t="s">
        <v>3355</v>
      </c>
      <c r="G126" s="3067" t="s">
        <v>3102</v>
      </c>
      <c r="H126" s="3067" t="s">
        <v>3100</v>
      </c>
      <c r="I126" s="3067">
        <v>0</v>
      </c>
      <c r="J126" s="3067" t="s">
        <v>3356</v>
      </c>
      <c r="K126" s="3067" t="s">
        <v>3356</v>
      </c>
      <c r="L126" s="3067">
        <v>1410</v>
      </c>
      <c r="M126" s="3067">
        <v>1410</v>
      </c>
      <c r="N126" s="3067">
        <v>341.66</v>
      </c>
      <c r="O126" s="3067">
        <v>0</v>
      </c>
      <c r="P126" s="3067" t="s">
        <v>3357</v>
      </c>
      <c r="Q126" s="3067" t="s">
        <v>3105</v>
      </c>
    </row>
    <row r="127" spans="1:17">
      <c r="A127" s="3067" t="s">
        <v>3166</v>
      </c>
      <c r="B127" s="3067" t="s">
        <v>3099</v>
      </c>
      <c r="C127" s="3067" t="s">
        <v>3100</v>
      </c>
      <c r="D127" s="3067">
        <v>55308</v>
      </c>
      <c r="E127" s="3067">
        <v>82962</v>
      </c>
      <c r="F127" s="3067" t="s">
        <v>3355</v>
      </c>
      <c r="G127" s="3067" t="s">
        <v>3102</v>
      </c>
      <c r="H127" s="3067" t="s">
        <v>3100</v>
      </c>
      <c r="I127" s="3067">
        <v>0</v>
      </c>
      <c r="J127" s="3067" t="s">
        <v>3423</v>
      </c>
      <c r="K127" s="3067" t="s">
        <v>3423</v>
      </c>
      <c r="L127" s="3067">
        <v>2830</v>
      </c>
      <c r="M127" s="3067">
        <v>2830</v>
      </c>
      <c r="N127" s="3067">
        <v>341.12</v>
      </c>
      <c r="O127" s="3067">
        <v>0</v>
      </c>
      <c r="P127" s="3067" t="s">
        <v>3424</v>
      </c>
      <c r="Q127" s="3067" t="s">
        <v>3105</v>
      </c>
    </row>
    <row r="128" spans="1:17">
      <c r="A128" s="1407" t="s">
        <v>3166</v>
      </c>
      <c r="B128" s="1407" t="s">
        <v>3099</v>
      </c>
      <c r="C128" s="1407" t="s">
        <v>3100</v>
      </c>
      <c r="D128" s="1407">
        <v>67314.7</v>
      </c>
      <c r="E128" s="1407">
        <v>100972</v>
      </c>
      <c r="F128" s="1407" t="s">
        <v>3435</v>
      </c>
      <c r="G128" s="1407" t="s">
        <v>3102</v>
      </c>
      <c r="H128" s="1407" t="s">
        <v>3100</v>
      </c>
      <c r="I128" s="1407">
        <v>0</v>
      </c>
      <c r="J128" s="1407" t="s">
        <v>3568</v>
      </c>
      <c r="K128" s="1407" t="s">
        <v>3568</v>
      </c>
      <c r="L128" s="1407">
        <v>3440</v>
      </c>
      <c r="M128" s="1407">
        <v>3440</v>
      </c>
      <c r="N128" s="1407">
        <v>340.68</v>
      </c>
      <c r="O128" s="1407">
        <v>0</v>
      </c>
      <c r="P128" s="1407" t="s">
        <v>3569</v>
      </c>
      <c r="Q128" s="1407" t="s">
        <v>3105</v>
      </c>
    </row>
    <row r="129" spans="1:17">
      <c r="A129" s="3067" t="s">
        <v>3166</v>
      </c>
      <c r="B129" s="3067" t="s">
        <v>3099</v>
      </c>
      <c r="C129" s="3067" t="s">
        <v>3100</v>
      </c>
      <c r="D129" s="3067">
        <v>30932.5</v>
      </c>
      <c r="E129" s="3067">
        <v>46398.75</v>
      </c>
      <c r="F129" s="3067" t="s">
        <v>3435</v>
      </c>
      <c r="G129" s="3067" t="s">
        <v>3102</v>
      </c>
      <c r="H129" s="3067" t="s">
        <v>3100</v>
      </c>
      <c r="I129" s="3067">
        <v>0</v>
      </c>
      <c r="J129" s="3067" t="s">
        <v>3465</v>
      </c>
      <c r="K129" s="3067" t="s">
        <v>3465</v>
      </c>
      <c r="L129" s="3067">
        <v>1580</v>
      </c>
      <c r="M129" s="3067">
        <v>1580</v>
      </c>
      <c r="N129" s="3067">
        <v>340.52</v>
      </c>
      <c r="O129" s="3067">
        <v>0</v>
      </c>
      <c r="P129" s="3067" t="s">
        <v>3466</v>
      </c>
      <c r="Q129" s="3067" t="s">
        <v>3105</v>
      </c>
    </row>
    <row r="130" spans="1:17">
      <c r="A130" s="3067" t="s">
        <v>3166</v>
      </c>
      <c r="B130" s="3067" t="s">
        <v>3099</v>
      </c>
      <c r="C130" s="3067" t="s">
        <v>3100</v>
      </c>
      <c r="D130" s="3067">
        <v>11709.2</v>
      </c>
      <c r="E130" s="3067">
        <v>17563.8</v>
      </c>
      <c r="F130" s="3067" t="s">
        <v>3355</v>
      </c>
      <c r="G130" s="3067" t="s">
        <v>3102</v>
      </c>
      <c r="H130" s="3067" t="s">
        <v>3100</v>
      </c>
      <c r="I130" s="3067">
        <v>0</v>
      </c>
      <c r="J130" s="3067" t="s">
        <v>3401</v>
      </c>
      <c r="K130" s="3067" t="s">
        <v>3401</v>
      </c>
      <c r="L130" s="3067">
        <v>590</v>
      </c>
      <c r="M130" s="3067">
        <v>590</v>
      </c>
      <c r="N130" s="3067">
        <v>335.92</v>
      </c>
      <c r="O130" s="3067">
        <v>0</v>
      </c>
      <c r="P130" s="3067" t="s">
        <v>3149</v>
      </c>
      <c r="Q130" s="3067" t="s">
        <v>3105</v>
      </c>
    </row>
    <row r="131" spans="1:17">
      <c r="A131" s="3067" t="s">
        <v>3166</v>
      </c>
      <c r="B131" s="3067" t="s">
        <v>3099</v>
      </c>
      <c r="C131" s="3067" t="s">
        <v>3100</v>
      </c>
      <c r="D131" s="3067">
        <v>14704</v>
      </c>
      <c r="E131" s="3067">
        <v>22056</v>
      </c>
      <c r="F131" s="3067" t="s">
        <v>3355</v>
      </c>
      <c r="G131" s="3067" t="s">
        <v>3102</v>
      </c>
      <c r="H131" s="3067" t="s">
        <v>3100</v>
      </c>
      <c r="I131" s="3067">
        <v>0</v>
      </c>
      <c r="J131" s="3067" t="s">
        <v>3401</v>
      </c>
      <c r="K131" s="3067" t="s">
        <v>3401</v>
      </c>
      <c r="L131" s="3067">
        <v>740</v>
      </c>
      <c r="M131" s="3067">
        <v>740</v>
      </c>
      <c r="N131" s="3067">
        <v>335.5</v>
      </c>
      <c r="O131" s="3067">
        <v>0</v>
      </c>
      <c r="P131" s="3067" t="s">
        <v>3149</v>
      </c>
      <c r="Q131" s="3067" t="s">
        <v>3105</v>
      </c>
    </row>
    <row r="132" spans="1:17">
      <c r="A132" s="3067" t="s">
        <v>3166</v>
      </c>
      <c r="B132" s="3067" t="s">
        <v>3099</v>
      </c>
      <c r="C132" s="3067" t="s">
        <v>3100</v>
      </c>
      <c r="D132" s="3067">
        <v>7394.4</v>
      </c>
      <c r="E132" s="3067">
        <v>11091.6</v>
      </c>
      <c r="F132" s="3067" t="s">
        <v>3355</v>
      </c>
      <c r="G132" s="3067" t="s">
        <v>3102</v>
      </c>
      <c r="H132" s="3067" t="s">
        <v>3100</v>
      </c>
      <c r="I132" s="3067">
        <v>0</v>
      </c>
      <c r="J132" s="3067" t="s">
        <v>3401</v>
      </c>
      <c r="K132" s="3067" t="s">
        <v>3401</v>
      </c>
      <c r="L132" s="3067">
        <v>370</v>
      </c>
      <c r="M132" s="3067">
        <v>370</v>
      </c>
      <c r="N132" s="3067">
        <v>333.58</v>
      </c>
      <c r="O132" s="3067">
        <v>0</v>
      </c>
      <c r="P132" s="3067" t="s">
        <v>3149</v>
      </c>
      <c r="Q132" s="3067" t="s">
        <v>3105</v>
      </c>
    </row>
    <row r="133" spans="1:17">
      <c r="A133" s="3067" t="s">
        <v>3166</v>
      </c>
      <c r="B133" s="3067" t="s">
        <v>3099</v>
      </c>
      <c r="C133" s="3067" t="s">
        <v>3100</v>
      </c>
      <c r="D133" s="3067">
        <v>53768.9</v>
      </c>
      <c r="E133" s="3067">
        <v>80653.350000000006</v>
      </c>
      <c r="F133" s="3067" t="s">
        <v>3435</v>
      </c>
      <c r="G133" s="3067" t="s">
        <v>3102</v>
      </c>
      <c r="H133" s="3067" t="s">
        <v>3100</v>
      </c>
      <c r="I133" s="3067">
        <v>0</v>
      </c>
      <c r="J133" s="3067" t="s">
        <v>3436</v>
      </c>
      <c r="K133" s="3067" t="s">
        <v>3436</v>
      </c>
      <c r="L133" s="3067">
        <v>2690</v>
      </c>
      <c r="M133" s="3067">
        <v>2690</v>
      </c>
      <c r="N133" s="3067">
        <v>333.52</v>
      </c>
      <c r="O133" s="3067">
        <v>0</v>
      </c>
      <c r="P133" s="3067" t="s">
        <v>3437</v>
      </c>
      <c r="Q133" s="3067" t="s">
        <v>3105</v>
      </c>
    </row>
    <row r="134" spans="1:17">
      <c r="A134" s="3067" t="s">
        <v>3199</v>
      </c>
      <c r="B134" s="3067" t="s">
        <v>3099</v>
      </c>
      <c r="C134" s="3067" t="s">
        <v>3100</v>
      </c>
      <c r="D134" s="3067">
        <v>17403.5</v>
      </c>
      <c r="E134" s="3067">
        <v>34807</v>
      </c>
      <c r="F134" s="3067" t="s">
        <v>3196</v>
      </c>
      <c r="G134" s="3067" t="s">
        <v>3102</v>
      </c>
      <c r="H134" s="3067" t="s">
        <v>3111</v>
      </c>
      <c r="I134" s="3067">
        <v>0</v>
      </c>
      <c r="J134" s="3067" t="s">
        <v>3200</v>
      </c>
      <c r="K134" s="3067" t="s">
        <v>3200</v>
      </c>
      <c r="L134" s="3067">
        <v>1120</v>
      </c>
      <c r="M134" s="3067">
        <v>1120</v>
      </c>
      <c r="N134" s="3067">
        <v>321.76</v>
      </c>
      <c r="O134" s="3067">
        <v>0</v>
      </c>
      <c r="P134" s="3067" t="s">
        <v>3201</v>
      </c>
      <c r="Q134" s="3067" t="s">
        <v>3105</v>
      </c>
    </row>
    <row r="135" spans="1:17">
      <c r="A135" s="3067" t="s">
        <v>3410</v>
      </c>
      <c r="B135" s="3067" t="s">
        <v>3099</v>
      </c>
      <c r="C135" s="3067" t="s">
        <v>3100</v>
      </c>
      <c r="D135" s="3067">
        <v>24485.8</v>
      </c>
      <c r="E135" s="3067">
        <v>48971.6</v>
      </c>
      <c r="F135" s="3067" t="s">
        <v>3377</v>
      </c>
      <c r="G135" s="3067" t="s">
        <v>3102</v>
      </c>
      <c r="H135" s="3067" t="s">
        <v>3100</v>
      </c>
      <c r="I135" s="3067">
        <v>0</v>
      </c>
      <c r="J135" s="3067" t="s">
        <v>3411</v>
      </c>
      <c r="K135" s="3067" t="s">
        <v>3411</v>
      </c>
      <c r="L135" s="3067">
        <v>1570</v>
      </c>
      <c r="M135" s="3067">
        <v>1570</v>
      </c>
      <c r="N135" s="3067">
        <v>320.58</v>
      </c>
      <c r="O135" s="3067">
        <v>0</v>
      </c>
      <c r="P135" s="3067" t="s">
        <v>3412</v>
      </c>
      <c r="Q135" s="3067" t="s">
        <v>3105</v>
      </c>
    </row>
    <row r="136" spans="1:17">
      <c r="A136" s="1407" t="s">
        <v>3551</v>
      </c>
      <c r="B136" s="1407" t="s">
        <v>3099</v>
      </c>
      <c r="C136" s="1407" t="s">
        <v>3100</v>
      </c>
      <c r="D136" s="1407">
        <v>33229.599999999999</v>
      </c>
      <c r="E136" s="1407">
        <v>49844.4</v>
      </c>
      <c r="F136" s="1407" t="s">
        <v>3435</v>
      </c>
      <c r="G136" s="1407" t="s">
        <v>3102</v>
      </c>
      <c r="H136" s="1407" t="s">
        <v>3100</v>
      </c>
      <c r="I136" s="1407">
        <v>0</v>
      </c>
      <c r="J136" s="1407" t="s">
        <v>3556</v>
      </c>
      <c r="K136" s="1407" t="s">
        <v>3556</v>
      </c>
      <c r="L136" s="1407">
        <v>1570</v>
      </c>
      <c r="M136" s="1407">
        <v>1570</v>
      </c>
      <c r="N136" s="1407">
        <v>314.98</v>
      </c>
      <c r="O136" s="1407">
        <v>0</v>
      </c>
      <c r="P136" s="1407" t="s">
        <v>3557</v>
      </c>
      <c r="Q136" s="1407" t="s">
        <v>3105</v>
      </c>
    </row>
    <row r="137" spans="1:17">
      <c r="A137" s="1407" t="s">
        <v>3525</v>
      </c>
      <c r="B137" s="1407" t="s">
        <v>3099</v>
      </c>
      <c r="C137" s="1407" t="s">
        <v>3100</v>
      </c>
      <c r="D137" s="1407">
        <v>43527.9</v>
      </c>
      <c r="E137" s="1407">
        <v>65291.85</v>
      </c>
      <c r="F137" s="1407" t="s">
        <v>3355</v>
      </c>
      <c r="G137" s="1407" t="s">
        <v>3102</v>
      </c>
      <c r="H137" s="1407" t="s">
        <v>3100</v>
      </c>
      <c r="I137" s="1407">
        <v>0</v>
      </c>
      <c r="J137" s="1407" t="s">
        <v>3526</v>
      </c>
      <c r="K137" s="1407" t="s">
        <v>3526</v>
      </c>
      <c r="L137" s="1407">
        <v>2050</v>
      </c>
      <c r="M137" s="1407">
        <v>2050</v>
      </c>
      <c r="N137" s="1407">
        <v>313.97000000000003</v>
      </c>
      <c r="O137" s="1407">
        <v>0</v>
      </c>
      <c r="P137" s="1407" t="s">
        <v>3527</v>
      </c>
      <c r="Q137" s="1407" t="s">
        <v>3105</v>
      </c>
    </row>
    <row r="138" spans="1:17">
      <c r="A138" s="1407" t="s">
        <v>3525</v>
      </c>
      <c r="B138" s="1407" t="s">
        <v>3099</v>
      </c>
      <c r="C138" s="1407" t="s">
        <v>3100</v>
      </c>
      <c r="D138" s="1407">
        <v>74129.8</v>
      </c>
      <c r="E138" s="1407">
        <v>111194.7</v>
      </c>
      <c r="F138" s="1407" t="s">
        <v>3435</v>
      </c>
      <c r="G138" s="1407" t="s">
        <v>3102</v>
      </c>
      <c r="H138" s="1407" t="s">
        <v>3100</v>
      </c>
      <c r="I138" s="1407">
        <v>0</v>
      </c>
      <c r="J138" s="1407" t="s">
        <v>3533</v>
      </c>
      <c r="K138" s="1407" t="s">
        <v>3533</v>
      </c>
      <c r="L138" s="1407">
        <v>3490</v>
      </c>
      <c r="M138" s="1407">
        <v>3490</v>
      </c>
      <c r="N138" s="1407">
        <v>313.86</v>
      </c>
      <c r="O138" s="1407">
        <v>0</v>
      </c>
      <c r="P138" s="1407" t="s">
        <v>3535</v>
      </c>
      <c r="Q138" s="1407" t="s">
        <v>3105</v>
      </c>
    </row>
    <row r="139" spans="1:17">
      <c r="A139" s="1407" t="s">
        <v>3551</v>
      </c>
      <c r="B139" s="1407" t="s">
        <v>3099</v>
      </c>
      <c r="C139" s="1407" t="s">
        <v>3100</v>
      </c>
      <c r="D139" s="1407">
        <v>110060.4</v>
      </c>
      <c r="E139" s="1407">
        <v>165090.6</v>
      </c>
      <c r="F139" s="1407" t="s">
        <v>3435</v>
      </c>
      <c r="G139" s="1407" t="s">
        <v>3102</v>
      </c>
      <c r="H139" s="1407" t="s">
        <v>3100</v>
      </c>
      <c r="I139" s="1407">
        <v>0</v>
      </c>
      <c r="J139" s="1407" t="s">
        <v>3552</v>
      </c>
      <c r="K139" s="1407" t="s">
        <v>3552</v>
      </c>
      <c r="L139" s="1407">
        <v>5180</v>
      </c>
      <c r="M139" s="1407">
        <v>5180</v>
      </c>
      <c r="N139" s="1407">
        <v>313.76</v>
      </c>
      <c r="O139" s="1407">
        <v>0</v>
      </c>
      <c r="P139" s="1407" t="s">
        <v>3553</v>
      </c>
      <c r="Q139" s="1407" t="s">
        <v>3105</v>
      </c>
    </row>
    <row r="140" spans="1:17">
      <c r="A140" s="1407" t="s">
        <v>3525</v>
      </c>
      <c r="B140" s="1407" t="s">
        <v>3099</v>
      </c>
      <c r="C140" s="1407" t="s">
        <v>3100</v>
      </c>
      <c r="D140" s="1407">
        <v>130522.2</v>
      </c>
      <c r="E140" s="1407">
        <v>195783.3</v>
      </c>
      <c r="F140" s="1407" t="s">
        <v>3355</v>
      </c>
      <c r="G140" s="1407" t="s">
        <v>3102</v>
      </c>
      <c r="H140" s="1407" t="s">
        <v>3100</v>
      </c>
      <c r="I140" s="1407">
        <v>0</v>
      </c>
      <c r="J140" s="1407" t="s">
        <v>3531</v>
      </c>
      <c r="K140" s="1407" t="s">
        <v>3531</v>
      </c>
      <c r="L140" s="1407">
        <v>6140</v>
      </c>
      <c r="M140" s="1407">
        <v>6140</v>
      </c>
      <c r="N140" s="1407">
        <v>313.61</v>
      </c>
      <c r="O140" s="1407">
        <v>0</v>
      </c>
      <c r="P140" s="1407" t="s">
        <v>3532</v>
      </c>
      <c r="Q140" s="1407" t="s">
        <v>3105</v>
      </c>
    </row>
    <row r="141" spans="1:17">
      <c r="A141" s="1407" t="s">
        <v>3525</v>
      </c>
      <c r="B141" s="1407" t="s">
        <v>3099</v>
      </c>
      <c r="C141" s="1407" t="s">
        <v>3100</v>
      </c>
      <c r="D141" s="1407">
        <v>477433.5</v>
      </c>
      <c r="E141" s="1407">
        <v>716150.2</v>
      </c>
      <c r="F141" s="1407" t="s">
        <v>3536</v>
      </c>
      <c r="G141" s="1407" t="s">
        <v>3102</v>
      </c>
      <c r="H141" s="1407" t="s">
        <v>3100</v>
      </c>
      <c r="I141" s="1407">
        <v>0</v>
      </c>
      <c r="J141" s="1407" t="s">
        <v>3533</v>
      </c>
      <c r="K141" s="1407" t="s">
        <v>3533</v>
      </c>
      <c r="L141" s="1407">
        <v>22210</v>
      </c>
      <c r="M141" s="1407">
        <v>22210</v>
      </c>
      <c r="N141" s="1407">
        <v>310.12</v>
      </c>
      <c r="O141" s="1407">
        <v>0</v>
      </c>
      <c r="P141" s="1407" t="s">
        <v>3537</v>
      </c>
      <c r="Q141" s="1407" t="s">
        <v>3105</v>
      </c>
    </row>
    <row r="142" spans="1:17">
      <c r="A142" s="1407" t="s">
        <v>3206</v>
      </c>
      <c r="B142" s="1407" t="s">
        <v>3099</v>
      </c>
      <c r="C142" s="1407" t="s">
        <v>3100</v>
      </c>
      <c r="D142" s="1407">
        <v>500655.6</v>
      </c>
      <c r="E142" s="1407">
        <v>500655.6</v>
      </c>
      <c r="F142" s="1407" t="s">
        <v>3224</v>
      </c>
      <c r="G142" s="1407" t="s">
        <v>3102</v>
      </c>
      <c r="H142" s="1407" t="s">
        <v>3111</v>
      </c>
      <c r="I142" s="1407">
        <v>0</v>
      </c>
      <c r="J142" s="1407" t="s">
        <v>3512</v>
      </c>
      <c r="K142" s="1407" t="s">
        <v>3512</v>
      </c>
      <c r="L142" s="1407">
        <v>15430</v>
      </c>
      <c r="M142" s="1407">
        <v>15430</v>
      </c>
      <c r="N142" s="1407">
        <v>308.19</v>
      </c>
      <c r="O142" s="1407">
        <v>0</v>
      </c>
      <c r="P142" s="1407" t="s">
        <v>3515</v>
      </c>
      <c r="Q142" s="1407" t="s">
        <v>3105</v>
      </c>
    </row>
    <row r="143" spans="1:17">
      <c r="A143" s="3067" t="s">
        <v>3275</v>
      </c>
      <c r="B143" s="3067" t="s">
        <v>3099</v>
      </c>
      <c r="C143" s="3067" t="s">
        <v>3100</v>
      </c>
      <c r="D143" s="3067">
        <v>73342.5</v>
      </c>
      <c r="E143" s="3067">
        <v>110013.75</v>
      </c>
      <c r="F143" s="3067" t="s">
        <v>3276</v>
      </c>
      <c r="G143" s="3067" t="s">
        <v>3102</v>
      </c>
      <c r="H143" s="3067" t="s">
        <v>3100</v>
      </c>
      <c r="I143" s="3067">
        <v>0</v>
      </c>
      <c r="J143" s="3067" t="s">
        <v>3273</v>
      </c>
      <c r="K143" s="3067" t="s">
        <v>3273</v>
      </c>
      <c r="L143" s="3067">
        <v>3390</v>
      </c>
      <c r="M143" s="3067">
        <v>3390</v>
      </c>
      <c r="N143" s="3067">
        <v>308.13</v>
      </c>
      <c r="O143" s="3067">
        <v>0</v>
      </c>
      <c r="P143" s="3067" t="s">
        <v>3277</v>
      </c>
      <c r="Q143" s="3067" t="s">
        <v>3105</v>
      </c>
    </row>
    <row r="144" spans="1:17">
      <c r="A144" s="1407" t="s">
        <v>3551</v>
      </c>
      <c r="B144" s="1407" t="s">
        <v>3099</v>
      </c>
      <c r="C144" s="1407" t="s">
        <v>3100</v>
      </c>
      <c r="D144" s="1407">
        <v>28001</v>
      </c>
      <c r="E144" s="1407">
        <v>42001.5</v>
      </c>
      <c r="F144" s="1407" t="s">
        <v>3355</v>
      </c>
      <c r="G144" s="1407" t="s">
        <v>3102</v>
      </c>
      <c r="H144" s="1407" t="s">
        <v>3100</v>
      </c>
      <c r="I144" s="1407">
        <v>0</v>
      </c>
      <c r="J144" s="1407" t="s">
        <v>3565</v>
      </c>
      <c r="K144" s="1407" t="s">
        <v>3565</v>
      </c>
      <c r="L144" s="1407">
        <v>1290</v>
      </c>
      <c r="M144" s="1407">
        <v>1290</v>
      </c>
      <c r="N144" s="1407">
        <v>307.12</v>
      </c>
      <c r="O144" s="1407">
        <v>0</v>
      </c>
      <c r="P144" s="1407" t="s">
        <v>3566</v>
      </c>
      <c r="Q144" s="1407" t="s">
        <v>3105</v>
      </c>
    </row>
    <row r="145" spans="1:17">
      <c r="A145" s="3067" t="s">
        <v>3389</v>
      </c>
      <c r="B145" s="3067" t="s">
        <v>3099</v>
      </c>
      <c r="C145" s="3067" t="s">
        <v>3100</v>
      </c>
      <c r="D145" s="3067">
        <v>23740.1</v>
      </c>
      <c r="E145" s="3067">
        <v>35610.15</v>
      </c>
      <c r="F145" s="3067" t="s">
        <v>3390</v>
      </c>
      <c r="G145" s="3067" t="s">
        <v>3102</v>
      </c>
      <c r="H145" s="3067" t="s">
        <v>3100</v>
      </c>
      <c r="I145" s="3067">
        <v>0</v>
      </c>
      <c r="J145" s="3067" t="s">
        <v>3385</v>
      </c>
      <c r="K145" s="3067" t="s">
        <v>3385</v>
      </c>
      <c r="L145" s="3067">
        <v>1080</v>
      </c>
      <c r="M145" s="3067">
        <v>1080</v>
      </c>
      <c r="N145" s="3067">
        <v>303.27</v>
      </c>
      <c r="O145" s="3067">
        <v>0</v>
      </c>
      <c r="P145" s="3067" t="s">
        <v>3391</v>
      </c>
      <c r="Q145" s="3067" t="s">
        <v>3105</v>
      </c>
    </row>
    <row r="146" spans="1:17">
      <c r="A146" s="3067" t="s">
        <v>3456</v>
      </c>
      <c r="B146" s="3067" t="s">
        <v>3099</v>
      </c>
      <c r="C146" s="3067" t="s">
        <v>3100</v>
      </c>
      <c r="D146" s="3067">
        <v>69726.7</v>
      </c>
      <c r="E146" s="3067">
        <v>104590.05</v>
      </c>
      <c r="F146" s="3067" t="s">
        <v>3390</v>
      </c>
      <c r="G146" s="3067" t="s">
        <v>3102</v>
      </c>
      <c r="H146" s="3067" t="s">
        <v>3100</v>
      </c>
      <c r="I146" s="3067">
        <v>0</v>
      </c>
      <c r="J146" s="3067" t="s">
        <v>3457</v>
      </c>
      <c r="K146" s="3067" t="s">
        <v>3457</v>
      </c>
      <c r="L146" s="3067">
        <v>3150</v>
      </c>
      <c r="M146" s="3067">
        <v>3150</v>
      </c>
      <c r="N146" s="3067">
        <v>301.18</v>
      </c>
      <c r="O146" s="3067">
        <v>0</v>
      </c>
      <c r="P146" s="3067" t="s">
        <v>3458</v>
      </c>
      <c r="Q146" s="3067" t="s">
        <v>3105</v>
      </c>
    </row>
    <row r="147" spans="1:17">
      <c r="A147" s="1407" t="s">
        <v>3389</v>
      </c>
      <c r="B147" s="1407" t="s">
        <v>3099</v>
      </c>
      <c r="C147" s="1407" t="s">
        <v>3100</v>
      </c>
      <c r="D147" s="1407">
        <v>98733.7</v>
      </c>
      <c r="E147" s="1407">
        <v>148100.54999999999</v>
      </c>
      <c r="F147" s="1407" t="s">
        <v>3390</v>
      </c>
      <c r="G147" s="1407" t="s">
        <v>3102</v>
      </c>
      <c r="H147" s="1407" t="s">
        <v>3100</v>
      </c>
      <c r="I147" s="1407">
        <v>0</v>
      </c>
      <c r="J147" s="1407" t="s">
        <v>3467</v>
      </c>
      <c r="K147" s="1407" t="s">
        <v>3467</v>
      </c>
      <c r="L147" s="1407">
        <v>4460</v>
      </c>
      <c r="M147" s="1407">
        <v>4460</v>
      </c>
      <c r="N147" s="1407">
        <v>301.14</v>
      </c>
      <c r="O147" s="1407">
        <v>0</v>
      </c>
      <c r="P147" s="1407" t="s">
        <v>3468</v>
      </c>
      <c r="Q147" s="1407" t="s">
        <v>3105</v>
      </c>
    </row>
    <row r="148" spans="1:17">
      <c r="A148" s="3067" t="s">
        <v>3389</v>
      </c>
      <c r="B148" s="3067" t="s">
        <v>3099</v>
      </c>
      <c r="C148" s="3067" t="s">
        <v>3100</v>
      </c>
      <c r="D148" s="3067">
        <v>63391</v>
      </c>
      <c r="E148" s="3067">
        <v>95086.5</v>
      </c>
      <c r="F148" s="3067" t="s">
        <v>3390</v>
      </c>
      <c r="G148" s="3067" t="s">
        <v>3102</v>
      </c>
      <c r="H148" s="3067" t="s">
        <v>3100</v>
      </c>
      <c r="I148" s="3067">
        <v>0</v>
      </c>
      <c r="J148" s="3067" t="s">
        <v>3394</v>
      </c>
      <c r="K148" s="3067" t="s">
        <v>3394</v>
      </c>
      <c r="L148" s="3067">
        <v>2860</v>
      </c>
      <c r="M148" s="3067">
        <v>2860</v>
      </c>
      <c r="N148" s="3067">
        <v>300.77</v>
      </c>
      <c r="O148" s="3067">
        <v>0</v>
      </c>
      <c r="P148" s="3067" t="s">
        <v>3396</v>
      </c>
      <c r="Q148" s="3067" t="s">
        <v>3105</v>
      </c>
    </row>
    <row r="149" spans="1:17">
      <c r="A149" s="3067" t="s">
        <v>3215</v>
      </c>
      <c r="B149" s="3067" t="s">
        <v>3099</v>
      </c>
      <c r="C149" s="3067" t="s">
        <v>3100</v>
      </c>
      <c r="D149" s="3067">
        <v>22609.1</v>
      </c>
      <c r="E149" s="3067">
        <v>33913.65</v>
      </c>
      <c r="F149" s="3067" t="s">
        <v>3216</v>
      </c>
      <c r="G149" s="3067" t="s">
        <v>3102</v>
      </c>
      <c r="H149" s="3067" t="s">
        <v>3100</v>
      </c>
      <c r="I149" s="3067">
        <v>0</v>
      </c>
      <c r="J149" s="3067" t="s">
        <v>3217</v>
      </c>
      <c r="K149" s="3067" t="s">
        <v>3217</v>
      </c>
      <c r="L149" s="3067">
        <v>1020</v>
      </c>
      <c r="M149" s="3067">
        <v>1020</v>
      </c>
      <c r="N149" s="3067">
        <v>300.75</v>
      </c>
      <c r="O149" s="3067">
        <v>0</v>
      </c>
      <c r="P149" s="3067" t="s">
        <v>3218</v>
      </c>
      <c r="Q149" s="3067" t="s">
        <v>3154</v>
      </c>
    </row>
    <row r="150" spans="1:17">
      <c r="A150" s="3067" t="s">
        <v>3215</v>
      </c>
      <c r="B150" s="3067" t="s">
        <v>3099</v>
      </c>
      <c r="C150" s="3067" t="s">
        <v>3100</v>
      </c>
      <c r="D150" s="3067">
        <v>20001</v>
      </c>
      <c r="E150" s="3067">
        <v>30001.5</v>
      </c>
      <c r="F150" s="3067" t="s">
        <v>3216</v>
      </c>
      <c r="G150" s="3067" t="s">
        <v>3102</v>
      </c>
      <c r="H150" s="3067" t="s">
        <v>3100</v>
      </c>
      <c r="I150" s="3067">
        <v>0</v>
      </c>
      <c r="J150" s="3067" t="s">
        <v>3217</v>
      </c>
      <c r="K150" s="3067" t="s">
        <v>3217</v>
      </c>
      <c r="L150" s="3067">
        <v>900</v>
      </c>
      <c r="M150" s="3067">
        <v>900</v>
      </c>
      <c r="N150" s="3067">
        <v>299.99</v>
      </c>
      <c r="O150" s="3067">
        <v>0</v>
      </c>
      <c r="P150" s="3067" t="s">
        <v>3221</v>
      </c>
      <c r="Q150" s="3067" t="s">
        <v>3154</v>
      </c>
    </row>
    <row r="151" spans="1:17">
      <c r="A151" s="1407" t="s">
        <v>3477</v>
      </c>
      <c r="B151" s="1407" t="s">
        <v>3099</v>
      </c>
      <c r="C151" s="1407" t="s">
        <v>3100</v>
      </c>
      <c r="D151" s="1407">
        <v>51293.2</v>
      </c>
      <c r="E151" s="1407">
        <v>97457.08</v>
      </c>
      <c r="F151" s="1407" t="s">
        <v>3478</v>
      </c>
      <c r="G151" s="1407" t="s">
        <v>3102</v>
      </c>
      <c r="H151" s="1407" t="s">
        <v>3111</v>
      </c>
      <c r="I151" s="1407">
        <v>0</v>
      </c>
      <c r="J151" s="1407" t="s">
        <v>3479</v>
      </c>
      <c r="K151" s="1407" t="s">
        <v>3479</v>
      </c>
      <c r="L151" s="1407">
        <v>2900</v>
      </c>
      <c r="M151" s="1407">
        <v>2900</v>
      </c>
      <c r="N151" s="1407">
        <v>297.56</v>
      </c>
      <c r="O151" s="1407">
        <v>0</v>
      </c>
      <c r="P151" s="1407" t="s">
        <v>3480</v>
      </c>
      <c r="Q151" s="1407" t="s">
        <v>3105</v>
      </c>
    </row>
    <row r="152" spans="1:17">
      <c r="A152" s="3067" t="s">
        <v>3161</v>
      </c>
      <c r="B152" s="3067" t="s">
        <v>3099</v>
      </c>
      <c r="C152" s="3067" t="s">
        <v>3100</v>
      </c>
      <c r="D152" s="3067">
        <v>18418.099999999999</v>
      </c>
      <c r="E152" s="3067">
        <v>36836.199999999997</v>
      </c>
      <c r="F152" s="3067" t="s">
        <v>3369</v>
      </c>
      <c r="G152" s="3067" t="s">
        <v>3102</v>
      </c>
      <c r="H152" s="3067" t="s">
        <v>3100</v>
      </c>
      <c r="I152" s="3067">
        <v>0</v>
      </c>
      <c r="J152" s="3067" t="s">
        <v>3433</v>
      </c>
      <c r="K152" s="3067" t="s">
        <v>3433</v>
      </c>
      <c r="L152" s="3067">
        <v>1080</v>
      </c>
      <c r="M152" s="3067">
        <v>1080</v>
      </c>
      <c r="N152" s="3067">
        <v>293.18</v>
      </c>
      <c r="O152" s="3067">
        <v>0</v>
      </c>
      <c r="P152" s="3067" t="s">
        <v>3434</v>
      </c>
      <c r="Q152" s="3067" t="s">
        <v>3105</v>
      </c>
    </row>
    <row r="153" spans="1:17">
      <c r="A153" s="3067" t="s">
        <v>3161</v>
      </c>
      <c r="B153" s="3067" t="s">
        <v>3099</v>
      </c>
      <c r="C153" s="3067" t="s">
        <v>3100</v>
      </c>
      <c r="D153" s="3067">
        <v>40161.5</v>
      </c>
      <c r="E153" s="3067">
        <v>80323</v>
      </c>
      <c r="F153" s="3067" t="s">
        <v>3101</v>
      </c>
      <c r="G153" s="3067" t="s">
        <v>3102</v>
      </c>
      <c r="H153" s="3067" t="s">
        <v>3100</v>
      </c>
      <c r="I153" s="3067">
        <v>0</v>
      </c>
      <c r="J153" s="3067" t="s">
        <v>3162</v>
      </c>
      <c r="K153" s="3067" t="s">
        <v>3162</v>
      </c>
      <c r="L153" s="3067">
        <v>2270</v>
      </c>
      <c r="M153" s="3067">
        <v>2270</v>
      </c>
      <c r="N153" s="3067">
        <v>282.61</v>
      </c>
      <c r="O153" s="3067">
        <v>0</v>
      </c>
      <c r="P153" s="3067" t="s">
        <v>3163</v>
      </c>
      <c r="Q153" s="3067" t="s">
        <v>3105</v>
      </c>
    </row>
    <row r="154" spans="1:17">
      <c r="A154" s="3067" t="s">
        <v>3269</v>
      </c>
      <c r="B154" s="3067" t="s">
        <v>3099</v>
      </c>
      <c r="C154" s="3067" t="s">
        <v>3100</v>
      </c>
      <c r="D154" s="3067">
        <v>117069.9</v>
      </c>
      <c r="E154" s="3067">
        <v>234139.8</v>
      </c>
      <c r="F154" s="3067" t="s">
        <v>3231</v>
      </c>
      <c r="G154" s="3067" t="s">
        <v>3102</v>
      </c>
      <c r="H154" s="3067" t="s">
        <v>3111</v>
      </c>
      <c r="I154" s="3067">
        <v>0</v>
      </c>
      <c r="J154" s="3067" t="s">
        <v>3258</v>
      </c>
      <c r="K154" s="3067" t="s">
        <v>3258</v>
      </c>
      <c r="L154" s="3067">
        <v>6610</v>
      </c>
      <c r="M154" s="3067">
        <v>6610</v>
      </c>
      <c r="N154" s="3067">
        <v>282.31</v>
      </c>
      <c r="O154" s="3067">
        <v>0</v>
      </c>
      <c r="P154" s="3067" t="s">
        <v>3270</v>
      </c>
      <c r="Q154" s="3067" t="s">
        <v>3105</v>
      </c>
    </row>
    <row r="155" spans="1:17">
      <c r="A155" s="3067" t="s">
        <v>3177</v>
      </c>
      <c r="B155" s="3067" t="s">
        <v>3099</v>
      </c>
      <c r="C155" s="3067" t="s">
        <v>3100</v>
      </c>
      <c r="D155" s="3067">
        <v>129999.3</v>
      </c>
      <c r="E155" s="3067">
        <v>259998.6</v>
      </c>
      <c r="F155" s="3067" t="s">
        <v>3377</v>
      </c>
      <c r="G155" s="3067" t="s">
        <v>3102</v>
      </c>
      <c r="H155" s="3067" t="s">
        <v>3100</v>
      </c>
      <c r="I155" s="3067">
        <v>0</v>
      </c>
      <c r="J155" s="3067" t="s">
        <v>3374</v>
      </c>
      <c r="K155" s="3067" t="s">
        <v>3374</v>
      </c>
      <c r="L155" s="3067">
        <v>7340</v>
      </c>
      <c r="M155" s="3067">
        <v>7340</v>
      </c>
      <c r="N155" s="3067">
        <v>282.31</v>
      </c>
      <c r="O155" s="3067">
        <v>0</v>
      </c>
      <c r="P155" s="3067" t="s">
        <v>3379</v>
      </c>
      <c r="Q155" s="3067" t="s">
        <v>3105</v>
      </c>
    </row>
    <row r="156" spans="1:17">
      <c r="A156" s="3067" t="s">
        <v>3376</v>
      </c>
      <c r="B156" s="3067" t="s">
        <v>3099</v>
      </c>
      <c r="C156" s="3067" t="s">
        <v>3100</v>
      </c>
      <c r="D156" s="3067">
        <v>98143.7</v>
      </c>
      <c r="E156" s="3067">
        <v>196287.4</v>
      </c>
      <c r="F156" s="3067" t="s">
        <v>3377</v>
      </c>
      <c r="G156" s="3067" t="s">
        <v>3102</v>
      </c>
      <c r="H156" s="3067" t="s">
        <v>3100</v>
      </c>
      <c r="I156" s="3067">
        <v>0</v>
      </c>
      <c r="J156" s="3067" t="s">
        <v>3374</v>
      </c>
      <c r="K156" s="3067" t="s">
        <v>3374</v>
      </c>
      <c r="L156" s="3067">
        <v>5540</v>
      </c>
      <c r="M156" s="3067">
        <v>5540</v>
      </c>
      <c r="N156" s="3067">
        <v>282.24</v>
      </c>
      <c r="O156" s="3067">
        <v>0</v>
      </c>
      <c r="P156" s="3067" t="s">
        <v>3378</v>
      </c>
      <c r="Q156" s="3067" t="s">
        <v>3105</v>
      </c>
    </row>
    <row r="157" spans="1:17">
      <c r="A157" s="3067" t="s">
        <v>3177</v>
      </c>
      <c r="B157" s="3067" t="s">
        <v>3099</v>
      </c>
      <c r="C157" s="3067" t="s">
        <v>3100</v>
      </c>
      <c r="D157" s="3067">
        <v>116240.5</v>
      </c>
      <c r="E157" s="3067">
        <v>232481</v>
      </c>
      <c r="F157" s="3067" t="s">
        <v>3101</v>
      </c>
      <c r="G157" s="3067" t="s">
        <v>3102</v>
      </c>
      <c r="H157" s="3067" t="s">
        <v>3100</v>
      </c>
      <c r="I157" s="3067">
        <v>0</v>
      </c>
      <c r="J157" s="3067" t="s">
        <v>3178</v>
      </c>
      <c r="K157" s="3067" t="s">
        <v>3178</v>
      </c>
      <c r="L157" s="3067">
        <v>6560</v>
      </c>
      <c r="M157" s="3067">
        <v>6560</v>
      </c>
      <c r="N157" s="3067">
        <v>282.17</v>
      </c>
      <c r="O157" s="3067">
        <v>0</v>
      </c>
      <c r="P157" s="3067" t="s">
        <v>3179</v>
      </c>
      <c r="Q157" s="3067" t="s">
        <v>3105</v>
      </c>
    </row>
    <row r="158" spans="1:17">
      <c r="A158" s="1407" t="s">
        <v>3177</v>
      </c>
      <c r="B158" s="1407" t="s">
        <v>3099</v>
      </c>
      <c r="C158" s="1407" t="s">
        <v>3100</v>
      </c>
      <c r="D158" s="1407">
        <v>146965.29999999999</v>
      </c>
      <c r="E158" s="1407">
        <v>293930.59999999998</v>
      </c>
      <c r="F158" s="1407" t="s">
        <v>3266</v>
      </c>
      <c r="G158" s="1407" t="s">
        <v>3102</v>
      </c>
      <c r="H158" s="1407" t="s">
        <v>3111</v>
      </c>
      <c r="I158" s="1407">
        <v>0</v>
      </c>
      <c r="J158" s="1407" t="s">
        <v>3474</v>
      </c>
      <c r="K158" s="1407" t="s">
        <v>3474</v>
      </c>
      <c r="L158" s="1407">
        <v>8290</v>
      </c>
      <c r="M158" s="1407">
        <v>8290</v>
      </c>
      <c r="N158" s="1407">
        <v>282.04000000000002</v>
      </c>
      <c r="O158" s="1407">
        <v>0</v>
      </c>
      <c r="P158" s="1407" t="s">
        <v>3476</v>
      </c>
      <c r="Q158" s="1407" t="s">
        <v>3105</v>
      </c>
    </row>
    <row r="159" spans="1:17">
      <c r="A159" s="3067" t="s">
        <v>3168</v>
      </c>
      <c r="B159" s="3067" t="s">
        <v>3099</v>
      </c>
      <c r="C159" s="3067" t="s">
        <v>3100</v>
      </c>
      <c r="D159" s="3067">
        <v>4613.6000000000004</v>
      </c>
      <c r="E159" s="3067">
        <v>9227.2000000000007</v>
      </c>
      <c r="F159" s="3067" t="s">
        <v>3231</v>
      </c>
      <c r="G159" s="3067" t="s">
        <v>3102</v>
      </c>
      <c r="H159" s="3067" t="s">
        <v>3170</v>
      </c>
      <c r="I159" s="3067">
        <v>0</v>
      </c>
      <c r="J159" s="3067" t="s">
        <v>3232</v>
      </c>
      <c r="K159" s="3067" t="s">
        <v>3232</v>
      </c>
      <c r="L159" s="3067">
        <v>260</v>
      </c>
      <c r="M159" s="3067">
        <v>260</v>
      </c>
      <c r="N159" s="3067">
        <v>281.77</v>
      </c>
      <c r="O159" s="3067">
        <v>0</v>
      </c>
      <c r="P159" s="3067" t="s">
        <v>3233</v>
      </c>
      <c r="Q159" s="3067" t="s">
        <v>3105</v>
      </c>
    </row>
    <row r="160" spans="1:17">
      <c r="A160" s="3067" t="s">
        <v>3168</v>
      </c>
      <c r="B160" s="3067" t="s">
        <v>3099</v>
      </c>
      <c r="C160" s="3067" t="s">
        <v>3100</v>
      </c>
      <c r="D160" s="3067">
        <v>6579.5</v>
      </c>
      <c r="E160" s="3067">
        <v>13159</v>
      </c>
      <c r="F160" s="3067" t="s">
        <v>3231</v>
      </c>
      <c r="G160" s="3067" t="s">
        <v>3102</v>
      </c>
      <c r="H160" s="3067" t="s">
        <v>3170</v>
      </c>
      <c r="I160" s="3067">
        <v>0</v>
      </c>
      <c r="J160" s="3067" t="s">
        <v>3232</v>
      </c>
      <c r="K160" s="3067" t="s">
        <v>3232</v>
      </c>
      <c r="L160" s="3067">
        <v>370</v>
      </c>
      <c r="M160" s="3067">
        <v>370</v>
      </c>
      <c r="N160" s="3067">
        <v>281.18</v>
      </c>
      <c r="O160" s="3067">
        <v>0</v>
      </c>
      <c r="P160" s="3067" t="s">
        <v>3233</v>
      </c>
      <c r="Q160" s="3067" t="s">
        <v>3105</v>
      </c>
    </row>
    <row r="161" spans="1:17">
      <c r="A161" s="3067" t="s">
        <v>3116</v>
      </c>
      <c r="B161" s="3067" t="s">
        <v>3099</v>
      </c>
      <c r="C161" s="3067" t="s">
        <v>3100</v>
      </c>
      <c r="D161" s="3067">
        <v>19722.599999999999</v>
      </c>
      <c r="E161" s="3067">
        <v>29583.9</v>
      </c>
      <c r="F161" s="3067" t="s">
        <v>3120</v>
      </c>
      <c r="G161" s="3067" t="s">
        <v>3102</v>
      </c>
      <c r="H161" s="3067" t="s">
        <v>3100</v>
      </c>
      <c r="I161" s="3067">
        <v>0</v>
      </c>
      <c r="J161" s="3067" t="s">
        <v>3118</v>
      </c>
      <c r="K161" s="3067" t="s">
        <v>3118</v>
      </c>
      <c r="L161" s="3067">
        <v>820</v>
      </c>
      <c r="M161" s="3067">
        <v>820</v>
      </c>
      <c r="N161" s="3067">
        <v>277.18</v>
      </c>
      <c r="O161" s="3067">
        <v>0</v>
      </c>
      <c r="P161" s="3067" t="s">
        <v>3121</v>
      </c>
      <c r="Q161" s="3067" t="s">
        <v>3105</v>
      </c>
    </row>
    <row r="162" spans="1:17">
      <c r="A162" s="1407" t="s">
        <v>3483</v>
      </c>
      <c r="B162" s="1407" t="s">
        <v>3099</v>
      </c>
      <c r="C162" s="1407" t="s">
        <v>3100</v>
      </c>
      <c r="D162" s="1407">
        <v>31381.599999999999</v>
      </c>
      <c r="E162" s="1407">
        <v>78454</v>
      </c>
      <c r="F162" s="1407" t="s">
        <v>3484</v>
      </c>
      <c r="G162" s="1407" t="s">
        <v>3102</v>
      </c>
      <c r="H162" s="1407" t="s">
        <v>3100</v>
      </c>
      <c r="I162" s="1407">
        <v>0</v>
      </c>
      <c r="J162" s="1407" t="s">
        <v>3485</v>
      </c>
      <c r="K162" s="1407" t="s">
        <v>3485</v>
      </c>
      <c r="L162" s="1407">
        <v>2170</v>
      </c>
      <c r="M162" s="1407">
        <v>2170</v>
      </c>
      <c r="N162" s="1407">
        <v>276.60000000000002</v>
      </c>
      <c r="O162" s="1407">
        <v>0</v>
      </c>
      <c r="P162" s="1407" t="s">
        <v>3486</v>
      </c>
      <c r="Q162" s="1407" t="s">
        <v>3105</v>
      </c>
    </row>
    <row r="163" spans="1:17">
      <c r="A163" s="3067" t="s">
        <v>3168</v>
      </c>
      <c r="B163" s="3067" t="s">
        <v>3099</v>
      </c>
      <c r="C163" s="3067" t="s">
        <v>3100</v>
      </c>
      <c r="D163" s="3067">
        <v>3453.4</v>
      </c>
      <c r="E163" s="3067">
        <v>6906.8</v>
      </c>
      <c r="F163" s="3067" t="s">
        <v>3231</v>
      </c>
      <c r="G163" s="3067" t="s">
        <v>3102</v>
      </c>
      <c r="H163" s="3067" t="s">
        <v>3170</v>
      </c>
      <c r="I163" s="3067">
        <v>0</v>
      </c>
      <c r="J163" s="3067" t="s">
        <v>3232</v>
      </c>
      <c r="K163" s="3067" t="s">
        <v>3232</v>
      </c>
      <c r="L163" s="3067">
        <v>190</v>
      </c>
      <c r="M163" s="3067">
        <v>190</v>
      </c>
      <c r="N163" s="3067">
        <v>275.08</v>
      </c>
      <c r="O163" s="3067">
        <v>0</v>
      </c>
      <c r="P163" s="3067" t="s">
        <v>3233</v>
      </c>
      <c r="Q163" s="3067" t="s">
        <v>3105</v>
      </c>
    </row>
    <row r="164" spans="1:17">
      <c r="A164" s="3067" t="s">
        <v>3425</v>
      </c>
      <c r="B164" s="3067" t="s">
        <v>3099</v>
      </c>
      <c r="C164" s="3067" t="s">
        <v>3100</v>
      </c>
      <c r="D164" s="3067">
        <v>26666.6</v>
      </c>
      <c r="E164" s="3067">
        <v>53333.2</v>
      </c>
      <c r="F164" s="3067" t="s">
        <v>3426</v>
      </c>
      <c r="G164" s="3067" t="s">
        <v>3102</v>
      </c>
      <c r="H164" s="3067" t="s">
        <v>3100</v>
      </c>
      <c r="I164" s="3067">
        <v>0</v>
      </c>
      <c r="J164" s="3067" t="s">
        <v>3423</v>
      </c>
      <c r="K164" s="3067" t="s">
        <v>3423</v>
      </c>
      <c r="L164" s="3067">
        <v>1440</v>
      </c>
      <c r="M164" s="3067">
        <v>1440</v>
      </c>
      <c r="N164" s="3067">
        <v>270</v>
      </c>
      <c r="O164" s="3067">
        <v>0</v>
      </c>
      <c r="P164" s="3067" t="s">
        <v>3427</v>
      </c>
      <c r="Q164" s="3067" t="s">
        <v>3105</v>
      </c>
    </row>
    <row r="165" spans="1:17">
      <c r="A165" s="3067" t="s">
        <v>3419</v>
      </c>
      <c r="B165" s="3067" t="s">
        <v>3099</v>
      </c>
      <c r="C165" s="3067" t="s">
        <v>3100</v>
      </c>
      <c r="D165" s="3067">
        <v>135306.4</v>
      </c>
      <c r="E165" s="3067">
        <v>230020.88</v>
      </c>
      <c r="F165" s="3067" t="s">
        <v>3420</v>
      </c>
      <c r="G165" s="3067" t="s">
        <v>3102</v>
      </c>
      <c r="H165" s="3067" t="s">
        <v>3100</v>
      </c>
      <c r="I165" s="3067">
        <v>0</v>
      </c>
      <c r="J165" s="3067" t="s">
        <v>3421</v>
      </c>
      <c r="K165" s="3067" t="s">
        <v>3421</v>
      </c>
      <c r="L165" s="3067">
        <v>6110</v>
      </c>
      <c r="M165" s="3067">
        <v>6110</v>
      </c>
      <c r="N165" s="3067">
        <v>265.62</v>
      </c>
      <c r="O165" s="3067">
        <v>0</v>
      </c>
      <c r="P165" s="3067" t="s">
        <v>3422</v>
      </c>
      <c r="Q165" s="3067" t="s">
        <v>3105</v>
      </c>
    </row>
    <row r="166" spans="1:17">
      <c r="A166" s="3067" t="s">
        <v>3166</v>
      </c>
      <c r="B166" s="3067" t="s">
        <v>3099</v>
      </c>
      <c r="C166" s="3067" t="s">
        <v>3100</v>
      </c>
      <c r="D166" s="3067">
        <v>30869</v>
      </c>
      <c r="E166" s="3067">
        <v>61738</v>
      </c>
      <c r="F166" s="3067" t="s">
        <v>3101</v>
      </c>
      <c r="G166" s="3067" t="s">
        <v>3102</v>
      </c>
      <c r="H166" s="3067" t="s">
        <v>3100</v>
      </c>
      <c r="I166" s="3067">
        <v>0</v>
      </c>
      <c r="J166" s="3067" t="s">
        <v>3185</v>
      </c>
      <c r="K166" s="3067" t="s">
        <v>3185</v>
      </c>
      <c r="L166" s="3067">
        <v>1580</v>
      </c>
      <c r="M166" s="3067">
        <v>1580</v>
      </c>
      <c r="N166" s="3067">
        <v>255.91</v>
      </c>
      <c r="O166" s="3067">
        <v>0</v>
      </c>
      <c r="P166" s="3067" t="s">
        <v>3198</v>
      </c>
      <c r="Q166" s="3067" t="s">
        <v>3105</v>
      </c>
    </row>
    <row r="167" spans="1:17">
      <c r="A167" s="3067" t="s">
        <v>3166</v>
      </c>
      <c r="B167" s="3067" t="s">
        <v>3099</v>
      </c>
      <c r="C167" s="3067" t="s">
        <v>3100</v>
      </c>
      <c r="D167" s="3067">
        <v>69857.5</v>
      </c>
      <c r="E167" s="3067">
        <v>139715</v>
      </c>
      <c r="F167" s="3067" t="s">
        <v>3101</v>
      </c>
      <c r="G167" s="3067" t="s">
        <v>3102</v>
      </c>
      <c r="H167" s="3067" t="s">
        <v>3100</v>
      </c>
      <c r="I167" s="3067">
        <v>0</v>
      </c>
      <c r="J167" s="3067" t="s">
        <v>3185</v>
      </c>
      <c r="K167" s="3067" t="s">
        <v>3185</v>
      </c>
      <c r="L167" s="3067">
        <v>3570</v>
      </c>
      <c r="M167" s="3067">
        <v>3570</v>
      </c>
      <c r="N167" s="3067">
        <v>255.52</v>
      </c>
      <c r="O167" s="3067">
        <v>0</v>
      </c>
      <c r="P167" s="3067" t="s">
        <v>3194</v>
      </c>
      <c r="Q167" s="3067" t="s">
        <v>3105</v>
      </c>
    </row>
    <row r="168" spans="1:17">
      <c r="A168" s="3067" t="s">
        <v>3166</v>
      </c>
      <c r="B168" s="3067" t="s">
        <v>3099</v>
      </c>
      <c r="C168" s="3067" t="s">
        <v>3100</v>
      </c>
      <c r="D168" s="3067">
        <v>22223.5</v>
      </c>
      <c r="E168" s="3067">
        <v>44447</v>
      </c>
      <c r="F168" s="3067" t="s">
        <v>3101</v>
      </c>
      <c r="G168" s="3067" t="s">
        <v>3102</v>
      </c>
      <c r="H168" s="3067" t="s">
        <v>3100</v>
      </c>
      <c r="I168" s="3067">
        <v>0</v>
      </c>
      <c r="J168" s="3067" t="s">
        <v>3185</v>
      </c>
      <c r="K168" s="3067" t="s">
        <v>3185</v>
      </c>
      <c r="L168" s="3067">
        <v>1120</v>
      </c>
      <c r="M168" s="3067">
        <v>1120</v>
      </c>
      <c r="N168" s="3067">
        <v>251.99</v>
      </c>
      <c r="O168" s="3067">
        <v>0</v>
      </c>
      <c r="P168" s="3067" t="s">
        <v>3149</v>
      </c>
      <c r="Q168" s="3067" t="s">
        <v>3105</v>
      </c>
    </row>
    <row r="169" spans="1:17">
      <c r="A169" s="3067" t="s">
        <v>3161</v>
      </c>
      <c r="B169" s="3067" t="s">
        <v>3099</v>
      </c>
      <c r="C169" s="3067" t="s">
        <v>3100</v>
      </c>
      <c r="D169" s="3067">
        <v>58672.4</v>
      </c>
      <c r="E169" s="3067">
        <v>117338</v>
      </c>
      <c r="F169" s="3067" t="s">
        <v>3362</v>
      </c>
      <c r="G169" s="3067" t="s">
        <v>3102</v>
      </c>
      <c r="H169" s="3067" t="s">
        <v>3100</v>
      </c>
      <c r="I169" s="3067">
        <v>0</v>
      </c>
      <c r="J169" s="3067" t="s">
        <v>3363</v>
      </c>
      <c r="K169" s="3067" t="s">
        <v>3363</v>
      </c>
      <c r="L169" s="3067">
        <v>2950</v>
      </c>
      <c r="M169" s="3067">
        <v>2950</v>
      </c>
      <c r="N169" s="3067">
        <v>251.4</v>
      </c>
      <c r="O169" s="3067">
        <v>0</v>
      </c>
      <c r="P169" s="3067" t="s">
        <v>3364</v>
      </c>
      <c r="Q169" s="3067" t="s">
        <v>3105</v>
      </c>
    </row>
    <row r="170" spans="1:17">
      <c r="A170" s="3067" t="s">
        <v>3161</v>
      </c>
      <c r="B170" s="3067" t="s">
        <v>3099</v>
      </c>
      <c r="C170" s="3067" t="s">
        <v>3100</v>
      </c>
      <c r="D170" s="3067">
        <v>25934</v>
      </c>
      <c r="E170" s="3067">
        <v>51868</v>
      </c>
      <c r="F170" s="3067" t="s">
        <v>3369</v>
      </c>
      <c r="G170" s="3067" t="s">
        <v>3102</v>
      </c>
      <c r="H170" s="3067" t="s">
        <v>3100</v>
      </c>
      <c r="I170" s="3067">
        <v>0</v>
      </c>
      <c r="J170" s="3067" t="s">
        <v>3370</v>
      </c>
      <c r="K170" s="3067" t="s">
        <v>3370</v>
      </c>
      <c r="L170" s="3067">
        <v>1300</v>
      </c>
      <c r="M170" s="3067">
        <v>1300</v>
      </c>
      <c r="N170" s="3067">
        <v>250.63</v>
      </c>
      <c r="O170" s="3067">
        <v>0</v>
      </c>
      <c r="P170" s="3067" t="s">
        <v>3372</v>
      </c>
      <c r="Q170" s="3067" t="s">
        <v>3105</v>
      </c>
    </row>
    <row r="171" spans="1:17">
      <c r="A171" s="3067" t="s">
        <v>3332</v>
      </c>
      <c r="B171" s="3067" t="s">
        <v>3099</v>
      </c>
      <c r="C171" s="3067" t="s">
        <v>3100</v>
      </c>
      <c r="D171" s="3067">
        <v>173431.8</v>
      </c>
      <c r="E171" s="3067">
        <v>346863.6</v>
      </c>
      <c r="F171" s="3067" t="s">
        <v>3231</v>
      </c>
      <c r="G171" s="3067" t="s">
        <v>3102</v>
      </c>
      <c r="H171" s="3067" t="s">
        <v>3111</v>
      </c>
      <c r="I171" s="3067">
        <v>0</v>
      </c>
      <c r="J171" s="3067" t="s">
        <v>3326</v>
      </c>
      <c r="K171" s="3067" t="s">
        <v>3326</v>
      </c>
      <c r="L171" s="3067">
        <v>8070</v>
      </c>
      <c r="M171" s="3067">
        <v>8070</v>
      </c>
      <c r="N171" s="3067">
        <v>232.65</v>
      </c>
      <c r="O171" s="3067">
        <v>0</v>
      </c>
      <c r="P171" s="3067" t="s">
        <v>3333</v>
      </c>
      <c r="Q171" s="3067" t="s">
        <v>3105</v>
      </c>
    </row>
    <row r="172" spans="1:17">
      <c r="A172" s="3067" t="s">
        <v>3155</v>
      </c>
      <c r="B172" s="3067" t="s">
        <v>3099</v>
      </c>
      <c r="C172" s="3067" t="s">
        <v>3100</v>
      </c>
      <c r="D172" s="3067">
        <v>91881.7</v>
      </c>
      <c r="E172" s="3067">
        <v>183763.4</v>
      </c>
      <c r="F172" s="3067" t="s">
        <v>3101</v>
      </c>
      <c r="G172" s="3067" t="s">
        <v>3102</v>
      </c>
      <c r="H172" s="3067" t="s">
        <v>3100</v>
      </c>
      <c r="I172" s="3067">
        <v>0</v>
      </c>
      <c r="J172" s="3067" t="s">
        <v>3156</v>
      </c>
      <c r="K172" s="3067" t="s">
        <v>3156</v>
      </c>
      <c r="L172" s="3067">
        <v>4190</v>
      </c>
      <c r="M172" s="3067">
        <v>4190</v>
      </c>
      <c r="N172" s="3067">
        <v>228</v>
      </c>
      <c r="O172" s="3067">
        <v>0</v>
      </c>
      <c r="P172" s="3067" t="s">
        <v>3157</v>
      </c>
      <c r="Q172" s="3067" t="s">
        <v>3105</v>
      </c>
    </row>
    <row r="173" spans="1:17">
      <c r="A173" s="3067" t="s">
        <v>3195</v>
      </c>
      <c r="B173" s="3067" t="s">
        <v>3099</v>
      </c>
      <c r="C173" s="3067" t="s">
        <v>3100</v>
      </c>
      <c r="D173" s="3067">
        <v>102377.8</v>
      </c>
      <c r="E173" s="3067">
        <v>204755.6</v>
      </c>
      <c r="F173" s="3067" t="s">
        <v>3196</v>
      </c>
      <c r="G173" s="3067" t="s">
        <v>3102</v>
      </c>
      <c r="H173" s="3067" t="s">
        <v>3111</v>
      </c>
      <c r="I173" s="3067">
        <v>0</v>
      </c>
      <c r="J173" s="3067" t="s">
        <v>3185</v>
      </c>
      <c r="K173" s="3067" t="s">
        <v>3185</v>
      </c>
      <c r="L173" s="3067">
        <v>4660</v>
      </c>
      <c r="M173" s="3067">
        <v>4660</v>
      </c>
      <c r="N173" s="3067">
        <v>227.59</v>
      </c>
      <c r="O173" s="3067">
        <v>0</v>
      </c>
      <c r="P173" s="3067" t="s">
        <v>3197</v>
      </c>
      <c r="Q173" s="3067" t="s">
        <v>3105</v>
      </c>
    </row>
    <row r="174" spans="1:17">
      <c r="A174" s="3067" t="s">
        <v>3314</v>
      </c>
      <c r="B174" s="3067" t="s">
        <v>3099</v>
      </c>
      <c r="C174" s="3067" t="s">
        <v>3100</v>
      </c>
      <c r="D174" s="3067">
        <v>10424.299999999999</v>
      </c>
      <c r="E174" s="3067">
        <v>26060.75</v>
      </c>
      <c r="F174" s="3067" t="s">
        <v>3315</v>
      </c>
      <c r="G174" s="3067" t="s">
        <v>3102</v>
      </c>
      <c r="H174" s="3067" t="s">
        <v>3100</v>
      </c>
      <c r="I174" s="3067">
        <v>0</v>
      </c>
      <c r="J174" s="3067" t="s">
        <v>3302</v>
      </c>
      <c r="K174" s="3067" t="s">
        <v>3302</v>
      </c>
      <c r="L174" s="3067">
        <v>590</v>
      </c>
      <c r="M174" s="3067">
        <v>590</v>
      </c>
      <c r="N174" s="3067">
        <v>226.38</v>
      </c>
      <c r="O174" s="3067">
        <v>0</v>
      </c>
      <c r="P174" s="3067" t="s">
        <v>3316</v>
      </c>
      <c r="Q174" s="3067" t="s">
        <v>3105</v>
      </c>
    </row>
    <row r="175" spans="1:17">
      <c r="A175" s="1407" t="s">
        <v>3109</v>
      </c>
      <c r="B175" s="1407" t="s">
        <v>3099</v>
      </c>
      <c r="C175" s="1407" t="s">
        <v>3100</v>
      </c>
      <c r="D175" s="1407">
        <v>20133.400000000001</v>
      </c>
      <c r="E175" s="1407">
        <v>40266.800000000003</v>
      </c>
      <c r="F175" s="1407" t="s">
        <v>3510</v>
      </c>
      <c r="G175" s="1407" t="s">
        <v>3102</v>
      </c>
      <c r="H175" s="1407" t="s">
        <v>3100</v>
      </c>
      <c r="I175" s="1407">
        <v>0</v>
      </c>
      <c r="J175" s="1407" t="s">
        <v>3511</v>
      </c>
      <c r="K175" s="1407" t="s">
        <v>3511</v>
      </c>
      <c r="L175" s="1407">
        <v>870</v>
      </c>
      <c r="M175" s="1407">
        <v>870</v>
      </c>
      <c r="N175" s="1407">
        <v>216.06</v>
      </c>
      <c r="O175" s="1407">
        <v>0</v>
      </c>
      <c r="P175" s="1407" t="s">
        <v>3371</v>
      </c>
      <c r="Q175" s="1407" t="s">
        <v>3105</v>
      </c>
    </row>
    <row r="176" spans="1:17">
      <c r="A176" s="3067" t="s">
        <v>3206</v>
      </c>
      <c r="B176" s="3067" t="s">
        <v>3099</v>
      </c>
      <c r="C176" s="3067" t="s">
        <v>3100</v>
      </c>
      <c r="D176" s="3067">
        <v>22809.5</v>
      </c>
      <c r="E176" s="3067">
        <v>34214.25</v>
      </c>
      <c r="F176" s="3067" t="s">
        <v>3355</v>
      </c>
      <c r="G176" s="3067" t="s">
        <v>3102</v>
      </c>
      <c r="H176" s="3067" t="s">
        <v>3100</v>
      </c>
      <c r="I176" s="3067">
        <v>0</v>
      </c>
      <c r="J176" s="3067" t="s">
        <v>3448</v>
      </c>
      <c r="K176" s="3067" t="s">
        <v>3448</v>
      </c>
      <c r="L176" s="3067">
        <v>710</v>
      </c>
      <c r="M176" s="3067">
        <v>710</v>
      </c>
      <c r="N176" s="3067">
        <v>207.52</v>
      </c>
      <c r="O176" s="3067">
        <v>0</v>
      </c>
      <c r="P176" s="3067" t="s">
        <v>3449</v>
      </c>
      <c r="Q176" s="3067" t="s">
        <v>3105</v>
      </c>
    </row>
    <row r="177" spans="1:17">
      <c r="A177" s="3067" t="s">
        <v>3206</v>
      </c>
      <c r="B177" s="3067" t="s">
        <v>3099</v>
      </c>
      <c r="C177" s="3067" t="s">
        <v>3100</v>
      </c>
      <c r="D177" s="3067">
        <v>23518.400000000001</v>
      </c>
      <c r="E177" s="3067">
        <v>35277.599999999999</v>
      </c>
      <c r="F177" s="3067" t="s">
        <v>3355</v>
      </c>
      <c r="G177" s="3067" t="s">
        <v>3102</v>
      </c>
      <c r="H177" s="3067" t="s">
        <v>3100</v>
      </c>
      <c r="I177" s="3067">
        <v>0</v>
      </c>
      <c r="J177" s="3067" t="s">
        <v>3450</v>
      </c>
      <c r="K177" s="3067" t="s">
        <v>3450</v>
      </c>
      <c r="L177" s="3067">
        <v>730</v>
      </c>
      <c r="M177" s="3067">
        <v>730</v>
      </c>
      <c r="N177" s="3067">
        <v>206.93</v>
      </c>
      <c r="O177" s="3067">
        <v>0</v>
      </c>
      <c r="P177" s="3067" t="s">
        <v>3451</v>
      </c>
      <c r="Q177" s="3067" t="s">
        <v>3105</v>
      </c>
    </row>
    <row r="178" spans="1:17">
      <c r="A178" s="3067" t="s">
        <v>3206</v>
      </c>
      <c r="B178" s="3067" t="s">
        <v>3099</v>
      </c>
      <c r="C178" s="3067" t="s">
        <v>3100</v>
      </c>
      <c r="D178" s="3067">
        <v>40002.300000000003</v>
      </c>
      <c r="E178" s="3067">
        <v>60003.45</v>
      </c>
      <c r="F178" s="3067" t="s">
        <v>3355</v>
      </c>
      <c r="G178" s="3067" t="s">
        <v>3102</v>
      </c>
      <c r="H178" s="3067" t="s">
        <v>3100</v>
      </c>
      <c r="I178" s="3067">
        <v>0</v>
      </c>
      <c r="J178" s="3067" t="s">
        <v>3452</v>
      </c>
      <c r="K178" s="3067" t="s">
        <v>3452</v>
      </c>
      <c r="L178" s="3067">
        <v>1240</v>
      </c>
      <c r="M178" s="3067">
        <v>1240</v>
      </c>
      <c r="N178" s="3067">
        <v>206.65</v>
      </c>
      <c r="O178" s="3067">
        <v>0</v>
      </c>
      <c r="P178" s="3067" t="s">
        <v>3453</v>
      </c>
      <c r="Q178" s="3067" t="s">
        <v>3105</v>
      </c>
    </row>
    <row r="179" spans="1:17">
      <c r="A179" s="3067" t="s">
        <v>3206</v>
      </c>
      <c r="B179" s="3067" t="s">
        <v>3099</v>
      </c>
      <c r="C179" s="3067" t="s">
        <v>3100</v>
      </c>
      <c r="D179" s="3067">
        <v>15496.4</v>
      </c>
      <c r="E179" s="3067">
        <v>23244.6</v>
      </c>
      <c r="F179" s="3067" t="s">
        <v>3355</v>
      </c>
      <c r="G179" s="3067" t="s">
        <v>3102</v>
      </c>
      <c r="H179" s="3067" t="s">
        <v>3100</v>
      </c>
      <c r="I179" s="3067">
        <v>0</v>
      </c>
      <c r="J179" s="3067" t="s">
        <v>3443</v>
      </c>
      <c r="K179" s="3067" t="s">
        <v>3443</v>
      </c>
      <c r="L179" s="3067">
        <v>480</v>
      </c>
      <c r="M179" s="3067">
        <v>480</v>
      </c>
      <c r="N179" s="3067">
        <v>206.5</v>
      </c>
      <c r="O179" s="3067">
        <v>0</v>
      </c>
      <c r="P179" s="3067" t="s">
        <v>3444</v>
      </c>
      <c r="Q179" s="3067" t="s">
        <v>3105</v>
      </c>
    </row>
    <row r="180" spans="1:17">
      <c r="A180" s="3067" t="s">
        <v>3206</v>
      </c>
      <c r="B180" s="3067" t="s">
        <v>3099</v>
      </c>
      <c r="C180" s="3067" t="s">
        <v>3100</v>
      </c>
      <c r="D180" s="3067">
        <v>22927.4</v>
      </c>
      <c r="E180" s="3067">
        <v>34391.1</v>
      </c>
      <c r="F180" s="3067" t="s">
        <v>3355</v>
      </c>
      <c r="G180" s="3067" t="s">
        <v>3102</v>
      </c>
      <c r="H180" s="3067" t="s">
        <v>3100</v>
      </c>
      <c r="I180" s="3067">
        <v>0</v>
      </c>
      <c r="J180" s="3067" t="s">
        <v>3408</v>
      </c>
      <c r="K180" s="3067" t="s">
        <v>3408</v>
      </c>
      <c r="L180" s="3067">
        <v>710</v>
      </c>
      <c r="M180" s="3067">
        <v>710</v>
      </c>
      <c r="N180" s="3067">
        <v>206.44</v>
      </c>
      <c r="O180" s="3067">
        <v>0</v>
      </c>
      <c r="P180" s="3067" t="s">
        <v>3409</v>
      </c>
      <c r="Q180" s="3067" t="s">
        <v>3105</v>
      </c>
    </row>
    <row r="181" spans="1:17">
      <c r="A181" s="1407" t="s">
        <v>3206</v>
      </c>
      <c r="B181" s="1407" t="s">
        <v>3099</v>
      </c>
      <c r="C181" s="1407" t="s">
        <v>3100</v>
      </c>
      <c r="D181" s="1407">
        <v>18111.2</v>
      </c>
      <c r="E181" s="1407">
        <v>27166.799999999999</v>
      </c>
      <c r="F181" s="1407" t="s">
        <v>3355</v>
      </c>
      <c r="G181" s="1407" t="s">
        <v>3102</v>
      </c>
      <c r="H181" s="1407" t="s">
        <v>3100</v>
      </c>
      <c r="I181" s="1407">
        <v>0</v>
      </c>
      <c r="J181" s="1407" t="s">
        <v>3546</v>
      </c>
      <c r="K181" s="1407" t="s">
        <v>3546</v>
      </c>
      <c r="L181" s="1407">
        <v>560</v>
      </c>
      <c r="M181" s="1407">
        <v>560</v>
      </c>
      <c r="N181" s="1407">
        <v>206.12</v>
      </c>
      <c r="O181" s="1407">
        <v>0</v>
      </c>
      <c r="P181" s="1407" t="s">
        <v>3547</v>
      </c>
      <c r="Q181" s="1407" t="s">
        <v>3105</v>
      </c>
    </row>
    <row r="182" spans="1:17">
      <c r="A182" s="1407" t="s">
        <v>3206</v>
      </c>
      <c r="B182" s="1407" t="s">
        <v>3099</v>
      </c>
      <c r="C182" s="1407" t="s">
        <v>3100</v>
      </c>
      <c r="D182" s="1407">
        <v>40426.800000000003</v>
      </c>
      <c r="E182" s="1407">
        <v>60640.2</v>
      </c>
      <c r="F182" s="1407" t="s">
        <v>3355</v>
      </c>
      <c r="G182" s="1407" t="s">
        <v>3102</v>
      </c>
      <c r="H182" s="1407" t="s">
        <v>3100</v>
      </c>
      <c r="I182" s="1407">
        <v>0</v>
      </c>
      <c r="J182" s="1407" t="s">
        <v>3563</v>
      </c>
      <c r="K182" s="1407" t="s">
        <v>3563</v>
      </c>
      <c r="L182" s="1407">
        <v>1250</v>
      </c>
      <c r="M182" s="1407">
        <v>1250</v>
      </c>
      <c r="N182" s="1407">
        <v>206.12</v>
      </c>
      <c r="O182" s="1407">
        <v>0</v>
      </c>
      <c r="P182" s="1407" t="s">
        <v>3564</v>
      </c>
      <c r="Q182" s="1407" t="s">
        <v>3105</v>
      </c>
    </row>
    <row r="183" spans="1:17">
      <c r="A183" s="3067" t="s">
        <v>3206</v>
      </c>
      <c r="B183" s="3067" t="s">
        <v>3099</v>
      </c>
      <c r="C183" s="3067" t="s">
        <v>3100</v>
      </c>
      <c r="D183" s="3067">
        <v>32999.800000000003</v>
      </c>
      <c r="E183" s="3067">
        <v>49499.7</v>
      </c>
      <c r="F183" s="3067" t="s">
        <v>3355</v>
      </c>
      <c r="G183" s="3067" t="s">
        <v>3102</v>
      </c>
      <c r="H183" s="3067" t="s">
        <v>3100</v>
      </c>
      <c r="I183" s="3067">
        <v>0</v>
      </c>
      <c r="J183" s="3067" t="s">
        <v>3454</v>
      </c>
      <c r="K183" s="3067" t="s">
        <v>3454</v>
      </c>
      <c r="L183" s="3067">
        <v>1020</v>
      </c>
      <c r="M183" s="3067">
        <v>1020</v>
      </c>
      <c r="N183" s="3067">
        <v>206.06</v>
      </c>
      <c r="O183" s="3067">
        <v>0</v>
      </c>
      <c r="P183" s="3067" t="s">
        <v>3455</v>
      </c>
      <c r="Q183" s="3067" t="s">
        <v>3105</v>
      </c>
    </row>
    <row r="184" spans="1:17">
      <c r="A184" s="3067" t="s">
        <v>3109</v>
      </c>
      <c r="B184" s="3067" t="s">
        <v>3099</v>
      </c>
      <c r="C184" s="3067" t="s">
        <v>3100</v>
      </c>
      <c r="D184" s="3067">
        <v>95144.4</v>
      </c>
      <c r="E184" s="3067">
        <v>190288.8</v>
      </c>
      <c r="F184" s="3067" t="s">
        <v>3110</v>
      </c>
      <c r="G184" s="3067" t="s">
        <v>3102</v>
      </c>
      <c r="H184" s="3067" t="s">
        <v>3111</v>
      </c>
      <c r="I184" s="3067">
        <v>0</v>
      </c>
      <c r="J184" s="3067" t="s">
        <v>3112</v>
      </c>
      <c r="K184" s="3067" t="s">
        <v>3112</v>
      </c>
      <c r="L184" s="3067">
        <v>3920</v>
      </c>
      <c r="M184" s="3067">
        <v>3920</v>
      </c>
      <c r="N184" s="3067">
        <v>206</v>
      </c>
      <c r="O184" s="3067">
        <v>0</v>
      </c>
      <c r="P184" s="3067" t="s">
        <v>3114</v>
      </c>
      <c r="Q184" s="3067" t="s">
        <v>3105</v>
      </c>
    </row>
    <row r="185" spans="1:17">
      <c r="A185" s="3067" t="s">
        <v>3109</v>
      </c>
      <c r="B185" s="3067" t="s">
        <v>3099</v>
      </c>
      <c r="C185" s="3067" t="s">
        <v>3100</v>
      </c>
      <c r="D185" s="3067">
        <v>81094.399999999994</v>
      </c>
      <c r="E185" s="3067">
        <v>162188.79999999999</v>
      </c>
      <c r="F185" s="3067" t="s">
        <v>3110</v>
      </c>
      <c r="G185" s="3067" t="s">
        <v>3102</v>
      </c>
      <c r="H185" s="3067" t="s">
        <v>3111</v>
      </c>
      <c r="I185" s="3067">
        <v>0</v>
      </c>
      <c r="J185" s="3067" t="s">
        <v>3156</v>
      </c>
      <c r="K185" s="3067" t="s">
        <v>3156</v>
      </c>
      <c r="L185" s="3067">
        <v>3340</v>
      </c>
      <c r="M185" s="3067">
        <v>3340</v>
      </c>
      <c r="N185" s="3067">
        <v>205.93</v>
      </c>
      <c r="O185" s="3067">
        <v>0</v>
      </c>
      <c r="P185" s="3067" t="s">
        <v>3158</v>
      </c>
      <c r="Q185" s="3067" t="s">
        <v>3105</v>
      </c>
    </row>
    <row r="186" spans="1:17">
      <c r="A186" s="3067" t="s">
        <v>3109</v>
      </c>
      <c r="B186" s="3067" t="s">
        <v>3099</v>
      </c>
      <c r="C186" s="3067" t="s">
        <v>3100</v>
      </c>
      <c r="D186" s="3067">
        <v>74543.399999999994</v>
      </c>
      <c r="E186" s="3067">
        <v>149086.79999999999</v>
      </c>
      <c r="F186" s="3067" t="s">
        <v>3369</v>
      </c>
      <c r="G186" s="3067" t="s">
        <v>3102</v>
      </c>
      <c r="H186" s="3067" t="s">
        <v>3100</v>
      </c>
      <c r="I186" s="3067">
        <v>0</v>
      </c>
      <c r="J186" s="3067" t="s">
        <v>3370</v>
      </c>
      <c r="K186" s="3067" t="s">
        <v>3370</v>
      </c>
      <c r="L186" s="3067">
        <v>3070</v>
      </c>
      <c r="M186" s="3067">
        <v>3070</v>
      </c>
      <c r="N186" s="3067">
        <v>205.91</v>
      </c>
      <c r="O186" s="3067">
        <v>0</v>
      </c>
      <c r="P186" s="3067" t="s">
        <v>3371</v>
      </c>
      <c r="Q186" s="3067" t="s">
        <v>3105</v>
      </c>
    </row>
    <row r="187" spans="1:17">
      <c r="A187" s="3067" t="s">
        <v>3109</v>
      </c>
      <c r="B187" s="3067" t="s">
        <v>3099</v>
      </c>
      <c r="C187" s="3067" t="s">
        <v>3100</v>
      </c>
      <c r="D187" s="3067">
        <v>88413.4</v>
      </c>
      <c r="E187" s="3067">
        <v>176826.8</v>
      </c>
      <c r="F187" s="3067" t="s">
        <v>3110</v>
      </c>
      <c r="G187" s="3067" t="s">
        <v>3102</v>
      </c>
      <c r="H187" s="3067" t="s">
        <v>3111</v>
      </c>
      <c r="I187" s="3067">
        <v>0</v>
      </c>
      <c r="J187" s="3067" t="s">
        <v>3185</v>
      </c>
      <c r="K187" s="3067" t="s">
        <v>3185</v>
      </c>
      <c r="L187" s="3067">
        <v>3640</v>
      </c>
      <c r="M187" s="3067">
        <v>3640</v>
      </c>
      <c r="N187" s="3067">
        <v>205.84</v>
      </c>
      <c r="O187" s="3067">
        <v>0</v>
      </c>
      <c r="P187" s="3067" t="s">
        <v>3186</v>
      </c>
      <c r="Q187" s="3067" t="s">
        <v>3105</v>
      </c>
    </row>
    <row r="188" spans="1:17">
      <c r="A188" s="3067" t="s">
        <v>3109</v>
      </c>
      <c r="B188" s="3067" t="s">
        <v>3099</v>
      </c>
      <c r="C188" s="3067" t="s">
        <v>3100</v>
      </c>
      <c r="D188" s="3067">
        <v>141461.29999999999</v>
      </c>
      <c r="E188" s="3067">
        <v>282922.59999999998</v>
      </c>
      <c r="F188" s="3067" t="s">
        <v>3110</v>
      </c>
      <c r="G188" s="3067" t="s">
        <v>3102</v>
      </c>
      <c r="H188" s="3067" t="s">
        <v>3111</v>
      </c>
      <c r="I188" s="3067">
        <v>0</v>
      </c>
      <c r="J188" s="3067" t="s">
        <v>3112</v>
      </c>
      <c r="K188" s="3067" t="s">
        <v>3112</v>
      </c>
      <c r="L188" s="3067">
        <v>5820</v>
      </c>
      <c r="M188" s="3067">
        <v>5820</v>
      </c>
      <c r="N188" s="3067">
        <v>205.71</v>
      </c>
      <c r="O188" s="3067">
        <v>0</v>
      </c>
      <c r="P188" s="3067" t="s">
        <v>3113</v>
      </c>
      <c r="Q188" s="3067" t="s">
        <v>3105</v>
      </c>
    </row>
    <row r="189" spans="1:17">
      <c r="A189" s="3067" t="s">
        <v>3206</v>
      </c>
      <c r="B189" s="3067" t="s">
        <v>3099</v>
      </c>
      <c r="C189" s="3067" t="s">
        <v>3100</v>
      </c>
      <c r="D189" s="3067">
        <v>58331.199999999997</v>
      </c>
      <c r="E189" s="3067">
        <v>87496.8</v>
      </c>
      <c r="F189" s="3067" t="s">
        <v>3355</v>
      </c>
      <c r="G189" s="3067" t="s">
        <v>3102</v>
      </c>
      <c r="H189" s="3067" t="s">
        <v>3100</v>
      </c>
      <c r="I189" s="3067">
        <v>0</v>
      </c>
      <c r="J189" s="3067" t="s">
        <v>3438</v>
      </c>
      <c r="K189" s="3067" t="s">
        <v>3438</v>
      </c>
      <c r="L189" s="3067">
        <v>1800</v>
      </c>
      <c r="M189" s="3067">
        <v>1800</v>
      </c>
      <c r="N189" s="3067">
        <v>205.71</v>
      </c>
      <c r="O189" s="3067">
        <v>0</v>
      </c>
      <c r="P189" s="3067" t="s">
        <v>3439</v>
      </c>
      <c r="Q189" s="3067" t="s">
        <v>3105</v>
      </c>
    </row>
    <row r="190" spans="1:17">
      <c r="A190" s="1407" t="s">
        <v>3206</v>
      </c>
      <c r="B190" s="1407" t="s">
        <v>3099</v>
      </c>
      <c r="C190" s="1407" t="s">
        <v>3100</v>
      </c>
      <c r="D190" s="1407">
        <v>53795.5</v>
      </c>
      <c r="E190" s="1407">
        <v>80693.25</v>
      </c>
      <c r="F190" s="1407" t="s">
        <v>3355</v>
      </c>
      <c r="G190" s="1407" t="s">
        <v>3102</v>
      </c>
      <c r="H190" s="1407" t="s">
        <v>3100</v>
      </c>
      <c r="I190" s="1407">
        <v>0</v>
      </c>
      <c r="J190" s="1407" t="s">
        <v>3565</v>
      </c>
      <c r="K190" s="1407" t="s">
        <v>3565</v>
      </c>
      <c r="L190" s="1407">
        <v>1660</v>
      </c>
      <c r="M190" s="1407">
        <v>1660</v>
      </c>
      <c r="N190" s="1407">
        <v>205.71</v>
      </c>
      <c r="O190" s="1407">
        <v>0</v>
      </c>
      <c r="P190" s="1407" t="s">
        <v>3567</v>
      </c>
      <c r="Q190" s="1407" t="s">
        <v>3105</v>
      </c>
    </row>
    <row r="191" spans="1:17">
      <c r="A191" s="1407" t="s">
        <v>3469</v>
      </c>
      <c r="B191" s="1407" t="s">
        <v>3099</v>
      </c>
      <c r="C191" s="1407" t="s">
        <v>3100</v>
      </c>
      <c r="D191" s="1407">
        <v>75197.7</v>
      </c>
      <c r="E191" s="1407">
        <v>112796.55</v>
      </c>
      <c r="F191" s="1407" t="s">
        <v>3355</v>
      </c>
      <c r="G191" s="1407" t="s">
        <v>3102</v>
      </c>
      <c r="H191" s="1407" t="s">
        <v>3100</v>
      </c>
      <c r="I191" s="1407">
        <v>0</v>
      </c>
      <c r="J191" s="1407" t="s">
        <v>3467</v>
      </c>
      <c r="K191" s="1407" t="s">
        <v>3467</v>
      </c>
      <c r="L191" s="1407">
        <v>2320</v>
      </c>
      <c r="M191" s="1407">
        <v>2320</v>
      </c>
      <c r="N191" s="1407">
        <v>205.68</v>
      </c>
      <c r="O191" s="1407">
        <v>0</v>
      </c>
      <c r="P191" s="1407" t="s">
        <v>3470</v>
      </c>
      <c r="Q191" s="1407" t="s">
        <v>3105</v>
      </c>
    </row>
    <row r="192" spans="1:17">
      <c r="A192" s="3067" t="s">
        <v>3109</v>
      </c>
      <c r="B192" s="3067" t="s">
        <v>3099</v>
      </c>
      <c r="C192" s="3067" t="s">
        <v>3100</v>
      </c>
      <c r="D192" s="3067">
        <v>36223.199999999997</v>
      </c>
      <c r="E192" s="3067">
        <v>72446.399999999994</v>
      </c>
      <c r="F192" s="3067" t="s">
        <v>3384</v>
      </c>
      <c r="G192" s="3067" t="s">
        <v>3102</v>
      </c>
      <c r="H192" s="3067" t="s">
        <v>3100</v>
      </c>
      <c r="I192" s="3067">
        <v>0</v>
      </c>
      <c r="J192" s="3067" t="s">
        <v>3385</v>
      </c>
      <c r="K192" s="3067" t="s">
        <v>3385</v>
      </c>
      <c r="L192" s="3067">
        <v>1490</v>
      </c>
      <c r="M192" s="3067">
        <v>1490</v>
      </c>
      <c r="N192" s="3067">
        <v>205.66</v>
      </c>
      <c r="O192" s="3067">
        <v>0</v>
      </c>
      <c r="P192" s="3067" t="s">
        <v>3386</v>
      </c>
      <c r="Q192" s="3067" t="s">
        <v>3105</v>
      </c>
    </row>
    <row r="193" spans="1:17">
      <c r="A193" s="1407" t="s">
        <v>3206</v>
      </c>
      <c r="B193" s="1407" t="s">
        <v>3099</v>
      </c>
      <c r="C193" s="1407" t="s">
        <v>3100</v>
      </c>
      <c r="D193" s="1407">
        <v>26258.3</v>
      </c>
      <c r="E193" s="1407">
        <v>39387.449999999997</v>
      </c>
      <c r="F193" s="1407" t="s">
        <v>3355</v>
      </c>
      <c r="G193" s="1407" t="s">
        <v>3102</v>
      </c>
      <c r="H193" s="1407" t="s">
        <v>3100</v>
      </c>
      <c r="I193" s="1407">
        <v>0</v>
      </c>
      <c r="J193" s="1407" t="s">
        <v>3540</v>
      </c>
      <c r="K193" s="1407" t="s">
        <v>3540</v>
      </c>
      <c r="L193" s="1407">
        <v>810</v>
      </c>
      <c r="M193" s="1407">
        <v>810</v>
      </c>
      <c r="N193" s="1407">
        <v>205.65</v>
      </c>
      <c r="O193" s="1407">
        <v>0</v>
      </c>
      <c r="P193" s="1407" t="s">
        <v>3541</v>
      </c>
      <c r="Q193" s="1407" t="s">
        <v>3105</v>
      </c>
    </row>
    <row r="194" spans="1:17">
      <c r="A194" s="1407" t="s">
        <v>3206</v>
      </c>
      <c r="B194" s="1407" t="s">
        <v>3099</v>
      </c>
      <c r="C194" s="1407" t="s">
        <v>3100</v>
      </c>
      <c r="D194" s="1407">
        <v>62564.3</v>
      </c>
      <c r="E194" s="1407">
        <v>93846.45</v>
      </c>
      <c r="F194" s="1407" t="s">
        <v>3355</v>
      </c>
      <c r="G194" s="1407" t="s">
        <v>3102</v>
      </c>
      <c r="H194" s="1407" t="s">
        <v>3100</v>
      </c>
      <c r="I194" s="1407">
        <v>0</v>
      </c>
      <c r="J194" s="1407" t="s">
        <v>3546</v>
      </c>
      <c r="K194" s="1407" t="s">
        <v>3546</v>
      </c>
      <c r="L194" s="1407">
        <v>1930</v>
      </c>
      <c r="M194" s="1407">
        <v>1930</v>
      </c>
      <c r="N194" s="1407">
        <v>205.65</v>
      </c>
      <c r="O194" s="1407">
        <v>0</v>
      </c>
      <c r="P194" s="1407" t="s">
        <v>3549</v>
      </c>
      <c r="Q194" s="1407" t="s">
        <v>3105</v>
      </c>
    </row>
    <row r="195" spans="1:17">
      <c r="A195" s="3067" t="s">
        <v>3109</v>
      </c>
      <c r="B195" s="3067" t="s">
        <v>3099</v>
      </c>
      <c r="C195" s="3067" t="s">
        <v>3100</v>
      </c>
      <c r="D195" s="3067">
        <v>121097.9</v>
      </c>
      <c r="E195" s="3067">
        <v>242195.8</v>
      </c>
      <c r="F195" s="3067" t="s">
        <v>3110</v>
      </c>
      <c r="G195" s="3067" t="s">
        <v>3102</v>
      </c>
      <c r="H195" s="3067" t="s">
        <v>3111</v>
      </c>
      <c r="I195" s="3067">
        <v>0</v>
      </c>
      <c r="J195" s="3067" t="s">
        <v>3112</v>
      </c>
      <c r="K195" s="3067" t="s">
        <v>3112</v>
      </c>
      <c r="L195" s="3067">
        <v>4980</v>
      </c>
      <c r="M195" s="3067">
        <v>4980</v>
      </c>
      <c r="N195" s="3067">
        <v>205.62</v>
      </c>
      <c r="O195" s="3067">
        <v>0</v>
      </c>
      <c r="P195" s="3067" t="s">
        <v>3115</v>
      </c>
      <c r="Q195" s="3067" t="s">
        <v>3105</v>
      </c>
    </row>
    <row r="196" spans="1:17">
      <c r="A196" s="1407" t="s">
        <v>3206</v>
      </c>
      <c r="B196" s="1407" t="s">
        <v>3099</v>
      </c>
      <c r="C196" s="1407" t="s">
        <v>3100</v>
      </c>
      <c r="D196" s="1407">
        <v>124512.9</v>
      </c>
      <c r="E196" s="1407">
        <v>186769.3</v>
      </c>
      <c r="F196" s="1407" t="s">
        <v>3355</v>
      </c>
      <c r="G196" s="1407" t="s">
        <v>3102</v>
      </c>
      <c r="H196" s="1407" t="s">
        <v>3100</v>
      </c>
      <c r="I196" s="1407">
        <v>0</v>
      </c>
      <c r="J196" s="1407" t="s">
        <v>3528</v>
      </c>
      <c r="K196" s="1407" t="s">
        <v>3528</v>
      </c>
      <c r="L196" s="1407">
        <v>3840</v>
      </c>
      <c r="M196" s="1407">
        <v>3840</v>
      </c>
      <c r="N196" s="1407">
        <v>205.59</v>
      </c>
      <c r="O196" s="1407">
        <v>0</v>
      </c>
      <c r="P196" s="1407" t="s">
        <v>3529</v>
      </c>
      <c r="Q196" s="1407" t="s">
        <v>3105</v>
      </c>
    </row>
    <row r="197" spans="1:17">
      <c r="A197" s="1407" t="s">
        <v>3206</v>
      </c>
      <c r="B197" s="1407" t="s">
        <v>3099</v>
      </c>
      <c r="C197" s="1407" t="s">
        <v>3100</v>
      </c>
      <c r="D197" s="1407">
        <v>43476.1</v>
      </c>
      <c r="E197" s="1407">
        <v>65214.15</v>
      </c>
      <c r="F197" s="1407" t="s">
        <v>3355</v>
      </c>
      <c r="G197" s="1407" t="s">
        <v>3102</v>
      </c>
      <c r="H197" s="1407" t="s">
        <v>3100</v>
      </c>
      <c r="I197" s="1407">
        <v>0</v>
      </c>
      <c r="J197" s="1407" t="s">
        <v>3533</v>
      </c>
      <c r="K197" s="1407" t="s">
        <v>3533</v>
      </c>
      <c r="L197" s="1407">
        <v>1340</v>
      </c>
      <c r="M197" s="1407">
        <v>1340</v>
      </c>
      <c r="N197" s="1407">
        <v>205.47</v>
      </c>
      <c r="O197" s="1407">
        <v>0</v>
      </c>
      <c r="P197" s="1407" t="s">
        <v>3534</v>
      </c>
      <c r="Q197" s="1407" t="s">
        <v>3105</v>
      </c>
    </row>
    <row r="198" spans="1:17">
      <c r="A198" s="1407" t="s">
        <v>3206</v>
      </c>
      <c r="B198" s="1407" t="s">
        <v>3099</v>
      </c>
      <c r="C198" s="1407" t="s">
        <v>3100</v>
      </c>
      <c r="D198" s="1407">
        <v>16550.900000000001</v>
      </c>
      <c r="E198" s="1407">
        <v>24826.35</v>
      </c>
      <c r="F198" s="1407" t="s">
        <v>3355</v>
      </c>
      <c r="G198" s="1407" t="s">
        <v>3102</v>
      </c>
      <c r="H198" s="1407" t="s">
        <v>3100</v>
      </c>
      <c r="I198" s="1407">
        <v>0</v>
      </c>
      <c r="J198" s="1407" t="s">
        <v>3546</v>
      </c>
      <c r="K198" s="1407" t="s">
        <v>3546</v>
      </c>
      <c r="L198" s="1407">
        <v>510</v>
      </c>
      <c r="M198" s="1407">
        <v>510</v>
      </c>
      <c r="N198" s="1407">
        <v>205.43</v>
      </c>
      <c r="O198" s="1407">
        <v>0</v>
      </c>
      <c r="P198" s="1407" t="s">
        <v>3550</v>
      </c>
      <c r="Q198" s="1407" t="s">
        <v>3105</v>
      </c>
    </row>
    <row r="199" spans="1:17">
      <c r="A199" s="3067" t="s">
        <v>3380</v>
      </c>
      <c r="B199" s="3067" t="s">
        <v>3099</v>
      </c>
      <c r="C199" s="3067" t="s">
        <v>3100</v>
      </c>
      <c r="D199" s="3067">
        <v>219702.8</v>
      </c>
      <c r="E199" s="3067">
        <v>549257</v>
      </c>
      <c r="F199" s="3067" t="s">
        <v>3381</v>
      </c>
      <c r="G199" s="3067" t="s">
        <v>3102</v>
      </c>
      <c r="H199" s="3067" t="s">
        <v>3100</v>
      </c>
      <c r="I199" s="3067">
        <v>0</v>
      </c>
      <c r="J199" s="3067" t="s">
        <v>3382</v>
      </c>
      <c r="K199" s="3067" t="s">
        <v>3382</v>
      </c>
      <c r="L199" s="3067">
        <v>11140</v>
      </c>
      <c r="M199" s="3067">
        <v>11140</v>
      </c>
      <c r="N199" s="3067">
        <v>202.81</v>
      </c>
      <c r="O199" s="3067">
        <v>0</v>
      </c>
      <c r="P199" s="3067" t="s">
        <v>3383</v>
      </c>
      <c r="Q199" s="3067" t="s">
        <v>3105</v>
      </c>
    </row>
    <row r="200" spans="1:17">
      <c r="A200" s="3067" t="s">
        <v>3414</v>
      </c>
      <c r="B200" s="3067" t="s">
        <v>3099</v>
      </c>
      <c r="C200" s="3067" t="s">
        <v>3100</v>
      </c>
      <c r="D200" s="3067">
        <v>179566.8</v>
      </c>
      <c r="E200" s="3067">
        <v>448917</v>
      </c>
      <c r="F200" s="3067" t="s">
        <v>3381</v>
      </c>
      <c r="G200" s="3067" t="s">
        <v>3102</v>
      </c>
      <c r="H200" s="3067" t="s">
        <v>3100</v>
      </c>
      <c r="I200" s="3067">
        <v>0</v>
      </c>
      <c r="J200" s="3067" t="s">
        <v>3415</v>
      </c>
      <c r="K200" s="3067" t="s">
        <v>3415</v>
      </c>
      <c r="L200" s="3067">
        <v>9040</v>
      </c>
      <c r="M200" s="3067">
        <v>9040</v>
      </c>
      <c r="N200" s="3067">
        <v>201.37</v>
      </c>
      <c r="O200" s="3067">
        <v>0</v>
      </c>
      <c r="P200" s="3067" t="s">
        <v>3416</v>
      </c>
      <c r="Q200" s="3067" t="s">
        <v>3105</v>
      </c>
    </row>
    <row r="201" spans="1:17">
      <c r="A201" s="3067" t="s">
        <v>3206</v>
      </c>
      <c r="B201" s="3067" t="s">
        <v>3099</v>
      </c>
      <c r="C201" s="3067" t="s">
        <v>3100</v>
      </c>
      <c r="D201" s="3067">
        <v>20956.2</v>
      </c>
      <c r="E201" s="3067">
        <v>33529.919999999998</v>
      </c>
      <c r="F201" s="3067" t="s">
        <v>3120</v>
      </c>
      <c r="G201" s="3067" t="s">
        <v>3102</v>
      </c>
      <c r="H201" s="3067" t="s">
        <v>6</v>
      </c>
      <c r="I201" s="3067">
        <v>0</v>
      </c>
      <c r="J201" s="3067" t="s">
        <v>3207</v>
      </c>
      <c r="K201" s="3067" t="s">
        <v>3207</v>
      </c>
      <c r="L201" s="3067">
        <v>650</v>
      </c>
      <c r="M201" s="3067">
        <v>650</v>
      </c>
      <c r="N201" s="3067">
        <v>193.86</v>
      </c>
      <c r="O201" s="3067">
        <v>0</v>
      </c>
      <c r="P201" s="3067" t="s">
        <v>3208</v>
      </c>
      <c r="Q201" s="3067" t="s">
        <v>3105</v>
      </c>
    </row>
  </sheetData>
  <autoFilter ref="A1:Q1">
    <sortState ref="A2:Q201">
      <sortCondition descending="1" ref="N1"/>
    </sortState>
  </autoFilter>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82"/>
      <c r="B3" s="3082"/>
      <c r="C3" s="3082"/>
      <c r="D3" s="963" t="s">
        <v>1603</v>
      </c>
      <c r="E3" s="963" t="s">
        <v>1609</v>
      </c>
      <c r="F3" s="963" t="s">
        <v>1603</v>
      </c>
      <c r="G3" s="963" t="s">
        <v>1604</v>
      </c>
      <c r="H3" s="963" t="s">
        <v>1603</v>
      </c>
      <c r="I3" s="963" t="s">
        <v>1604</v>
      </c>
    </row>
    <row r="4" spans="1:9" ht="15">
      <c r="A4" s="1690" t="str">
        <f>项目基本情况!S2</f>
        <v>房地产</v>
      </c>
      <c r="B4" s="963">
        <f>项目基本情况!C17</f>
        <v>32069.72</v>
      </c>
      <c r="C4" s="963">
        <f>项目基本情况!C18</f>
        <v>60655.3</v>
      </c>
      <c r="D4" s="963" t="e">
        <f ca="1">结果表!D118</f>
        <v>#REF!</v>
      </c>
      <c r="E4" s="963" t="e">
        <f ca="1">结果表!E118</f>
        <v>#REF!</v>
      </c>
      <c r="F4" s="963" t="e">
        <f ca="1">结果表!F118</f>
        <v>#REF!</v>
      </c>
      <c r="G4" s="963" t="e">
        <f ca="1">结果表!G118</f>
        <v>#REF!</v>
      </c>
      <c r="H4" s="963">
        <f ca="1">结果表!H118</f>
        <v>13688</v>
      </c>
      <c r="I4" s="963">
        <f ca="1">结果表!I118</f>
        <v>4268</v>
      </c>
    </row>
    <row r="5" spans="1:9" ht="30" customHeight="1">
      <c r="A5" s="3082" t="s">
        <v>1605</v>
      </c>
      <c r="B5" s="3082"/>
      <c r="C5" s="3082"/>
      <c r="D5" s="3083" t="e">
        <f ca="1">结果表!D119</f>
        <v>#REF!</v>
      </c>
      <c r="E5" s="3083"/>
      <c r="F5" s="3083" t="e">
        <f ca="1">结果表!F119</f>
        <v>#REF!</v>
      </c>
      <c r="G5" s="3083"/>
      <c r="H5" s="3083" t="str">
        <f ca="1">结果表!H119</f>
        <v>壹亿叁仟陆佰捌拾捌万元整</v>
      </c>
      <c r="I5" s="3083"/>
    </row>
    <row r="6" spans="1:9" ht="15.75">
      <c r="A6" s="3084" t="str">
        <f>结果表!A120</f>
        <v>估价师知悉的法定优先受偿款</v>
      </c>
      <c r="B6" s="3084"/>
      <c r="C6" s="3084"/>
      <c r="D6" s="3084">
        <f>结果表!D120</f>
        <v>0</v>
      </c>
      <c r="E6" s="3084"/>
      <c r="F6" s="3084"/>
      <c r="G6" s="3084"/>
      <c r="H6" s="3084"/>
      <c r="I6" s="3084"/>
    </row>
    <row r="7" spans="1:9" ht="15">
      <c r="A7" s="3082" t="s">
        <v>1605</v>
      </c>
      <c r="B7" s="3082"/>
      <c r="C7" s="3082"/>
      <c r="D7" s="3085" t="str">
        <f>结果表!D121</f>
        <v>零元整</v>
      </c>
      <c r="E7" s="3086"/>
      <c r="F7" s="3086"/>
      <c r="G7" s="3086"/>
      <c r="H7" s="3086"/>
      <c r="I7" s="3087"/>
    </row>
    <row r="8" spans="1:9" ht="15.75">
      <c r="A8" s="3084" t="str">
        <f>结果表!A122</f>
        <v>房地产抵押价值</v>
      </c>
      <c r="B8" s="3084"/>
      <c r="C8" s="3084"/>
      <c r="D8" s="3084">
        <f ca="1">结果表!D122</f>
        <v>13688</v>
      </c>
      <c r="E8" s="3084"/>
      <c r="F8" s="3084"/>
      <c r="G8" s="3084"/>
      <c r="H8" s="3084"/>
      <c r="I8" s="3084"/>
    </row>
    <row r="9" spans="1:9" ht="15">
      <c r="A9" s="3082" t="s">
        <v>1605</v>
      </c>
      <c r="B9" s="3082"/>
      <c r="C9" s="3082"/>
      <c r="D9" s="3083" t="str">
        <f ca="1">结果表!D123</f>
        <v>壹亿叁仟陆佰捌拾捌万元整</v>
      </c>
      <c r="E9" s="3083"/>
      <c r="F9" s="3083"/>
      <c r="G9" s="3083"/>
      <c r="H9" s="3083"/>
      <c r="I9" s="3083"/>
    </row>
    <row r="10" spans="1:9" ht="15.75">
      <c r="A10" s="3084" t="str">
        <f>结果表!A124</f>
        <v/>
      </c>
      <c r="B10" s="3084"/>
      <c r="C10" s="3084"/>
      <c r="D10" s="3084" t="str">
        <f>结果表!D124</f>
        <v>——</v>
      </c>
      <c r="E10" s="3084"/>
      <c r="F10" s="3084"/>
      <c r="G10" s="3084"/>
      <c r="H10" s="3084"/>
      <c r="I10" s="3084"/>
    </row>
    <row r="11" spans="1:9" ht="15">
      <c r="A11" s="3082" t="s">
        <v>1605</v>
      </c>
      <c r="B11" s="3082"/>
      <c r="C11" s="3082"/>
      <c r="D11" s="3083" t="e">
        <f>结果表!D125</f>
        <v>#VALUE!</v>
      </c>
      <c r="E11" s="3083"/>
      <c r="F11" s="3083"/>
      <c r="G11" s="3083"/>
      <c r="H11" s="3083"/>
      <c r="I11" s="3083"/>
    </row>
    <row r="12" spans="1:9" ht="15.75">
      <c r="A12" s="3084" t="str">
        <f>结果表!A126</f>
        <v/>
      </c>
      <c r="B12" s="3084"/>
      <c r="C12" s="3084"/>
      <c r="D12" s="3084" t="str">
        <f>结果表!D126</f>
        <v>——</v>
      </c>
      <c r="E12" s="3084"/>
      <c r="F12" s="3084"/>
      <c r="G12" s="3084"/>
      <c r="H12" s="3084"/>
      <c r="I12" s="3084"/>
    </row>
    <row r="13" spans="1:9" ht="15.75" thickBot="1">
      <c r="A13" s="3088" t="s">
        <v>1605</v>
      </c>
      <c r="B13" s="3088"/>
      <c r="C13" s="3088"/>
      <c r="D13" s="3089" t="e">
        <f>结果表!D127</f>
        <v>#VALUE!</v>
      </c>
      <c r="E13" s="3089"/>
      <c r="F13" s="3089"/>
      <c r="G13" s="3089"/>
      <c r="H13" s="3089"/>
      <c r="I13" s="3089"/>
    </row>
    <row r="14" spans="1:9" ht="15" thickTop="1">
      <c r="A14" s="3090" t="s">
        <v>1610</v>
      </c>
      <c r="B14" s="3090"/>
      <c r="C14" s="3090"/>
      <c r="D14" s="3090"/>
      <c r="E14" s="3090"/>
      <c r="F14" s="3090"/>
      <c r="G14" s="3090"/>
      <c r="H14" s="3090"/>
      <c r="I14" s="309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1" t="s">
        <v>1627</v>
      </c>
      <c r="B1" s="3091"/>
      <c r="C1" s="3091"/>
      <c r="D1" s="3091"/>
    </row>
    <row r="2" spans="1:4" ht="18">
      <c r="A2" s="3092" t="s">
        <v>1611</v>
      </c>
      <c r="B2" s="3092"/>
      <c r="C2" s="3092"/>
      <c r="D2" s="3092"/>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2" t="s">
        <v>1617</v>
      </c>
      <c r="B6" s="3092"/>
      <c r="C6" s="3092"/>
      <c r="D6" s="309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3" t="s">
        <v>1620</v>
      </c>
      <c r="B11" s="3094"/>
      <c r="C11" s="3094"/>
      <c r="D11" s="3094"/>
    </row>
    <row r="12" spans="1:4" ht="15.75">
      <c r="A12" s="30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4" t="str">
        <f>IF(项目基本情况!B8="抵押","4.本次评估估价师所知悉的法定优先受偿款情况说明如下：","——")</f>
        <v>4.本次评估估价师所知悉的法定优先受偿款情况说明如下：</v>
      </c>
      <c r="B14" s="3095"/>
      <c r="C14" s="3095"/>
      <c r="D14" s="3095"/>
    </row>
    <row r="15" spans="1:4" ht="42" customHeight="1">
      <c r="A15" s="30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4"/>
      <c r="C15" s="3094"/>
      <c r="D15" s="3094"/>
    </row>
    <row r="16" spans="1:4" ht="30" customHeight="1">
      <c r="A16" s="3097" t="s">
        <v>1621</v>
      </c>
      <c r="B16" s="3097"/>
      <c r="C16" s="3097"/>
      <c r="D16" s="3097"/>
    </row>
    <row r="17" spans="1:4" ht="144" customHeight="1">
      <c r="A17" s="3097" t="s">
        <v>1622</v>
      </c>
      <c r="B17" s="3097"/>
      <c r="C17" s="3097"/>
      <c r="D17" s="3097"/>
    </row>
    <row r="18" spans="1:4" ht="15.75" customHeight="1">
      <c r="A18" s="3094" t="str">
        <f>IF(项目基本情况!B8="抵押",结果表!K120,"——")</f>
        <v>故，本次评估不存在估价师知悉的法定优先受偿款</v>
      </c>
      <c r="B18" s="3094"/>
      <c r="C18" s="3094"/>
      <c r="D18" s="3094"/>
    </row>
    <row r="19" spans="1:4" ht="46.5" customHeight="1">
      <c r="A19" s="30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4"/>
      <c r="C19" s="3094"/>
      <c r="D19" s="3094"/>
    </row>
    <row r="20" spans="1:4" ht="57.75" customHeight="1">
      <c r="A20" s="30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4"/>
      <c r="C20" s="3094"/>
      <c r="D20" s="3094"/>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8"/>
      <c r="C21" s="3098"/>
      <c r="D21" s="3098"/>
    </row>
    <row r="22" spans="1:4" ht="18.75" customHeight="1">
      <c r="A22" s="3099" t="s">
        <v>1623</v>
      </c>
      <c r="B22" s="3099"/>
      <c r="C22" s="3099"/>
      <c r="D22" s="309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6">
        <v>42551</v>
      </c>
      <c r="D31" s="30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5" t="s">
        <v>1634</v>
      </c>
      <c r="B15" s="3100" t="s">
        <v>136</v>
      </c>
      <c r="C15" s="3101"/>
    </row>
    <row r="16" spans="1:7" ht="13.5">
      <c r="A16" s="3106"/>
      <c r="B16" s="3100" t="s">
        <v>69</v>
      </c>
      <c r="C16" s="3101"/>
    </row>
    <row r="17" spans="1:3" ht="13.5">
      <c r="A17" s="3106"/>
      <c r="B17" s="3103" t="s">
        <v>1635</v>
      </c>
      <c r="C17" s="1717" t="s">
        <v>1634</v>
      </c>
    </row>
    <row r="18" spans="1:3" ht="13.5">
      <c r="A18" s="3106"/>
      <c r="B18" s="3103"/>
      <c r="C18" s="1717" t="s">
        <v>1636</v>
      </c>
    </row>
    <row r="19" spans="1:3" ht="13.5">
      <c r="A19" s="3106"/>
      <c r="B19" s="3103"/>
      <c r="C19" s="1717" t="s">
        <v>1637</v>
      </c>
    </row>
    <row r="20" spans="1:3" ht="13.5">
      <c r="A20" s="3107"/>
      <c r="B20" s="3102" t="s">
        <v>1638</v>
      </c>
      <c r="C20" s="3101"/>
    </row>
    <row r="21" spans="1:3" ht="13.5">
      <c r="A21" s="1718" t="s">
        <v>1639</v>
      </c>
      <c r="B21" s="1719"/>
      <c r="C21" s="1720"/>
    </row>
    <row r="22" spans="1:3" ht="13.5">
      <c r="A22" s="3104" t="s">
        <v>1640</v>
      </c>
      <c r="B22" s="3102" t="s">
        <v>1641</v>
      </c>
      <c r="C22" s="3101"/>
    </row>
    <row r="23" spans="1:3" ht="13.5">
      <c r="A23" s="3104"/>
      <c r="B23" s="3102" t="s">
        <v>1642</v>
      </c>
      <c r="C23" s="3101"/>
    </row>
    <row r="24" spans="1:3" ht="13.5">
      <c r="A24" s="3104"/>
      <c r="B24" s="3102" t="s">
        <v>1643</v>
      </c>
      <c r="C24" s="3101"/>
    </row>
    <row r="25" spans="1:3" ht="13.5">
      <c r="A25" s="3104"/>
      <c r="B25" s="3103" t="s">
        <v>1644</v>
      </c>
      <c r="C25" s="1717" t="s">
        <v>1645</v>
      </c>
    </row>
    <row r="26" spans="1:3" ht="13.5">
      <c r="A26" s="3104"/>
      <c r="B26" s="3103"/>
      <c r="C26" s="1717" t="s">
        <v>1646</v>
      </c>
    </row>
    <row r="27" spans="1:3" ht="13.5">
      <c r="A27" s="3104"/>
      <c r="B27" s="3103"/>
      <c r="C27" s="1717" t="s">
        <v>1647</v>
      </c>
    </row>
    <row r="28" spans="1:3" ht="13.5">
      <c r="A28" s="3104"/>
      <c r="B28" s="3103"/>
      <c r="C28" s="1717" t="s">
        <v>1648</v>
      </c>
    </row>
    <row r="29" spans="1:3" ht="13.5">
      <c r="A29" s="3104"/>
      <c r="B29" s="3103"/>
      <c r="C29" s="1717" t="s">
        <v>1649</v>
      </c>
    </row>
    <row r="30" spans="1:3" ht="13.5">
      <c r="A30" s="3104"/>
      <c r="B30" s="3103"/>
      <c r="C30" s="1717" t="s">
        <v>1650</v>
      </c>
    </row>
    <row r="31" spans="1:3" ht="13.5">
      <c r="A31" s="3104"/>
      <c r="B31" s="3103"/>
      <c r="C31" s="1717" t="s">
        <v>1651</v>
      </c>
    </row>
    <row r="32" spans="1:3" ht="13.5">
      <c r="A32" s="3104"/>
      <c r="B32" s="3103"/>
      <c r="C32" s="1717" t="s">
        <v>1652</v>
      </c>
    </row>
    <row r="33" spans="1:3" ht="13.5">
      <c r="A33" s="3104"/>
      <c r="B33" s="310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44375</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8" t="s">
        <v>2902</v>
      </c>
      <c r="B17" s="3108"/>
      <c r="C17" s="3108"/>
      <c r="D17" s="3108"/>
      <c r="E17" s="3108"/>
      <c r="F17" s="3108"/>
      <c r="G17" s="3108"/>
      <c r="H17" s="3108"/>
    </row>
    <row r="18" spans="1:8" ht="24" customHeight="1">
      <c r="A18" s="3109" t="s">
        <v>2903</v>
      </c>
      <c r="B18" s="3109"/>
      <c r="C18" s="3109"/>
      <c r="D18" s="2566"/>
      <c r="E18" s="3110" t="s">
        <v>2904</v>
      </c>
      <c r="F18" s="3109"/>
      <c r="G18" s="3109"/>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2021-06-28T07:48:47Z</dcterms:modified>
</cp:coreProperties>
</file>