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2.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defaultThemeVersion="124226"/>
  <mc:AlternateContent xmlns:mc="http://schemas.openxmlformats.org/markup-compatibility/2006">
    <mc:Choice Requires="x15">
      <x15ac:absPath xmlns:x15ac="http://schemas.microsoft.com/office/spreadsheetml/2010/11/ac" url="D:\工作\2025-1-0367北京市丰台区丽泽路16号院1号楼首创龙湖北京丽泽天街项目\"/>
    </mc:Choice>
  </mc:AlternateContent>
  <xr:revisionPtr revIDLastSave="0" documentId="13_ncr:1_{A24AC983-61DA-4F64-A48B-C0DC85E3D7EB}" xr6:coauthVersionLast="47" xr6:coauthVersionMax="47" xr10:uidLastSave="{00000000-0000-0000-0000-000000000000}"/>
  <bookViews>
    <workbookView xWindow="-120" yWindow="-120" windowWidth="21840" windowHeight="13140" tabRatio="899" firstSheet="12"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位置"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比较法-商业" sheetId="33" state="hidden" r:id="rId34"/>
    <sheet name="年报" sheetId="81" r:id="rId35"/>
    <sheet name="2024年出租率+营业额" sheetId="83" r:id="rId36"/>
    <sheet name="品牌清单" sheetId="84" r:id="rId37"/>
    <sheet name="收入台账" sheetId="85"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33" hidden="1">'比较法-商业'!$A$1:$L$49</definedName>
    <definedName name="_xlnm._FilterDatabase" localSheetId="27" hidden="1">'比较法-住宅'!$A$1:$L$49</definedName>
    <definedName name="_xlnm._FilterDatabase" localSheetId="36" hidden="1">品牌清单!$A$2:$F$309</definedName>
    <definedName name="_xlnm._FilterDatabase" localSheetId="37" hidden="1">收入台账!$B$2:$D$598</definedName>
    <definedName name="_xlnm._FilterDatabase" localSheetId="12" hidden="1">'数据-基础表'!$A$12:$AT$587</definedName>
    <definedName name="_xlnm._FilterDatabase" localSheetId="38"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33">'比较法-商业'!$A$1:$K$54,'比较法-商业'!$A$57:$M$131</definedName>
    <definedName name="_xlnm.Print_Area" localSheetId="27">'比较法-住宅'!$A$1:$K$54,'比较法-住宅'!$A$57:$M$131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0">'基准地价（汇总）'!$A$1:$E$13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8">'土地比较法-工业'!$A$1:$K$61,'土地比较法-工业'!$A$64:$M$121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TM1REBUILDOPTION">1</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F17" i="81" l="1"/>
  <c r="E8" i="80"/>
  <c r="E7" i="80"/>
  <c r="E6" i="80"/>
  <c r="E5" i="80"/>
  <c r="E4" i="80"/>
  <c r="E3" i="80"/>
  <c r="E2" i="80"/>
  <c r="N6" i="1"/>
  <c r="F379" i="85" l="1"/>
  <c r="E379" i="85"/>
  <c r="G378" i="85"/>
  <c r="G377" i="85"/>
  <c r="G376" i="85"/>
  <c r="G375" i="85"/>
  <c r="G374" i="85"/>
  <c r="G373" i="85"/>
  <c r="G372" i="85"/>
  <c r="G371" i="85"/>
  <c r="G370" i="85"/>
  <c r="G369" i="85"/>
  <c r="G368" i="85"/>
  <c r="G367" i="85"/>
  <c r="G366" i="85"/>
  <c r="G365" i="85"/>
  <c r="G364" i="85"/>
  <c r="G363" i="85"/>
  <c r="G362" i="85"/>
  <c r="G361" i="85"/>
  <c r="G360" i="85"/>
  <c r="G359" i="85"/>
  <c r="G358" i="85"/>
  <c r="G357" i="85"/>
  <c r="G356" i="85"/>
  <c r="G355" i="85"/>
  <c r="G354" i="85"/>
  <c r="G353" i="85"/>
  <c r="G352" i="85"/>
  <c r="G351" i="85"/>
  <c r="G350" i="85"/>
  <c r="G349" i="85"/>
  <c r="G348" i="85"/>
  <c r="G347" i="85"/>
  <c r="G346" i="85"/>
  <c r="G345" i="85"/>
  <c r="G344" i="85"/>
  <c r="G343" i="85"/>
  <c r="G342" i="85"/>
  <c r="G341" i="85"/>
  <c r="G340" i="85"/>
  <c r="G339" i="85"/>
  <c r="G338" i="85"/>
  <c r="G337" i="85"/>
  <c r="G336" i="85"/>
  <c r="G335" i="85"/>
  <c r="G334" i="85"/>
  <c r="G333" i="85"/>
  <c r="G332" i="85"/>
  <c r="G331" i="85"/>
  <c r="G330" i="85"/>
  <c r="G329" i="85"/>
  <c r="G328" i="85"/>
  <c r="G327" i="85"/>
  <c r="G326" i="85"/>
  <c r="G325" i="85"/>
  <c r="G324" i="85"/>
  <c r="G323" i="85"/>
  <c r="G322" i="85"/>
  <c r="G321" i="85"/>
  <c r="G320" i="85"/>
  <c r="G319" i="85"/>
  <c r="G318" i="85"/>
  <c r="G317" i="85"/>
  <c r="G316" i="85"/>
  <c r="G315" i="85"/>
  <c r="G314" i="85"/>
  <c r="G313" i="85"/>
  <c r="G312" i="85"/>
  <c r="G311" i="85"/>
  <c r="G310" i="85"/>
  <c r="G309" i="85"/>
  <c r="G308" i="85"/>
  <c r="G307" i="85"/>
  <c r="G306" i="85"/>
  <c r="G305" i="85"/>
  <c r="G304" i="85"/>
  <c r="G303" i="85"/>
  <c r="G302" i="85"/>
  <c r="G301" i="85"/>
  <c r="G300" i="85"/>
  <c r="G299" i="85"/>
  <c r="G298" i="85"/>
  <c r="G297" i="85"/>
  <c r="G296" i="85"/>
  <c r="G295" i="85"/>
  <c r="G294" i="85"/>
  <c r="G293" i="85"/>
  <c r="G292" i="85"/>
  <c r="G291" i="85"/>
  <c r="G290" i="85"/>
  <c r="G289" i="85"/>
  <c r="G288" i="85"/>
  <c r="G287" i="85"/>
  <c r="G286" i="85"/>
  <c r="G285" i="85"/>
  <c r="G284" i="85"/>
  <c r="G283" i="85"/>
  <c r="G282" i="85"/>
  <c r="G281" i="85"/>
  <c r="G280" i="85"/>
  <c r="G279" i="85"/>
  <c r="G278" i="85"/>
  <c r="G277" i="85"/>
  <c r="G276" i="85"/>
  <c r="G275" i="85"/>
  <c r="G274" i="85"/>
  <c r="G273" i="85"/>
  <c r="G272" i="85"/>
  <c r="G271" i="85"/>
  <c r="G270" i="85"/>
  <c r="G269" i="85"/>
  <c r="G268" i="85"/>
  <c r="G267" i="85"/>
  <c r="G266" i="85"/>
  <c r="G265" i="85"/>
  <c r="G264" i="85"/>
  <c r="G263" i="85"/>
  <c r="G262" i="85"/>
  <c r="G261" i="85"/>
  <c r="G260" i="85"/>
  <c r="G259" i="85"/>
  <c r="G258" i="85"/>
  <c r="G257" i="85"/>
  <c r="G256" i="85"/>
  <c r="G255" i="85"/>
  <c r="G254" i="85"/>
  <c r="G253" i="85"/>
  <c r="G252" i="85"/>
  <c r="G251" i="85"/>
  <c r="G250" i="85"/>
  <c r="G249" i="85"/>
  <c r="G248" i="85"/>
  <c r="G247" i="85"/>
  <c r="G246" i="85"/>
  <c r="G245" i="85"/>
  <c r="G244" i="85"/>
  <c r="G243" i="85"/>
  <c r="G242" i="85"/>
  <c r="G241" i="85"/>
  <c r="G240" i="85"/>
  <c r="G239" i="85"/>
  <c r="G238" i="85"/>
  <c r="G237" i="85"/>
  <c r="G236" i="85"/>
  <c r="G235" i="85"/>
  <c r="G234" i="85"/>
  <c r="G233" i="85"/>
  <c r="G232" i="85"/>
  <c r="G231" i="85"/>
  <c r="G230" i="85"/>
  <c r="G229" i="85"/>
  <c r="G228" i="85"/>
  <c r="G227" i="85"/>
  <c r="G226" i="85"/>
  <c r="G225" i="85"/>
  <c r="G224" i="85"/>
  <c r="G223" i="85"/>
  <c r="G222" i="85"/>
  <c r="G221" i="85"/>
  <c r="G220" i="85"/>
  <c r="G219" i="85"/>
  <c r="G218" i="85"/>
  <c r="G217" i="85"/>
  <c r="G216" i="85"/>
  <c r="G215" i="85"/>
  <c r="G214" i="85"/>
  <c r="G213" i="85"/>
  <c r="G212" i="85"/>
  <c r="G211" i="85"/>
  <c r="G210" i="85"/>
  <c r="G209" i="85"/>
  <c r="G208" i="85"/>
  <c r="G207" i="85"/>
  <c r="G206" i="85"/>
  <c r="G205" i="85"/>
  <c r="G204" i="85"/>
  <c r="G203" i="85"/>
  <c r="G202" i="85"/>
  <c r="G201" i="85"/>
  <c r="G200" i="85"/>
  <c r="G199" i="85"/>
  <c r="G198" i="85"/>
  <c r="G197" i="85"/>
  <c r="G196" i="85"/>
  <c r="G195" i="85"/>
  <c r="G194" i="85"/>
  <c r="G193" i="85"/>
  <c r="G192" i="85"/>
  <c r="G191" i="85"/>
  <c r="G190" i="85"/>
  <c r="G189" i="85"/>
  <c r="G188" i="85"/>
  <c r="G187" i="85"/>
  <c r="G186" i="85"/>
  <c r="G185" i="85"/>
  <c r="G184" i="85"/>
  <c r="G183" i="85"/>
  <c r="G182" i="85"/>
  <c r="G181" i="85"/>
  <c r="G180" i="85"/>
  <c r="G179" i="85"/>
  <c r="G178" i="85"/>
  <c r="G177" i="85"/>
  <c r="G176" i="85"/>
  <c r="G175" i="85"/>
  <c r="G174" i="85"/>
  <c r="G173" i="85"/>
  <c r="G172" i="85"/>
  <c r="G171" i="85"/>
  <c r="G170" i="85"/>
  <c r="G169" i="85"/>
  <c r="G168" i="85"/>
  <c r="G167" i="85"/>
  <c r="G166" i="85"/>
  <c r="G165" i="85"/>
  <c r="G164" i="85"/>
  <c r="G163" i="85"/>
  <c r="G162" i="85"/>
  <c r="G161" i="85"/>
  <c r="G160" i="85"/>
  <c r="G159" i="85"/>
  <c r="G158" i="85"/>
  <c r="G157" i="85"/>
  <c r="G156" i="85"/>
  <c r="G155" i="85"/>
  <c r="G154" i="85"/>
  <c r="G153" i="85"/>
  <c r="G152" i="85"/>
  <c r="G151" i="85"/>
  <c r="G150" i="85"/>
  <c r="G149" i="85"/>
  <c r="G148" i="85"/>
  <c r="G147" i="85"/>
  <c r="G146" i="85"/>
  <c r="G145" i="85"/>
  <c r="G144" i="85"/>
  <c r="G143" i="85"/>
  <c r="G142" i="85"/>
  <c r="G141" i="85"/>
  <c r="G140" i="85"/>
  <c r="G139" i="85"/>
  <c r="G138" i="85"/>
  <c r="G137" i="85"/>
  <c r="G136" i="85"/>
  <c r="G135" i="85"/>
  <c r="G134" i="85"/>
  <c r="G133" i="85"/>
  <c r="G132" i="85"/>
  <c r="G131" i="85"/>
  <c r="G130" i="85"/>
  <c r="G129" i="85"/>
  <c r="G128" i="85"/>
  <c r="G127" i="85"/>
  <c r="G126" i="85"/>
  <c r="G125" i="85"/>
  <c r="G124" i="85"/>
  <c r="G123" i="85"/>
  <c r="G122" i="85"/>
  <c r="G121" i="85"/>
  <c r="G120" i="85"/>
  <c r="G119" i="85"/>
  <c r="G118" i="85"/>
  <c r="G117" i="85"/>
  <c r="G116" i="85"/>
  <c r="G115" i="85"/>
  <c r="G114" i="85"/>
  <c r="G113" i="85"/>
  <c r="G112" i="85"/>
  <c r="G111" i="85"/>
  <c r="G110" i="85"/>
  <c r="G109" i="85"/>
  <c r="G108" i="85"/>
  <c r="G107" i="85"/>
  <c r="G106" i="85"/>
  <c r="G105" i="85"/>
  <c r="G104" i="85"/>
  <c r="G103" i="85"/>
  <c r="G102" i="85"/>
  <c r="G101" i="85"/>
  <c r="G100" i="85"/>
  <c r="G99" i="85"/>
  <c r="G98" i="85"/>
  <c r="G97" i="85"/>
  <c r="G96" i="85"/>
  <c r="G95" i="85"/>
  <c r="G94" i="85"/>
  <c r="G93" i="85"/>
  <c r="G92" i="85"/>
  <c r="G91" i="85"/>
  <c r="G90" i="85"/>
  <c r="G89" i="85"/>
  <c r="G88" i="85"/>
  <c r="G87" i="85"/>
  <c r="G86" i="85"/>
  <c r="G85" i="85"/>
  <c r="G84" i="85"/>
  <c r="G83" i="85"/>
  <c r="G82" i="85"/>
  <c r="G81" i="85"/>
  <c r="G80" i="85"/>
  <c r="G79" i="85"/>
  <c r="G78" i="85"/>
  <c r="G77" i="85"/>
  <c r="G76" i="85"/>
  <c r="G75" i="85"/>
  <c r="G74" i="85"/>
  <c r="G73" i="85"/>
  <c r="G72" i="85"/>
  <c r="G71" i="85"/>
  <c r="G70" i="85"/>
  <c r="G69" i="85"/>
  <c r="G68" i="85"/>
  <c r="G67" i="85"/>
  <c r="G66" i="85"/>
  <c r="G65" i="85"/>
  <c r="G64" i="85"/>
  <c r="G63" i="85"/>
  <c r="G62" i="85"/>
  <c r="G61" i="85"/>
  <c r="G60" i="85"/>
  <c r="G59"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G26" i="85"/>
  <c r="G25" i="85"/>
  <c r="G24" i="85"/>
  <c r="G23" i="85"/>
  <c r="G22" i="85"/>
  <c r="G21" i="85"/>
  <c r="G20" i="85"/>
  <c r="G19" i="85"/>
  <c r="G18" i="85"/>
  <c r="G17" i="85"/>
  <c r="G16" i="85"/>
  <c r="G15" i="85"/>
  <c r="G14" i="85"/>
  <c r="G13" i="85"/>
  <c r="G12" i="85"/>
  <c r="G11" i="85"/>
  <c r="G10" i="85"/>
  <c r="G9" i="85"/>
  <c r="G8" i="85"/>
  <c r="G7" i="85"/>
  <c r="G6" i="85"/>
  <c r="G5" i="85"/>
  <c r="G4" i="85"/>
  <c r="G3" i="85"/>
  <c r="D379" i="84"/>
  <c r="J4" i="80"/>
  <c r="I8" i="80"/>
  <c r="J8" i="80" s="1"/>
  <c r="I7" i="80"/>
  <c r="J7" i="80" s="1"/>
  <c r="I6" i="80"/>
  <c r="J6" i="80" s="1"/>
  <c r="I5" i="80"/>
  <c r="J5" i="80" s="1"/>
  <c r="I2" i="80"/>
  <c r="J2" i="80" s="1"/>
  <c r="I3" i="80"/>
  <c r="J3" i="80" s="1"/>
  <c r="L80" i="80"/>
  <c r="E45" i="80"/>
  <c r="G379" i="85" l="1"/>
  <c r="J9" i="80"/>
  <c r="C36" i="33"/>
  <c r="Y6" i="1" l="1"/>
  <c r="C19" i="6"/>
  <c r="K13" i="3"/>
  <c r="I13" i="3"/>
  <c r="F19" i="6" s="1"/>
  <c r="D33" i="43" s="1"/>
  <c r="U6" i="43" l="1"/>
  <c r="U5" i="43"/>
  <c r="U4" i="43"/>
  <c r="U3" i="43"/>
  <c r="U2" i="43"/>
  <c r="D37" i="43"/>
  <c r="D38" i="43"/>
  <c r="K52" i="80"/>
  <c r="K53" i="80" s="1"/>
  <c r="K27" i="80"/>
  <c r="D42" i="43" l="1"/>
  <c r="M13" i="3"/>
  <c r="G19" i="6" s="1"/>
  <c r="E9" i="80"/>
  <c r="I9" i="80" s="1"/>
  <c r="I12" i="79" l="1"/>
  <c r="AP34" i="79" l="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4" i="73" l="1"/>
  <c r="F14" i="73"/>
  <c r="E14"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5" i="73"/>
  <c r="F15" i="73"/>
  <c r="E15" i="73"/>
  <c r="G16" i="73"/>
  <c r="F16" i="73"/>
  <c r="E16"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7" i="73" l="1"/>
  <c r="F17" i="73"/>
  <c r="E17"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0" i="79" l="1"/>
  <c r="AG20" i="79" s="1"/>
  <c r="T22" i="79"/>
  <c r="N31" i="79"/>
  <c r="Z3" i="79"/>
  <c r="AA31" i="79"/>
  <c r="AD31" i="79" s="1"/>
  <c r="T40" i="79"/>
  <c r="AD47" i="79"/>
  <c r="S48" i="79"/>
  <c r="AG48" i="79" s="1"/>
  <c r="U50" i="79"/>
  <c r="AI50" i="79" s="1"/>
  <c r="AD51" i="79"/>
  <c r="AR18" i="79"/>
  <c r="AR19" i="79" s="1"/>
  <c r="AR20" i="79" s="1"/>
  <c r="AR21" i="79" s="1"/>
  <c r="AR22" i="79" s="1"/>
  <c r="AR23" i="79" s="1"/>
  <c r="AR24" i="79" s="1"/>
  <c r="T33" i="79"/>
  <c r="T34" i="79"/>
  <c r="T35" i="79"/>
  <c r="W22" i="79"/>
  <c r="AK22" i="79" s="1"/>
  <c r="AH22" i="79"/>
  <c r="AD36" i="79"/>
  <c r="AD38" i="79"/>
  <c r="AD37" i="79"/>
  <c r="AR40" i="79"/>
  <c r="AR41" i="79" s="1"/>
  <c r="AR42" i="79" s="1"/>
  <c r="AR43" i="79" s="1"/>
  <c r="AR44" i="79" s="1"/>
  <c r="AR45" i="79" s="1"/>
  <c r="AR46" i="79" s="1"/>
  <c r="AR47" i="79" s="1"/>
  <c r="AR48" i="79" s="1"/>
  <c r="AR49" i="79" s="1"/>
  <c r="AR50" i="79" s="1"/>
  <c r="AR51" i="79" s="1"/>
  <c r="AR52" i="79" s="1"/>
  <c r="S34" i="79"/>
  <c r="AG34" i="79" s="1"/>
  <c r="S35" i="79"/>
  <c r="AG35" i="79" s="1"/>
  <c r="S33" i="79"/>
  <c r="AG33" i="79" s="1"/>
  <c r="U46" i="79"/>
  <c r="AI46" i="79" s="1"/>
  <c r="U35" i="79"/>
  <c r="AI35" i="79" s="1"/>
  <c r="U34" i="79"/>
  <c r="AI34" i="79" s="1"/>
  <c r="U33" i="79"/>
  <c r="AI33"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19" i="79"/>
  <c r="AK19" i="79" s="1"/>
  <c r="AH19" i="79"/>
  <c r="W16" i="79"/>
  <c r="AK16" i="79" s="1"/>
  <c r="AH16" i="79"/>
  <c r="W50" i="79"/>
  <c r="AK50" i="79" s="1"/>
  <c r="AH50" i="79"/>
  <c r="W51" i="79"/>
  <c r="AK51" i="79" s="1"/>
  <c r="AH51" i="79"/>
  <c r="W44" i="79"/>
  <c r="AK44" i="79" s="1"/>
  <c r="AH44" i="79"/>
  <c r="W15" i="79"/>
  <c r="AK15" i="79" s="1"/>
  <c r="AH15" i="79"/>
  <c r="W43" i="79"/>
  <c r="AK43" i="79" s="1"/>
  <c r="AH43" i="79"/>
  <c r="W35" i="79"/>
  <c r="AK35" i="79" s="1"/>
  <c r="AH35" i="79"/>
  <c r="W23" i="79"/>
  <c r="AK23" i="79" s="1"/>
  <c r="AH23" i="79"/>
  <c r="W12" i="79"/>
  <c r="AK12" i="79" s="1"/>
  <c r="AH12" i="79"/>
  <c r="W21" i="79"/>
  <c r="AK21" i="79" s="1"/>
  <c r="AH21" i="79"/>
  <c r="W47" i="79"/>
  <c r="AK47" i="79" s="1"/>
  <c r="AH47" i="79"/>
  <c r="W45" i="79"/>
  <c r="AK45" i="79" s="1"/>
  <c r="AH45" i="79"/>
  <c r="AH34" i="79"/>
  <c r="W34" i="79"/>
  <c r="AK34" i="79" s="1"/>
  <c r="W14" i="79"/>
  <c r="AK14" i="79" s="1"/>
  <c r="AH14" i="79"/>
  <c r="W41" i="79"/>
  <c r="AK41" i="79" s="1"/>
  <c r="AH41" i="79"/>
  <c r="W46" i="79"/>
  <c r="AK46" i="79" s="1"/>
  <c r="AH46" i="79"/>
  <c r="W13" i="79"/>
  <c r="AK13" i="79" s="1"/>
  <c r="AH13" i="79"/>
  <c r="W48" i="79"/>
  <c r="AK48" i="79" s="1"/>
  <c r="AH48" i="79"/>
  <c r="W49" i="79"/>
  <c r="AK49" i="79" s="1"/>
  <c r="AH49" i="79"/>
  <c r="W38" i="79"/>
  <c r="AK38" i="79" s="1"/>
  <c r="AH38" i="79"/>
  <c r="W40" i="79"/>
  <c r="AK40" i="79" s="1"/>
  <c r="AH40" i="79"/>
  <c r="W11" i="79"/>
  <c r="AK11" i="79" s="1"/>
  <c r="AH11" i="79"/>
  <c r="W17" i="79"/>
  <c r="AK17" i="79" s="1"/>
  <c r="AH17" i="79"/>
  <c r="W10" i="79"/>
  <c r="AK10" i="79" s="1"/>
  <c r="AH10" i="79"/>
  <c r="W18" i="79"/>
  <c r="AK18" i="79" s="1"/>
  <c r="AH18" i="79"/>
  <c r="W20" i="79"/>
  <c r="AK20" i="79" s="1"/>
  <c r="AH20" i="79"/>
  <c r="AH33" i="79"/>
  <c r="W33" i="79"/>
  <c r="AK33" i="79" s="1"/>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E23" i="77"/>
  <c r="D26" i="77"/>
  <c r="D32" i="77" s="1"/>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B84" i="71"/>
  <c r="B83" i="71"/>
  <c r="B82" i="71" s="1"/>
  <c r="D81" i="71"/>
  <c r="Q80" i="71"/>
  <c r="P80" i="71"/>
  <c r="O80" i="71"/>
  <c r="N80" i="71"/>
  <c r="F80" i="71"/>
  <c r="V80" i="71" s="1"/>
  <c r="E80" i="71"/>
  <c r="U80" i="71" s="1"/>
  <c r="C80" i="71"/>
  <c r="D80" i="71" s="1"/>
  <c r="B80" i="7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Q75" i="71"/>
  <c r="P75" i="71"/>
  <c r="O75" i="71"/>
  <c r="N75" i="71"/>
  <c r="Q74" i="71"/>
  <c r="P74" i="71"/>
  <c r="O74" i="71"/>
  <c r="N74" i="71"/>
  <c r="Q73" i="71"/>
  <c r="P73" i="71"/>
  <c r="O73" i="71"/>
  <c r="N73" i="71"/>
  <c r="D73" i="71"/>
  <c r="Q72" i="71"/>
  <c r="P72" i="71"/>
  <c r="O72" i="71"/>
  <c r="N72" i="71"/>
  <c r="F72" i="71"/>
  <c r="V72" i="71" s="1"/>
  <c r="E72" i="71"/>
  <c r="C72" i="71"/>
  <c r="B72" i="71"/>
  <c r="S72" i="71" s="1"/>
  <c r="Q71" i="71"/>
  <c r="P71" i="71"/>
  <c r="O71" i="71"/>
  <c r="N71" i="71"/>
  <c r="F71" i="71"/>
  <c r="F70" i="71" s="1"/>
  <c r="Q70" i="71"/>
  <c r="P70" i="71"/>
  <c r="O70" i="71"/>
  <c r="N70" i="71"/>
  <c r="Q69" i="71"/>
  <c r="P69" i="71"/>
  <c r="O69" i="71"/>
  <c r="N69" i="71"/>
  <c r="D69" i="71"/>
  <c r="F68" i="71"/>
  <c r="F67" i="71" s="1"/>
  <c r="V68" i="71"/>
  <c r="E68" i="71"/>
  <c r="P68" i="71" s="1"/>
  <c r="C68" i="71"/>
  <c r="O68" i="71" s="1"/>
  <c r="B68" i="71"/>
  <c r="B67" i="71" s="1"/>
  <c r="S68" i="71"/>
  <c r="D65" i="71"/>
  <c r="Q64" i="71"/>
  <c r="P64" i="71"/>
  <c r="O64" i="71"/>
  <c r="N64" i="71"/>
  <c r="Q63" i="71"/>
  <c r="P63" i="71"/>
  <c r="O63" i="71"/>
  <c r="N63" i="71"/>
  <c r="Q62" i="71"/>
  <c r="P62" i="71"/>
  <c r="O62" i="71"/>
  <c r="C63" i="71" s="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E60" i="71" s="1"/>
  <c r="U60" i="71" s="1"/>
  <c r="O57" i="71"/>
  <c r="C58" i="71" s="1"/>
  <c r="D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s="1"/>
  <c r="O49" i="71"/>
  <c r="C50" i="71"/>
  <c r="C51" i="71" s="1"/>
  <c r="C52" i="71" s="1"/>
  <c r="T52"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AB39" i="71" s="1"/>
  <c r="P39" i="71"/>
  <c r="O39" i="71"/>
  <c r="N39" i="71"/>
  <c r="X39" i="71"/>
  <c r="Q38" i="71"/>
  <c r="AB35" i="71" s="1"/>
  <c r="P38" i="71"/>
  <c r="O38" i="71"/>
  <c r="Y38" i="71" s="1"/>
  <c r="Z38" i="71" s="1"/>
  <c r="N38" i="71"/>
  <c r="F38" i="71"/>
  <c r="F39" i="71" s="1"/>
  <c r="Q37" i="71"/>
  <c r="P37" i="71"/>
  <c r="O37" i="71"/>
  <c r="C38" i="71" s="1"/>
  <c r="N37" i="71"/>
  <c r="B38" i="71" s="1"/>
  <c r="B39" i="71" s="1"/>
  <c r="B40" i="71" s="1"/>
  <c r="S40" i="71" s="1"/>
  <c r="D37" i="71"/>
  <c r="Q36" i="71"/>
  <c r="P36" i="71"/>
  <c r="O36" i="71"/>
  <c r="N36" i="71"/>
  <c r="Q35" i="71"/>
  <c r="P35" i="71"/>
  <c r="AA35" i="71" s="1"/>
  <c r="O35" i="71"/>
  <c r="N35" i="71"/>
  <c r="Q34" i="71"/>
  <c r="AB34" i="71"/>
  <c r="P34" i="71"/>
  <c r="O34" i="71"/>
  <c r="N34" i="71"/>
  <c r="Q33" i="71"/>
  <c r="P33" i="71"/>
  <c r="O33" i="71"/>
  <c r="N33" i="71"/>
  <c r="D33" i="71"/>
  <c r="Q32" i="71"/>
  <c r="P32" i="71"/>
  <c r="O32" i="71"/>
  <c r="N32" i="71"/>
  <c r="Q31" i="71"/>
  <c r="P31" i="71"/>
  <c r="O31" i="71"/>
  <c r="N31" i="71"/>
  <c r="X31" i="71" s="1"/>
  <c r="Q30" i="71"/>
  <c r="P30" i="71"/>
  <c r="O30" i="71"/>
  <c r="N30" i="71"/>
  <c r="Q29" i="71"/>
  <c r="F30" i="71" s="1"/>
  <c r="F31" i="71" s="1"/>
  <c r="F32" i="71" s="1"/>
  <c r="V32" i="71" s="1"/>
  <c r="P29" i="71"/>
  <c r="O29" i="71"/>
  <c r="N29" i="71"/>
  <c r="D29" i="71"/>
  <c r="O28" i="71"/>
  <c r="N28" i="71"/>
  <c r="B30" i="71"/>
  <c r="B31" i="71" s="1"/>
  <c r="B32" i="71" s="1"/>
  <c r="S32" i="71" s="1"/>
  <c r="E30" i="71"/>
  <c r="E31" i="71" s="1"/>
  <c r="E32" i="71" s="1"/>
  <c r="U32" i="71" s="1"/>
  <c r="E34" i="71"/>
  <c r="C34" i="71"/>
  <c r="D34" i="71" s="1"/>
  <c r="X34" i="71"/>
  <c r="B28" i="71"/>
  <c r="B27" i="71" s="1"/>
  <c r="B26" i="71" s="1"/>
  <c r="D50" i="71"/>
  <c r="P28" i="71"/>
  <c r="U68" i="71"/>
  <c r="E67" i="71"/>
  <c r="E66" i="71" s="1"/>
  <c r="Q28" i="71"/>
  <c r="F28" i="71" s="1"/>
  <c r="D62" i="71"/>
  <c r="T68" i="71"/>
  <c r="D68" i="71"/>
  <c r="C67" i="71"/>
  <c r="D67" i="71" s="1"/>
  <c r="Q68" i="71"/>
  <c r="C75" i="71"/>
  <c r="D75" i="71" s="1"/>
  <c r="D76" i="71"/>
  <c r="AA3" i="71"/>
  <c r="C74" i="71"/>
  <c r="D74" i="71" s="1"/>
  <c r="D55"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C22" i="20"/>
  <c r="S21" i="34"/>
  <c r="H25" i="40"/>
  <c r="AB25" i="40" s="1"/>
  <c r="J25" i="40"/>
  <c r="H29" i="39"/>
  <c r="AB29" i="39" s="1"/>
  <c r="J29" i="39"/>
  <c r="J18" i="36"/>
  <c r="H18" i="35"/>
  <c r="AB18" i="35" s="1"/>
  <c r="J18" i="35"/>
  <c r="H21" i="37"/>
  <c r="AB21" i="37" s="1"/>
  <c r="F21" i="37"/>
  <c r="H21" i="34"/>
  <c r="AB21" i="34" s="1"/>
  <c r="H21" i="33"/>
  <c r="U21" i="33" s="1"/>
  <c r="F21" i="33"/>
  <c r="E83" i="21"/>
  <c r="F83" i="21" s="1"/>
  <c r="G83" i="21" s="1"/>
  <c r="H1" i="69"/>
  <c r="AC25" i="40"/>
  <c r="W25" i="40"/>
  <c r="U25" i="40"/>
  <c r="U21" i="37"/>
  <c r="U21" i="34"/>
  <c r="AC18" i="35"/>
  <c r="W18" i="35"/>
  <c r="J21" i="37"/>
  <c r="W21" i="37" s="1"/>
  <c r="J21" i="34"/>
  <c r="W21" i="34" s="1"/>
  <c r="J21" i="33"/>
  <c r="W21" i="33" s="1"/>
  <c r="H21" i="21"/>
  <c r="U21" i="21" s="1"/>
  <c r="F38" i="69"/>
  <c r="E37" i="69"/>
  <c r="F36" i="69"/>
  <c r="F35" i="69"/>
  <c r="F21" i="69"/>
  <c r="F40" i="69" s="1"/>
  <c r="F20" i="69"/>
  <c r="F39" i="69" s="1"/>
  <c r="E10" i="69"/>
  <c r="E9" i="69"/>
  <c r="C7" i="69"/>
  <c r="AC21" i="37"/>
  <c r="AC21" i="33"/>
  <c r="J21" i="21"/>
  <c r="AC21" i="21" s="1"/>
  <c r="C40" i="69"/>
  <c r="F38" i="68"/>
  <c r="E37" i="68"/>
  <c r="F36" i="68"/>
  <c r="F35" i="68"/>
  <c r="F21" i="68"/>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D58" i="43"/>
  <c r="D55" i="43"/>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G44" i="43" s="1"/>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A92" i="3" s="1"/>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G78" i="3" s="1"/>
  <c r="H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BA72" i="3" s="1"/>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G271" i="3" s="1"/>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A255" i="3" s="1"/>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G238" i="3" s="1"/>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G221" i="3" s="1"/>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G212" i="3" s="1"/>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G396" i="3" s="1"/>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G457" i="3" s="1"/>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G434" i="3" s="1"/>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A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A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L498" i="3" s="1"/>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A501" i="3" s="1"/>
  <c r="AZ501" i="3" s="1"/>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A503" i="3" s="1"/>
  <c r="AZ503" i="3" s="1"/>
  <c r="BC503" i="3"/>
  <c r="BD503" i="3"/>
  <c r="BE503" i="3"/>
  <c r="BF503" i="3"/>
  <c r="BG503" i="3"/>
  <c r="BH503" i="3"/>
  <c r="BI503" i="3"/>
  <c r="BJ503" i="3"/>
  <c r="BK503" i="3"/>
  <c r="BM503" i="3"/>
  <c r="BN503" i="3"/>
  <c r="BO503" i="3"/>
  <c r="BP503" i="3"/>
  <c r="BR503" i="3"/>
  <c r="BS503" i="3"/>
  <c r="BT503" i="3"/>
  <c r="H504" i="3"/>
  <c r="AC504" i="3"/>
  <c r="BB504" i="3"/>
  <c r="BC504" i="3"/>
  <c r="BA504" i="3" s="1"/>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A516" i="3" s="1"/>
  <c r="AZ516" i="3" s="1"/>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L532" i="3" s="1"/>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A534" i="3" s="1"/>
  <c r="BE534" i="3"/>
  <c r="BF534" i="3"/>
  <c r="BG534" i="3"/>
  <c r="BH534" i="3"/>
  <c r="BI534" i="3"/>
  <c r="BJ534" i="3"/>
  <c r="BK534" i="3"/>
  <c r="BM534" i="3"/>
  <c r="BL534" i="3" s="1"/>
  <c r="BN534" i="3"/>
  <c r="BO534" i="3"/>
  <c r="BP534" i="3"/>
  <c r="BQ534" i="3"/>
  <c r="BR534" i="3"/>
  <c r="BS534" i="3"/>
  <c r="BT534" i="3"/>
  <c r="H535" i="3"/>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A537" i="3" s="1"/>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A544" i="3" s="1"/>
  <c r="BF544" i="3"/>
  <c r="BG544" i="3"/>
  <c r="BH544" i="3"/>
  <c r="BI544" i="3"/>
  <c r="BJ544" i="3"/>
  <c r="BK544" i="3"/>
  <c r="BM544" i="3"/>
  <c r="BN544" i="3"/>
  <c r="BO544" i="3"/>
  <c r="BP544" i="3"/>
  <c r="BQ544" i="3"/>
  <c r="BR544" i="3"/>
  <c r="BS544" i="3"/>
  <c r="BT544" i="3"/>
  <c r="H545" i="3"/>
  <c r="AC545" i="3"/>
  <c r="G545" i="3" s="1"/>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L552" i="3" s="1"/>
  <c r="BO552" i="3"/>
  <c r="BP552" i="3"/>
  <c r="BQ552" i="3"/>
  <c r="BR552" i="3"/>
  <c r="BS552" i="3"/>
  <c r="BT552" i="3"/>
  <c r="H553" i="3"/>
  <c r="AC553" i="3"/>
  <c r="BB553" i="3"/>
  <c r="BC553" i="3"/>
  <c r="BD553" i="3"/>
  <c r="BE553" i="3"/>
  <c r="BA553" i="3" s="1"/>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A556" i="3" s="1"/>
  <c r="BC556" i="3"/>
  <c r="BD556" i="3"/>
  <c r="BE556" i="3"/>
  <c r="BF556" i="3"/>
  <c r="BG556" i="3"/>
  <c r="BH556" i="3"/>
  <c r="BI556" i="3"/>
  <c r="BJ556" i="3"/>
  <c r="BK556" i="3"/>
  <c r="BM556" i="3"/>
  <c r="BN556" i="3"/>
  <c r="BO556" i="3"/>
  <c r="BL556" i="3" s="1"/>
  <c r="BP556" i="3"/>
  <c r="BQ556" i="3"/>
  <c r="BR556" i="3"/>
  <c r="BS556" i="3"/>
  <c r="BT556" i="3"/>
  <c r="H557" i="3"/>
  <c r="BB557" i="3"/>
  <c r="BC557" i="3"/>
  <c r="BA557" i="3" s="1"/>
  <c r="AZ557" i="3" s="1"/>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D560" i="3"/>
  <c r="BE560" i="3"/>
  <c r="BA560" i="3" s="1"/>
  <c r="BF560" i="3"/>
  <c r="BG560" i="3"/>
  <c r="BH560" i="3"/>
  <c r="BI560" i="3"/>
  <c r="BJ560" i="3"/>
  <c r="BK560" i="3"/>
  <c r="BM560" i="3"/>
  <c r="BN560" i="3"/>
  <c r="BL560" i="3" s="1"/>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J5" i="3" s="1"/>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L563" i="3" s="1"/>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A565" i="3" s="1"/>
  <c r="AZ565" i="3" s="1"/>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L566" i="3" s="1"/>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A571" i="3" s="1"/>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A574" i="3" s="1"/>
  <c r="BE574" i="3"/>
  <c r="BF574" i="3"/>
  <c r="BG574" i="3"/>
  <c r="BH574" i="3"/>
  <c r="BI574" i="3"/>
  <c r="BJ574" i="3"/>
  <c r="BK574" i="3"/>
  <c r="BM574" i="3"/>
  <c r="BN574" i="3"/>
  <c r="BO574" i="3"/>
  <c r="BP574" i="3"/>
  <c r="BQ574" i="3"/>
  <c r="BR574" i="3"/>
  <c r="BS574" i="3"/>
  <c r="BT574" i="3"/>
  <c r="H575" i="3"/>
  <c r="G575" i="3" s="1"/>
  <c r="AC575" i="3"/>
  <c r="BB575" i="3"/>
  <c r="BC575" i="3"/>
  <c r="BD575" i="3"/>
  <c r="BA575" i="3" s="1"/>
  <c r="BE575" i="3"/>
  <c r="BF575" i="3"/>
  <c r="BG575" i="3"/>
  <c r="BH575" i="3"/>
  <c r="BI575" i="3"/>
  <c r="BJ575" i="3"/>
  <c r="BK575" i="3"/>
  <c r="BM575" i="3"/>
  <c r="BN575" i="3"/>
  <c r="BO575" i="3"/>
  <c r="BP575" i="3"/>
  <c r="BR575" i="3"/>
  <c r="BS575" i="3"/>
  <c r="BT575" i="3"/>
  <c r="H576" i="3"/>
  <c r="AC576" i="3"/>
  <c r="G576" i="3" s="1"/>
  <c r="BB576" i="3"/>
  <c r="BC576" i="3"/>
  <c r="BD576" i="3"/>
  <c r="BE576" i="3"/>
  <c r="BA576" i="3" s="1"/>
  <c r="BF576" i="3"/>
  <c r="BG576" i="3"/>
  <c r="BH576" i="3"/>
  <c r="BI576" i="3"/>
  <c r="BJ576" i="3"/>
  <c r="BK576" i="3"/>
  <c r="BM576" i="3"/>
  <c r="BN576" i="3"/>
  <c r="BL576" i="3" s="1"/>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BB578" i="3"/>
  <c r="BA578" i="3" s="1"/>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L579" i="3" s="1"/>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S42" i="34" s="1"/>
  <c r="J38" i="34"/>
  <c r="W38" i="34"/>
  <c r="D114" i="34"/>
  <c r="E114" i="34" s="1"/>
  <c r="F38" i="34"/>
  <c r="S38" i="34" s="1"/>
  <c r="D112" i="34"/>
  <c r="E112" i="34" s="1"/>
  <c r="F112" i="34" s="1"/>
  <c r="G112" i="34" s="1"/>
  <c r="H112" i="34" s="1"/>
  <c r="I112" i="34" s="1"/>
  <c r="J112" i="34" s="1"/>
  <c r="K112" i="34" s="1"/>
  <c r="L112" i="34" s="1"/>
  <c r="M112" i="34" s="1"/>
  <c r="F40" i="33"/>
  <c r="AA40" i="33" s="1"/>
  <c r="J41" i="33"/>
  <c r="AC41" i="33" s="1"/>
  <c r="D113" i="33"/>
  <c r="E113" i="33" s="1"/>
  <c r="F113" i="33" s="1"/>
  <c r="G113" i="33" s="1"/>
  <c r="H113" i="33" s="1"/>
  <c r="I113" i="33" s="1"/>
  <c r="J113" i="33" s="1"/>
  <c r="K113" i="33" s="1"/>
  <c r="L113" i="33" s="1"/>
  <c r="M113" i="33" s="1"/>
  <c r="F37" i="33"/>
  <c r="D111" i="33"/>
  <c r="E111" i="33" s="1"/>
  <c r="F111" i="33" s="1"/>
  <c r="S515" i="31"/>
  <c r="S516" i="31"/>
  <c r="S517" i="31"/>
  <c r="S518" i="31"/>
  <c r="S519" i="31"/>
  <c r="S520" i="31"/>
  <c r="S521" i="31"/>
  <c r="S522" i="31"/>
  <c r="S523" i="31"/>
  <c r="S524" i="31"/>
  <c r="F41" i="2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J38" i="40" s="1"/>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H13" i="40" s="1"/>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AC38" i="40"/>
  <c r="H38" i="40"/>
  <c r="Q37" i="40"/>
  <c r="Z37" i="40" s="1"/>
  <c r="Q36" i="40"/>
  <c r="Z36" i="40" s="1"/>
  <c r="Q35" i="40"/>
  <c r="Z35" i="40" s="1"/>
  <c r="Q34" i="40"/>
  <c r="Z34" i="40" s="1"/>
  <c r="J34" i="40"/>
  <c r="AC34" i="40"/>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E108" i="39" s="1"/>
  <c r="F108" i="39" s="1"/>
  <c r="G108" i="39" s="1"/>
  <c r="H108" i="39" s="1"/>
  <c r="I108" i="39" s="1"/>
  <c r="J108" i="39" s="1"/>
  <c r="K108" i="39" s="1"/>
  <c r="L108" i="39" s="1"/>
  <c r="M108" i="39" s="1"/>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AC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J14" i="39" s="1"/>
  <c r="AC14" i="39" s="1"/>
  <c r="B83" i="39"/>
  <c r="F13" i="39" s="1"/>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F40" i="37" s="1"/>
  <c r="AA40" i="37" s="1"/>
  <c r="D107" i="37"/>
  <c r="E107" i="37" s="1"/>
  <c r="F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J28" i="37" s="1"/>
  <c r="AC28" i="37" s="1"/>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F9" i="37" s="1"/>
  <c r="S9" i="37" s="1"/>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F34" i="36" s="1"/>
  <c r="S34" i="36" s="1"/>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Q27" i="36"/>
  <c r="Z27" i="36" s="1"/>
  <c r="Q26" i="36"/>
  <c r="Z26" i="36" s="1"/>
  <c r="H26" i="36"/>
  <c r="AB26" i="36"/>
  <c r="Q25" i="36"/>
  <c r="Z25" i="36" s="1"/>
  <c r="Q24" i="36"/>
  <c r="Z24" i="36"/>
  <c r="Q23" i="36"/>
  <c r="Z23" i="36" s="1"/>
  <c r="J23" i="36"/>
  <c r="AC23" i="36" s="1"/>
  <c r="AB23" i="36"/>
  <c r="F23" i="36"/>
  <c r="AA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J36" i="35" s="1"/>
  <c r="AC36" i="35" s="1"/>
  <c r="H36" i="35"/>
  <c r="AB36" i="35" s="1"/>
  <c r="B99" i="35"/>
  <c r="B97" i="35"/>
  <c r="H34" i="35" s="1"/>
  <c r="U34" i="35" s="1"/>
  <c r="B77" i="35"/>
  <c r="F25" i="35" s="1"/>
  <c r="S25" i="35" s="1"/>
  <c r="B75" i="35"/>
  <c r="J24" i="35" s="1"/>
  <c r="AC24" i="35" s="1"/>
  <c r="B73" i="35"/>
  <c r="J23" i="35" s="1"/>
  <c r="AC23" i="35" s="1"/>
  <c r="H23" i="35"/>
  <c r="U23" i="35" s="1"/>
  <c r="B57" i="35"/>
  <c r="F11" i="35" s="1"/>
  <c r="S11" i="35" s="1"/>
  <c r="B61" i="35"/>
  <c r="J13" i="35" s="1"/>
  <c r="AC13" i="35" s="1"/>
  <c r="B59" i="35"/>
  <c r="F12" i="35" s="1"/>
  <c r="B131" i="34"/>
  <c r="B129" i="34"/>
  <c r="J46" i="34" s="1"/>
  <c r="B127" i="34"/>
  <c r="B99" i="34"/>
  <c r="B97" i="34"/>
  <c r="B95" i="34"/>
  <c r="F30" i="34" s="1"/>
  <c r="B93" i="34"/>
  <c r="B75" i="34"/>
  <c r="B73" i="34"/>
  <c r="H13" i="34" s="1"/>
  <c r="U13" i="34" s="1"/>
  <c r="B71" i="34"/>
  <c r="B130" i="33"/>
  <c r="F46" i="33" s="1"/>
  <c r="AA46" i="33" s="1"/>
  <c r="B128" i="33"/>
  <c r="B126" i="33"/>
  <c r="B98" i="33"/>
  <c r="B96" i="33"/>
  <c r="B94" i="33"/>
  <c r="B74" i="33"/>
  <c r="B72" i="33"/>
  <c r="F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H28" i="34" s="1"/>
  <c r="AB28" i="34" s="1"/>
  <c r="B89" i="34"/>
  <c r="D88" i="34"/>
  <c r="E88" i="34"/>
  <c r="F88" i="34" s="1"/>
  <c r="G88" i="34" s="1"/>
  <c r="H88" i="34" s="1"/>
  <c r="I88" i="34" s="1"/>
  <c r="J88" i="34" s="1"/>
  <c r="K88" i="34" s="1"/>
  <c r="L88" i="34" s="1"/>
  <c r="M88" i="34" s="1"/>
  <c r="D86" i="34"/>
  <c r="E86" i="34" s="1"/>
  <c r="F86" i="34" s="1"/>
  <c r="G86" i="34"/>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c r="Q12" i="34"/>
  <c r="Z12" i="34" s="1"/>
  <c r="F12" i="34"/>
  <c r="S12" i="34" s="1"/>
  <c r="Q11" i="34"/>
  <c r="Z11" i="34" s="1"/>
  <c r="Q10" i="34"/>
  <c r="Z10" i="34" s="1"/>
  <c r="F10" i="34"/>
  <c r="AA10" i="34" s="1"/>
  <c r="Q9" i="34"/>
  <c r="Z9" i="34" s="1"/>
  <c r="H9" i="34"/>
  <c r="J8" i="34"/>
  <c r="AC8" i="34" s="1"/>
  <c r="H8" i="34"/>
  <c r="U8" i="34" s="1"/>
  <c r="F8" i="34"/>
  <c r="D121" i="33"/>
  <c r="E121" i="33" s="1"/>
  <c r="F109" i="33"/>
  <c r="E109" i="33"/>
  <c r="D109" i="33"/>
  <c r="C109" i="33"/>
  <c r="D91" i="33"/>
  <c r="E91" i="33" s="1"/>
  <c r="B88" i="33"/>
  <c r="J26" i="33" s="1"/>
  <c r="AC26" i="33" s="1"/>
  <c r="C23" i="33"/>
  <c r="C19" i="33"/>
  <c r="C17" i="33"/>
  <c r="C15" i="33"/>
  <c r="C15" i="21"/>
  <c r="D125" i="33"/>
  <c r="E125" i="33" s="1"/>
  <c r="F125" i="33" s="1"/>
  <c r="G125" i="33" s="1"/>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B90" i="33"/>
  <c r="F27" i="33" s="1"/>
  <c r="AA27" i="33" s="1"/>
  <c r="D87" i="33"/>
  <c r="E87" i="33" s="1"/>
  <c r="D85" i="33"/>
  <c r="E85" i="33" s="1"/>
  <c r="D81" i="33"/>
  <c r="E81" i="33" s="1"/>
  <c r="D79" i="33"/>
  <c r="E79" i="33" s="1"/>
  <c r="F79" i="33" s="1"/>
  <c r="G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Q39" i="33"/>
  <c r="Z39" i="33" s="1"/>
  <c r="J39" i="33"/>
  <c r="Q38" i="33"/>
  <c r="Z38" i="33" s="1"/>
  <c r="J38" i="33"/>
  <c r="AC38" i="33" s="1"/>
  <c r="H38" i="33"/>
  <c r="AB38" i="33" s="1"/>
  <c r="F38" i="33"/>
  <c r="AA38" i="33" s="1"/>
  <c r="Q37" i="33"/>
  <c r="Z37" i="33" s="1"/>
  <c r="Q36" i="33"/>
  <c r="Z36" i="33" s="1"/>
  <c r="Q35" i="33"/>
  <c r="Z35" i="33" s="1"/>
  <c r="H35" i="33"/>
  <c r="Q34" i="33"/>
  <c r="Z34" i="33" s="1"/>
  <c r="Q33" i="33"/>
  <c r="Z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s="1"/>
  <c r="G81" i="21" s="1"/>
  <c r="D77" i="21"/>
  <c r="E77" i="21" s="1"/>
  <c r="B130" i="21"/>
  <c r="H46" i="21" s="1"/>
  <c r="B128" i="21"/>
  <c r="J45" i="21"/>
  <c r="W45" i="21" s="1"/>
  <c r="B126" i="21"/>
  <c r="J44" i="21" s="1"/>
  <c r="B98" i="21"/>
  <c r="H31" i="21" s="1"/>
  <c r="B96" i="21"/>
  <c r="B94" i="21"/>
  <c r="B92" i="21"/>
  <c r="F28" i="21" s="1"/>
  <c r="B90" i="21"/>
  <c r="B74" i="21"/>
  <c r="B72" i="21"/>
  <c r="J13" i="21" s="1"/>
  <c r="AC13" i="21" s="1"/>
  <c r="H13" i="21"/>
  <c r="B70" i="21"/>
  <c r="F12" i="21" s="1"/>
  <c r="C19" i="21"/>
  <c r="C17" i="21"/>
  <c r="C23" i="21"/>
  <c r="Q9" i="21"/>
  <c r="Z9" i="21" s="1"/>
  <c r="Q10" i="21"/>
  <c r="Z10" i="21"/>
  <c r="Q11" i="21"/>
  <c r="Z11" i="21" s="1"/>
  <c r="Q12" i="21"/>
  <c r="Z12" i="21" s="1"/>
  <c r="Q13" i="21"/>
  <c r="Z13" i="21" s="1"/>
  <c r="Q14" i="21"/>
  <c r="Z14" i="21" s="1"/>
  <c r="Q15" i="21"/>
  <c r="Z15" i="21" s="1"/>
  <c r="Q17" i="21"/>
  <c r="Z17" i="21" s="1"/>
  <c r="Q19" i="21"/>
  <c r="Z19" i="21" s="1"/>
  <c r="Q23" i="21"/>
  <c r="Z23" i="21"/>
  <c r="Q25" i="21"/>
  <c r="Z25" i="21" s="1"/>
  <c r="Q26" i="21"/>
  <c r="Z26" i="21" s="1"/>
  <c r="Q27" i="21"/>
  <c r="Z27" i="21" s="1"/>
  <c r="Q28" i="21"/>
  <c r="Z28" i="21" s="1"/>
  <c r="Q29" i="21"/>
  <c r="Z29" i="21" s="1"/>
  <c r="Q30" i="21"/>
  <c r="Z30" i="21"/>
  <c r="Q31" i="21"/>
  <c r="Z31" i="21" s="1"/>
  <c r="Q32" i="21"/>
  <c r="Z32" i="21"/>
  <c r="Q33" i="21"/>
  <c r="Z33" i="21" s="1"/>
  <c r="Q34" i="21"/>
  <c r="Z34" i="21" s="1"/>
  <c r="J35" i="21"/>
  <c r="W35" i="21" s="1"/>
  <c r="Q35" i="21"/>
  <c r="Z35" i="21" s="1"/>
  <c r="Q36" i="21"/>
  <c r="Z36" i="21" s="1"/>
  <c r="Q37" i="21"/>
  <c r="Z37" i="21" s="1"/>
  <c r="J38" i="21"/>
  <c r="W38" i="21" s="1"/>
  <c r="Q38" i="21"/>
  <c r="Z38" i="21"/>
  <c r="J39" i="21"/>
  <c r="AC39" i="21" s="1"/>
  <c r="Q39" i="21"/>
  <c r="Z39" i="21" s="1"/>
  <c r="H40" i="21"/>
  <c r="AB40" i="21" s="1"/>
  <c r="Q40" i="21"/>
  <c r="Z40" i="21" s="1"/>
  <c r="Q41" i="21"/>
  <c r="Z41" i="21" s="1"/>
  <c r="Q42" i="21"/>
  <c r="Z42" i="21"/>
  <c r="J43" i="21"/>
  <c r="AC43" i="21" s="1"/>
  <c r="Q43" i="21"/>
  <c r="Z43" i="2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G36" i="6" s="1"/>
  <c r="F34" i="21"/>
  <c r="AA34" i="21" s="1"/>
  <c r="H34" i="21"/>
  <c r="F43" i="21"/>
  <c r="S43" i="21" s="1"/>
  <c r="H38" i="21"/>
  <c r="U38" i="21" s="1"/>
  <c r="H43" i="21"/>
  <c r="AB43" i="21" s="1"/>
  <c r="F38" i="21"/>
  <c r="S38" i="21" s="1"/>
  <c r="F36" i="21"/>
  <c r="S36" i="21" s="1"/>
  <c r="F39" i="21"/>
  <c r="AA39" i="2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c r="F26" i="21"/>
  <c r="S26" i="21" s="1"/>
  <c r="S41" i="21"/>
  <c r="AA41" i="21"/>
  <c r="F45" i="39"/>
  <c r="S45" i="39" s="1"/>
  <c r="J45" i="39"/>
  <c r="W45" i="39" s="1"/>
  <c r="J44" i="39"/>
  <c r="AC44" i="39" s="1"/>
  <c r="F35" i="39"/>
  <c r="AA35" i="39" s="1"/>
  <c r="W40" i="39"/>
  <c r="U30" i="37"/>
  <c r="W31" i="37"/>
  <c r="F29" i="36"/>
  <c r="AA29" i="36" s="1"/>
  <c r="F16" i="36"/>
  <c r="AA16" i="36" s="1"/>
  <c r="H22" i="35"/>
  <c r="AB22" i="35" s="1"/>
  <c r="W28" i="35"/>
  <c r="U31" i="35"/>
  <c r="S31" i="35"/>
  <c r="F36" i="34"/>
  <c r="J35" i="34"/>
  <c r="U34" i="34"/>
  <c r="H39" i="33"/>
  <c r="AB39" i="33" s="1"/>
  <c r="F26" i="33"/>
  <c r="AA26" i="33" s="1"/>
  <c r="S27" i="35"/>
  <c r="F11" i="40"/>
  <c r="AA11" i="40" s="1"/>
  <c r="H11" i="40"/>
  <c r="AB11" i="40" s="1"/>
  <c r="AA9" i="40"/>
  <c r="S34" i="40"/>
  <c r="F42" i="39"/>
  <c r="AA42" i="39" s="1"/>
  <c r="F41" i="39"/>
  <c r="S41" i="39" s="1"/>
  <c r="H40" i="39"/>
  <c r="AB40" i="39" s="1"/>
  <c r="H39" i="39"/>
  <c r="U39" i="39" s="1"/>
  <c r="S38" i="39"/>
  <c r="S34" i="39"/>
  <c r="H34" i="39"/>
  <c r="E100" i="39"/>
  <c r="F100" i="39" s="1"/>
  <c r="G100" i="39" s="1"/>
  <c r="H19" i="39"/>
  <c r="AB19" i="39" s="1"/>
  <c r="F19" i="39"/>
  <c r="AA19" i="39" s="1"/>
  <c r="H17" i="39"/>
  <c r="AB17" i="39" s="1"/>
  <c r="F17" i="39"/>
  <c r="AA17" i="39" s="1"/>
  <c r="J23" i="40"/>
  <c r="AC23" i="40" s="1"/>
  <c r="F21" i="40"/>
  <c r="AA21" i="40"/>
  <c r="J21" i="40"/>
  <c r="W21" i="40" s="1"/>
  <c r="H42" i="39"/>
  <c r="AB42" i="39" s="1"/>
  <c r="J34" i="39"/>
  <c r="AC34" i="39" s="1"/>
  <c r="H27" i="39"/>
  <c r="U27" i="39" s="1"/>
  <c r="J19" i="39"/>
  <c r="AC19" i="39" s="1"/>
  <c r="J17" i="39"/>
  <c r="J27" i="39"/>
  <c r="AC27" i="39"/>
  <c r="F27" i="39"/>
  <c r="F11" i="21"/>
  <c r="S11" i="21" s="1"/>
  <c r="C25" i="39"/>
  <c r="H11" i="39"/>
  <c r="S40" i="39"/>
  <c r="C15" i="39"/>
  <c r="H32" i="33"/>
  <c r="AB32" i="33" s="1"/>
  <c r="H11" i="21"/>
  <c r="U11" i="21" s="1"/>
  <c r="J11" i="21"/>
  <c r="W11" i="21" s="1"/>
  <c r="H37" i="40"/>
  <c r="U37" i="40" s="1"/>
  <c r="H36" i="40"/>
  <c r="AB36" i="40" s="1"/>
  <c r="F35" i="40"/>
  <c r="AA35" i="40" s="1"/>
  <c r="H23" i="40"/>
  <c r="AB23" i="40" s="1"/>
  <c r="H17" i="40"/>
  <c r="U17" i="40"/>
  <c r="J15" i="40"/>
  <c r="W15" i="40" s="1"/>
  <c r="J11" i="40"/>
  <c r="W11" i="40" s="1"/>
  <c r="AB8" i="39"/>
  <c r="AB12" i="35"/>
  <c r="W32" i="40"/>
  <c r="J34" i="36"/>
  <c r="W34" i="36" s="1"/>
  <c r="J30" i="35"/>
  <c r="W30" i="35" s="1"/>
  <c r="H30" i="35"/>
  <c r="AB30" i="35" s="1"/>
  <c r="F22" i="35"/>
  <c r="AA22" i="35" s="1"/>
  <c r="H10" i="35"/>
  <c r="U10" i="35" s="1"/>
  <c r="W30" i="36"/>
  <c r="H16" i="36"/>
  <c r="AB16" i="36" s="1"/>
  <c r="E85" i="36"/>
  <c r="F85" i="36"/>
  <c r="G85" i="36" s="1"/>
  <c r="H85" i="36" s="1"/>
  <c r="I85" i="36" s="1"/>
  <c r="J85" i="36" s="1"/>
  <c r="K85" i="36" s="1"/>
  <c r="L85" i="36" s="1"/>
  <c r="M85" i="36" s="1"/>
  <c r="J29" i="36"/>
  <c r="AC29" i="36" s="1"/>
  <c r="F14" i="35"/>
  <c r="AA14" i="35"/>
  <c r="F23" i="35"/>
  <c r="AA23" i="35" s="1"/>
  <c r="J32" i="35"/>
  <c r="AC32" i="35" s="1"/>
  <c r="J16" i="35"/>
  <c r="W16" i="35" s="1"/>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AB34" i="37"/>
  <c r="J33" i="37"/>
  <c r="AC33" i="37" s="1"/>
  <c r="U42" i="34"/>
  <c r="H40" i="34"/>
  <c r="U40" i="34" s="1"/>
  <c r="H36" i="34"/>
  <c r="U36" i="34" s="1"/>
  <c r="F37" i="34"/>
  <c r="AA37" i="34" s="1"/>
  <c r="F25" i="34"/>
  <c r="S25" i="34" s="1"/>
  <c r="H23" i="34"/>
  <c r="U23" i="34" s="1"/>
  <c r="J23" i="34"/>
  <c r="F19" i="34"/>
  <c r="H17" i="34"/>
  <c r="U17" i="34" s="1"/>
  <c r="F15" i="34"/>
  <c r="AA15" i="34" s="1"/>
  <c r="J15" i="34"/>
  <c r="H15" i="34"/>
  <c r="AB15" i="34" s="1"/>
  <c r="W8" i="34"/>
  <c r="F41" i="33"/>
  <c r="AA41" i="33" s="1"/>
  <c r="F32" i="33"/>
  <c r="AA32" i="33" s="1"/>
  <c r="J19" i="33"/>
  <c r="AC19" i="33" s="1"/>
  <c r="F11" i="33"/>
  <c r="AA11" i="33" s="1"/>
  <c r="W40" i="33"/>
  <c r="F37" i="40"/>
  <c r="AA37" i="40"/>
  <c r="F36" i="40"/>
  <c r="AA36" i="40" s="1"/>
  <c r="H28" i="40"/>
  <c r="U28" i="40" s="1"/>
  <c r="F23" i="40"/>
  <c r="AA23" i="40" s="1"/>
  <c r="F17" i="40"/>
  <c r="AA17" i="40" s="1"/>
  <c r="J17" i="40"/>
  <c r="W17" i="40" s="1"/>
  <c r="F15" i="40"/>
  <c r="S15" i="40" s="1"/>
  <c r="H15" i="40"/>
  <c r="AB15" i="40" s="1"/>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AB23" i="34"/>
  <c r="F23" i="34"/>
  <c r="AA23" i="34" s="1"/>
  <c r="J19" i="34"/>
  <c r="AC19" i="34" s="1"/>
  <c r="F17" i="34"/>
  <c r="AA17" i="34"/>
  <c r="J17" i="34"/>
  <c r="W17" i="34" s="1"/>
  <c r="H37" i="33"/>
  <c r="AB37" i="33" s="1"/>
  <c r="H11" i="33"/>
  <c r="AB11" i="33" s="1"/>
  <c r="F28" i="40"/>
  <c r="AA28" i="40" s="1"/>
  <c r="AA42" i="34"/>
  <c r="AC38" i="34"/>
  <c r="AA38" i="34"/>
  <c r="J37" i="34"/>
  <c r="AC37" i="34" s="1"/>
  <c r="J11" i="33"/>
  <c r="W11" i="33" s="1"/>
  <c r="J42" i="21"/>
  <c r="AC42" i="21" s="1"/>
  <c r="H42" i="21"/>
  <c r="U42" i="21"/>
  <c r="J44" i="34"/>
  <c r="F44" i="34"/>
  <c r="AA44" i="34" s="1"/>
  <c r="J10" i="35"/>
  <c r="AC10" i="35" s="1"/>
  <c r="J14" i="21"/>
  <c r="W14" i="21" s="1"/>
  <c r="F14" i="21"/>
  <c r="S14" i="21" s="1"/>
  <c r="H14" i="21"/>
  <c r="U14" i="21" s="1"/>
  <c r="AA28" i="21"/>
  <c r="J28" i="21"/>
  <c r="J30" i="21"/>
  <c r="AC30" i="21" s="1"/>
  <c r="F44" i="21"/>
  <c r="AA44" i="21" s="1"/>
  <c r="U46" i="21"/>
  <c r="J46" i="21"/>
  <c r="F46" i="21"/>
  <c r="AA46" i="21" s="1"/>
  <c r="H26"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J13" i="33"/>
  <c r="W13" i="33" s="1"/>
  <c r="J29" i="33"/>
  <c r="H29" i="33"/>
  <c r="U29" i="33" s="1"/>
  <c r="F29" i="33"/>
  <c r="S29" i="33" s="1"/>
  <c r="J31" i="33"/>
  <c r="W31" i="33" s="1"/>
  <c r="H31" i="33"/>
  <c r="F31" i="33"/>
  <c r="H45" i="33"/>
  <c r="U45" i="33" s="1"/>
  <c r="J45" i="33"/>
  <c r="W45" i="33" s="1"/>
  <c r="F45" i="33"/>
  <c r="AA45" i="33" s="1"/>
  <c r="J14" i="34"/>
  <c r="W14" i="34" s="1"/>
  <c r="F14" i="34"/>
  <c r="S14" i="34"/>
  <c r="H14" i="34"/>
  <c r="H30" i="34"/>
  <c r="S30" i="34"/>
  <c r="J30" i="34"/>
  <c r="H32" i="34"/>
  <c r="F32" i="34"/>
  <c r="J32" i="34"/>
  <c r="W32" i="34" s="1"/>
  <c r="H46" i="34"/>
  <c r="U46" i="34" s="1"/>
  <c r="F46" i="34"/>
  <c r="H11" i="35"/>
  <c r="AB11" i="35" s="1"/>
  <c r="J11" i="35"/>
  <c r="W11" i="35" s="1"/>
  <c r="AC11" i="35"/>
  <c r="J26" i="36"/>
  <c r="W26" i="36" s="1"/>
  <c r="H28" i="36"/>
  <c r="U28" i="36" s="1"/>
  <c r="H32" i="36"/>
  <c r="AB32" i="36" s="1"/>
  <c r="J32" i="36"/>
  <c r="W32" i="36" s="1"/>
  <c r="J11" i="36"/>
  <c r="AC11" i="36" s="1"/>
  <c r="H11" i="36"/>
  <c r="U11" i="36" s="1"/>
  <c r="F11"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W40" i="37" s="1"/>
  <c r="AC40" i="37"/>
  <c r="AC12" i="40"/>
  <c r="W12" i="40"/>
  <c r="H30" i="33"/>
  <c r="AB30" i="33" s="1"/>
  <c r="F30" i="33"/>
  <c r="J30" i="33"/>
  <c r="AC30" i="33" s="1"/>
  <c r="F44" i="33"/>
  <c r="S44" i="33" s="1"/>
  <c r="J46" i="33"/>
  <c r="AC46" i="33" s="1"/>
  <c r="H46" i="33"/>
  <c r="AB46" i="33" s="1"/>
  <c r="J13" i="34"/>
  <c r="W13" i="34" s="1"/>
  <c r="F13" i="34"/>
  <c r="AA13" i="34" s="1"/>
  <c r="J29" i="34"/>
  <c r="F29" i="34"/>
  <c r="S29" i="34" s="1"/>
  <c r="H29" i="34"/>
  <c r="AB29" i="34" s="1"/>
  <c r="J31" i="34"/>
  <c r="W31" i="34" s="1"/>
  <c r="AC31" i="34"/>
  <c r="H45" i="34"/>
  <c r="U45" i="34" s="1"/>
  <c r="J45" i="34"/>
  <c r="W45" i="34" s="1"/>
  <c r="F45" i="34"/>
  <c r="S45" i="34" s="1"/>
  <c r="J47" i="34"/>
  <c r="AC47" i="34" s="1"/>
  <c r="F13" i="35"/>
  <c r="H13" i="35"/>
  <c r="U13" i="35" s="1"/>
  <c r="J25" i="35"/>
  <c r="W25" i="35" s="1"/>
  <c r="H25" i="35"/>
  <c r="AB25" i="35"/>
  <c r="J35" i="35"/>
  <c r="AC35" i="35" s="1"/>
  <c r="F35" i="35"/>
  <c r="AA35" i="35"/>
  <c r="H35" i="35"/>
  <c r="J25" i="36"/>
  <c r="W25" i="36" s="1"/>
  <c r="H25" i="36"/>
  <c r="AB25" i="36" s="1"/>
  <c r="H13" i="37"/>
  <c r="AB13" i="37" s="1"/>
  <c r="F13" i="37"/>
  <c r="S13" i="37" s="1"/>
  <c r="J13" i="37"/>
  <c r="W13" i="37" s="1"/>
  <c r="F28" i="37"/>
  <c r="AA28" i="37" s="1"/>
  <c r="H28" i="37"/>
  <c r="H38" i="37"/>
  <c r="AB38" i="37"/>
  <c r="J38" i="37"/>
  <c r="AC38" i="37" s="1"/>
  <c r="F38" i="37"/>
  <c r="S38" i="37" s="1"/>
  <c r="H43" i="39"/>
  <c r="F14" i="39"/>
  <c r="H14" i="39"/>
  <c r="AB14" i="39"/>
  <c r="F12" i="40"/>
  <c r="S12" i="40" s="1"/>
  <c r="H12" i="40"/>
  <c r="AB12" i="40"/>
  <c r="H30" i="40"/>
  <c r="AB30" i="40" s="1"/>
  <c r="J35" i="40"/>
  <c r="AC35" i="40" s="1"/>
  <c r="J37" i="40"/>
  <c r="AC37" i="40" s="1"/>
  <c r="U13" i="40"/>
  <c r="J13" i="40"/>
  <c r="W13" i="40" s="1"/>
  <c r="F13" i="40"/>
  <c r="AA13" i="40" s="1"/>
  <c r="F14" i="37"/>
  <c r="S14" i="37" s="1"/>
  <c r="F27" i="37"/>
  <c r="AA27" i="37"/>
  <c r="J13" i="39"/>
  <c r="W13" i="39" s="1"/>
  <c r="H13" i="39"/>
  <c r="H14" i="40"/>
  <c r="AB14" i="40" s="1"/>
  <c r="J27" i="37"/>
  <c r="AC27" i="37" s="1"/>
  <c r="J36" i="37"/>
  <c r="AC36" i="37" s="1"/>
  <c r="J10" i="36"/>
  <c r="AC10" i="36" s="1"/>
  <c r="AA14" i="34"/>
  <c r="S44" i="34"/>
  <c r="F17" i="21"/>
  <c r="AA17" i="21" s="1"/>
  <c r="H17" i="21"/>
  <c r="AB17" i="21" s="1"/>
  <c r="F15" i="21"/>
  <c r="S15" i="21" s="1"/>
  <c r="J41" i="39"/>
  <c r="W41" i="39" s="1"/>
  <c r="S35" i="39"/>
  <c r="G540" i="3"/>
  <c r="G535" i="3"/>
  <c r="G532" i="3"/>
  <c r="G523" i="3"/>
  <c r="G518" i="3"/>
  <c r="G510" i="3"/>
  <c r="G508" i="3"/>
  <c r="G504" i="3"/>
  <c r="G496" i="3"/>
  <c r="G584" i="3"/>
  <c r="G580" i="3"/>
  <c r="G572" i="3"/>
  <c r="G568" i="3"/>
  <c r="G564" i="3"/>
  <c r="G554" i="3"/>
  <c r="G550" i="3"/>
  <c r="BL546" i="3"/>
  <c r="BL538" i="3"/>
  <c r="BL516" i="3"/>
  <c r="BL512" i="3"/>
  <c r="BL494" i="3"/>
  <c r="BL578" i="3"/>
  <c r="BL536" i="3"/>
  <c r="G533" i="3"/>
  <c r="G525" i="3"/>
  <c r="BL524" i="3"/>
  <c r="BL514" i="3"/>
  <c r="BL496" i="3"/>
  <c r="G493" i="3"/>
  <c r="BA566" i="3"/>
  <c r="BA564" i="3"/>
  <c r="BA554" i="3"/>
  <c r="BA552" i="3"/>
  <c r="BA540" i="3"/>
  <c r="BA528" i="3"/>
  <c r="BA524" i="3"/>
  <c r="BA514" i="3"/>
  <c r="AZ514" i="3" s="1"/>
  <c r="BA512" i="3"/>
  <c r="AZ512" i="3" s="1"/>
  <c r="BA502" i="3"/>
  <c r="BA498" i="3"/>
  <c r="BA494" i="3"/>
  <c r="BA577" i="3"/>
  <c r="BA563" i="3"/>
  <c r="BA559" i="3"/>
  <c r="BA545" i="3"/>
  <c r="BA539" i="3"/>
  <c r="BA529" i="3"/>
  <c r="BA527" i="3"/>
  <c r="BA513" i="3"/>
  <c r="BA511" i="3"/>
  <c r="BA499" i="3"/>
  <c r="BA493" i="3"/>
  <c r="G583" i="3"/>
  <c r="G581" i="3"/>
  <c r="G573" i="3"/>
  <c r="G567" i="3"/>
  <c r="G565" i="3"/>
  <c r="AC557" i="3"/>
  <c r="G557" i="3" s="1"/>
  <c r="BQ557" i="3"/>
  <c r="BL557" i="3" s="1"/>
  <c r="BQ583" i="3"/>
  <c r="BQ581" i="3"/>
  <c r="BQ579" i="3"/>
  <c r="BQ577" i="3"/>
  <c r="BQ575" i="3"/>
  <c r="BQ573" i="3"/>
  <c r="BL573" i="3" s="1"/>
  <c r="BQ571" i="3"/>
  <c r="BQ569" i="3"/>
  <c r="BQ567" i="3"/>
  <c r="BL567" i="3"/>
  <c r="BQ565" i="3"/>
  <c r="BL565" i="3" s="1"/>
  <c r="BQ563" i="3"/>
  <c r="BQ561" i="3"/>
  <c r="BQ559" i="3"/>
  <c r="G549" i="3"/>
  <c r="G547" i="3"/>
  <c r="G541" i="3"/>
  <c r="G539" i="3"/>
  <c r="G537" i="3"/>
  <c r="BQ555" i="3"/>
  <c r="BQ553" i="3"/>
  <c r="BQ551" i="3"/>
  <c r="BQ549" i="3"/>
  <c r="BQ547" i="3"/>
  <c r="BQ545" i="3"/>
  <c r="BQ543" i="3"/>
  <c r="BL543" i="3" s="1"/>
  <c r="BQ541" i="3"/>
  <c r="BQ539" i="3"/>
  <c r="BL539" i="3" s="1"/>
  <c r="BQ537" i="3"/>
  <c r="BL537" i="3" s="1"/>
  <c r="BQ535" i="3"/>
  <c r="BQ533" i="3"/>
  <c r="BL533" i="3"/>
  <c r="BQ531" i="3"/>
  <c r="BL531" i="3" s="1"/>
  <c r="BQ529" i="3"/>
  <c r="BQ527" i="3"/>
  <c r="BQ525" i="3"/>
  <c r="BL525" i="3" s="1"/>
  <c r="BQ523" i="3"/>
  <c r="AC521" i="3"/>
  <c r="BQ521" i="3"/>
  <c r="BL520" i="3"/>
  <c r="G519" i="3"/>
  <c r="G517" i="3"/>
  <c r="G513" i="3"/>
  <c r="G511" i="3"/>
  <c r="BQ519" i="3"/>
  <c r="BQ517" i="3"/>
  <c r="BQ515" i="3"/>
  <c r="BL515" i="3" s="1"/>
  <c r="BQ513" i="3"/>
  <c r="BL513" i="3" s="1"/>
  <c r="BQ511" i="3"/>
  <c r="AC509" i="3"/>
  <c r="BQ509" i="3"/>
  <c r="BL509" i="3" s="1"/>
  <c r="BL508" i="3"/>
  <c r="G505" i="3"/>
  <c r="G503" i="3"/>
  <c r="G501" i="3"/>
  <c r="G497" i="3"/>
  <c r="BQ507" i="3"/>
  <c r="BQ505" i="3"/>
  <c r="BQ503" i="3"/>
  <c r="BL503" i="3" s="1"/>
  <c r="BQ501" i="3"/>
  <c r="BL501" i="3" s="1"/>
  <c r="BQ499" i="3"/>
  <c r="BQ497" i="3"/>
  <c r="BL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17" i="37" s="1"/>
  <c r="AB27" i="37"/>
  <c r="F39" i="33"/>
  <c r="AA39" i="33" s="1"/>
  <c r="F42" i="33"/>
  <c r="AA42" i="33" s="1"/>
  <c r="F14" i="36"/>
  <c r="AA14" i="36" s="1"/>
  <c r="F22" i="36"/>
  <c r="S22" i="36" s="1"/>
  <c r="F26" i="36"/>
  <c r="S26" i="36" s="1"/>
  <c r="H35" i="34"/>
  <c r="U35" i="34" s="1"/>
  <c r="F41" i="34"/>
  <c r="H41" i="34"/>
  <c r="U41" i="34" s="1"/>
  <c r="J41" i="34"/>
  <c r="AC41" i="34" s="1"/>
  <c r="F10" i="35"/>
  <c r="S10" i="35" s="1"/>
  <c r="F24" i="35"/>
  <c r="AA24" i="35" s="1"/>
  <c r="H24" i="35"/>
  <c r="AB24" i="35" s="1"/>
  <c r="H23" i="37"/>
  <c r="AB23" i="37" s="1"/>
  <c r="J32" i="37"/>
  <c r="AC32" i="37" s="1"/>
  <c r="F36" i="37"/>
  <c r="AA36" i="37" s="1"/>
  <c r="F37" i="37"/>
  <c r="AA37" i="37"/>
  <c r="F31" i="40"/>
  <c r="AA31" i="40" s="1"/>
  <c r="H31" i="40"/>
  <c r="U31" i="40" s="1"/>
  <c r="F32" i="40"/>
  <c r="S32" i="40" s="1"/>
  <c r="H32" i="40"/>
  <c r="AB32" i="40" s="1"/>
  <c r="J36" i="40"/>
  <c r="W36" i="40" s="1"/>
  <c r="H19" i="37"/>
  <c r="AB19" i="37" s="1"/>
  <c r="H42" i="33"/>
  <c r="AB42" i="33" s="1"/>
  <c r="J43" i="33"/>
  <c r="AC43" i="33" s="1"/>
  <c r="S28" i="31"/>
  <c r="S27" i="31"/>
  <c r="S26" i="31"/>
  <c r="W23" i="35"/>
  <c r="U11" i="33"/>
  <c r="U19" i="21"/>
  <c r="AB38" i="21"/>
  <c r="F43" i="33"/>
  <c r="AA43" i="33" s="1"/>
  <c r="G107" i="37"/>
  <c r="H107" i="37"/>
  <c r="I107" i="37" s="1"/>
  <c r="J107" i="37" s="1"/>
  <c r="K107" i="37" s="1"/>
  <c r="L107" i="37" s="1"/>
  <c r="M107" i="37" s="1"/>
  <c r="H37" i="21"/>
  <c r="U37" i="21" s="1"/>
  <c r="H19" i="34"/>
  <c r="AB19" i="34" s="1"/>
  <c r="F36" i="35"/>
  <c r="S36" i="35" s="1"/>
  <c r="J9" i="37"/>
  <c r="W9" i="37" s="1"/>
  <c r="H9" i="37"/>
  <c r="U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c r="J15" i="37"/>
  <c r="W15" i="37" s="1"/>
  <c r="AT6" i="3"/>
  <c r="AA25" i="21"/>
  <c r="H19" i="40"/>
  <c r="U19" i="40" s="1"/>
  <c r="F19" i="40"/>
  <c r="S19" i="40" s="1"/>
  <c r="AC13" i="40"/>
  <c r="W23" i="39"/>
  <c r="U45" i="39"/>
  <c r="AB45"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c r="F11" i="39"/>
  <c r="S11" i="39" s="1"/>
  <c r="AA11" i="39"/>
  <c r="G4" i="4"/>
  <c r="I4" i="4"/>
  <c r="A2" i="9"/>
  <c r="F61" i="43"/>
  <c r="H64" i="43" s="1"/>
  <c r="AZ494"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AZ341" i="3" s="1"/>
  <c r="BL341" i="3"/>
  <c r="BA343" i="3"/>
  <c r="BA345" i="3"/>
  <c r="BL355" i="3"/>
  <c r="G356" i="3"/>
  <c r="BL357" i="3"/>
  <c r="BA359" i="3"/>
  <c r="AZ359" i="3" s="1"/>
  <c r="BA360" i="3"/>
  <c r="BL360" i="3"/>
  <c r="G361" i="3"/>
  <c r="BA362" i="3"/>
  <c r="G370" i="3"/>
  <c r="BL371" i="3"/>
  <c r="G372" i="3"/>
  <c r="BL373" i="3"/>
  <c r="BA375" i="3"/>
  <c r="BA376" i="3"/>
  <c r="BL376" i="3"/>
  <c r="G377" i="3"/>
  <c r="BA378" i="3"/>
  <c r="BL378" i="3"/>
  <c r="AZ378" i="3" s="1"/>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AZ195" i="3" s="1"/>
  <c r="BL196" i="3"/>
  <c r="G197" i="3"/>
  <c r="BA199" i="3"/>
  <c r="BL200" i="3"/>
  <c r="G201" i="3"/>
  <c r="BA203" i="3"/>
  <c r="BL204" i="3"/>
  <c r="G534" i="3"/>
  <c r="G530" i="3"/>
  <c r="G522" i="3"/>
  <c r="G516" i="3"/>
  <c r="G512" i="3"/>
  <c r="G506" i="3"/>
  <c r="G498" i="3"/>
  <c r="G494" i="3"/>
  <c r="G16" i="3"/>
  <c r="G15" i="3"/>
  <c r="BA304" i="3"/>
  <c r="BA305" i="3"/>
  <c r="BL305" i="3"/>
  <c r="G306" i="3"/>
  <c r="G309" i="3"/>
  <c r="BL310" i="3"/>
  <c r="BA312" i="3"/>
  <c r="BA313" i="3"/>
  <c r="BL313" i="3"/>
  <c r="G314" i="3"/>
  <c r="G317" i="3"/>
  <c r="BL318" i="3"/>
  <c r="BA320" i="3"/>
  <c r="BA321" i="3"/>
  <c r="BL321" i="3"/>
  <c r="G322" i="3"/>
  <c r="G325" i="3"/>
  <c r="BL326" i="3"/>
  <c r="BA328" i="3"/>
  <c r="BA329" i="3"/>
  <c r="AZ329" i="3" s="1"/>
  <c r="BL329" i="3"/>
  <c r="G330" i="3"/>
  <c r="G333" i="3"/>
  <c r="BL334" i="3"/>
  <c r="BA336" i="3"/>
  <c r="BA337" i="3"/>
  <c r="BL337" i="3"/>
  <c r="G338" i="3"/>
  <c r="G341" i="3"/>
  <c r="BA342" i="3"/>
  <c r="BL342" i="3"/>
  <c r="AZ342" i="3" s="1"/>
  <c r="BA344" i="3"/>
  <c r="BL344" i="3"/>
  <c r="AZ344" i="3"/>
  <c r="BA346" i="3"/>
  <c r="BA347" i="3"/>
  <c r="BL347" i="3"/>
  <c r="AZ347" i="3" s="1"/>
  <c r="G350" i="3"/>
  <c r="BA351" i="3"/>
  <c r="BL351" i="3"/>
  <c r="G352" i="3"/>
  <c r="G354" i="3"/>
  <c r="BA355" i="3"/>
  <c r="BA356" i="3"/>
  <c r="BL356" i="3"/>
  <c r="G357" i="3"/>
  <c r="G360" i="3"/>
  <c r="BL361" i="3"/>
  <c r="BA363" i="3"/>
  <c r="BA364" i="3"/>
  <c r="AZ364" i="3" s="1"/>
  <c r="BL364" i="3"/>
  <c r="G365" i="3"/>
  <c r="G368" i="3"/>
  <c r="BL369" i="3"/>
  <c r="AZ369" i="3" s="1"/>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AZ310" i="3" s="1"/>
  <c r="BL311" i="3"/>
  <c r="AZ311" i="3" s="1"/>
  <c r="G312" i="3"/>
  <c r="BA314" i="3"/>
  <c r="BL315" i="3"/>
  <c r="G316" i="3"/>
  <c r="BA318" i="3"/>
  <c r="BL319" i="3"/>
  <c r="G320" i="3"/>
  <c r="BA322" i="3"/>
  <c r="AZ322" i="3" s="1"/>
  <c r="BL323" i="3"/>
  <c r="G324" i="3"/>
  <c r="BA326" i="3"/>
  <c r="AZ326" i="3" s="1"/>
  <c r="BL327" i="3"/>
  <c r="G328" i="3"/>
  <c r="BA330" i="3"/>
  <c r="BL331" i="3"/>
  <c r="AZ331" i="3" s="1"/>
  <c r="G332" i="3"/>
  <c r="BA334" i="3"/>
  <c r="BL335" i="3"/>
  <c r="G336" i="3"/>
  <c r="BA338" i="3"/>
  <c r="BL339" i="3"/>
  <c r="G340" i="3"/>
  <c r="BL343" i="3"/>
  <c r="G344" i="3"/>
  <c r="G348" i="3"/>
  <c r="G355" i="3"/>
  <c r="G342" i="3"/>
  <c r="BL345" i="3"/>
  <c r="G346" i="3"/>
  <c r="BL349" i="3"/>
  <c r="BL352" i="3"/>
  <c r="G353" i="3"/>
  <c r="BA357" i="3"/>
  <c r="AZ357" i="3" s="1"/>
  <c r="BL358" i="3"/>
  <c r="G359" i="3"/>
  <c r="BA361" i="3"/>
  <c r="BL362" i="3"/>
  <c r="G363" i="3"/>
  <c r="BA365" i="3"/>
  <c r="BL366" i="3"/>
  <c r="G367" i="3"/>
  <c r="BA369" i="3"/>
  <c r="BL370" i="3"/>
  <c r="G371" i="3"/>
  <c r="BA373" i="3"/>
  <c r="BL374" i="3"/>
  <c r="G375" i="3"/>
  <c r="BA377" i="3"/>
  <c r="AZ229" i="3"/>
  <c r="BA379" i="3"/>
  <c r="AZ379" i="3" s="1"/>
  <c r="BL380" i="3"/>
  <c r="G381" i="3"/>
  <c r="BA383" i="3"/>
  <c r="AZ383" i="3" s="1"/>
  <c r="BL384" i="3"/>
  <c r="G385" i="3"/>
  <c r="BA387" i="3"/>
  <c r="BL388" i="3"/>
  <c r="G389" i="3"/>
  <c r="BA391" i="3"/>
  <c r="AZ391" i="3" s="1"/>
  <c r="BL392" i="3"/>
  <c r="G393" i="3"/>
  <c r="BM5" i="3"/>
  <c r="BH5" i="3"/>
  <c r="BF5" i="3"/>
  <c r="AC5" i="3"/>
  <c r="G548" i="3"/>
  <c r="G538" i="3"/>
  <c r="G520" i="3"/>
  <c r="G502" i="3"/>
  <c r="BP5" i="3"/>
  <c r="BG5" i="3"/>
  <c r="G17" i="3"/>
  <c r="BA17" i="3"/>
  <c r="BA15" i="3"/>
  <c r="AZ380" i="3"/>
  <c r="G509" i="3"/>
  <c r="BL493" i="3"/>
  <c r="AZ493" i="3" s="1"/>
  <c r="U36" i="40"/>
  <c r="F83" i="43"/>
  <c r="H85" i="43" s="1"/>
  <c r="F50" i="43"/>
  <c r="H54" i="43" s="1"/>
  <c r="G54" i="43" s="1"/>
  <c r="F72" i="43"/>
  <c r="H75" i="43" s="1"/>
  <c r="U17" i="39"/>
  <c r="S14" i="35"/>
  <c r="U43" i="21"/>
  <c r="U35" i="21"/>
  <c r="AC35" i="21"/>
  <c r="AC11" i="39"/>
  <c r="W44" i="34"/>
  <c r="AC44" i="34"/>
  <c r="U13" i="37"/>
  <c r="U12" i="40"/>
  <c r="J37" i="33"/>
  <c r="W37" i="33" s="1"/>
  <c r="J34" i="33"/>
  <c r="W34" i="33" s="1"/>
  <c r="F33" i="34"/>
  <c r="S33" i="34" s="1"/>
  <c r="H20" i="36"/>
  <c r="U20" i="36" s="1"/>
  <c r="J20" i="36"/>
  <c r="W20" i="36" s="1"/>
  <c r="J27" i="36"/>
  <c r="W27" i="36" s="1"/>
  <c r="F111" i="40"/>
  <c r="G111" i="40" s="1"/>
  <c r="H111" i="40" s="1"/>
  <c r="I111" i="40" s="1"/>
  <c r="J111" i="40" s="1"/>
  <c r="K111" i="40" s="1"/>
  <c r="L111" i="40" s="1"/>
  <c r="M111" i="40" s="1"/>
  <c r="H35" i="40"/>
  <c r="AB35" i="40" s="1"/>
  <c r="AC29" i="35"/>
  <c r="W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s="1"/>
  <c r="F30" i="40"/>
  <c r="AA30" i="40" s="1"/>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F23" i="39"/>
  <c r="AA23" i="39"/>
  <c r="H27" i="36"/>
  <c r="U27" i="36" s="1"/>
  <c r="F27" i="36"/>
  <c r="AA27" i="36" s="1"/>
  <c r="H33" i="34"/>
  <c r="U33" i="34"/>
  <c r="F32" i="37"/>
  <c r="AA32" i="37" s="1"/>
  <c r="F20" i="36"/>
  <c r="AA20" i="36" s="1"/>
  <c r="J33" i="34"/>
  <c r="AC33" i="34" s="1"/>
  <c r="H23" i="39"/>
  <c r="U23" i="39" s="1"/>
  <c r="K9" i="1"/>
  <c r="M9" i="1" s="1"/>
  <c r="W26" i="33"/>
  <c r="AB34" i="36"/>
  <c r="U34" i="36"/>
  <c r="AC12" i="39"/>
  <c r="W12" i="39"/>
  <c r="AC39" i="40"/>
  <c r="W39" i="40"/>
  <c r="AA32" i="36"/>
  <c r="S32" i="36"/>
  <c r="BL14" i="3"/>
  <c r="U30" i="33"/>
  <c r="AC13" i="34"/>
  <c r="W28" i="37"/>
  <c r="S19" i="39"/>
  <c r="F12" i="33"/>
  <c r="S12" i="33" s="1"/>
  <c r="H12" i="39"/>
  <c r="AB12" i="39" s="1"/>
  <c r="F39" i="40"/>
  <c r="S39" i="40" s="1"/>
  <c r="BA14"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A19" i="40"/>
  <c r="S28" i="40"/>
  <c r="U21" i="40"/>
  <c r="AB19" i="40"/>
  <c r="U35" i="39"/>
  <c r="F32" i="39"/>
  <c r="F106" i="39"/>
  <c r="G106" i="39" s="1"/>
  <c r="H106" i="39" s="1"/>
  <c r="I106" i="39" s="1"/>
  <c r="J106" i="39" s="1"/>
  <c r="K106" i="39" s="1"/>
  <c r="L106" i="39" s="1"/>
  <c r="M106" i="39" s="1"/>
  <c r="AB27" i="39"/>
  <c r="J21" i="39"/>
  <c r="W21" i="39" s="1"/>
  <c r="F21" i="39"/>
  <c r="S21" i="39" s="1"/>
  <c r="G94" i="39"/>
  <c r="H21" i="39"/>
  <c r="AB21" i="39" s="1"/>
  <c r="W19" i="39"/>
  <c r="S17" i="39"/>
  <c r="S9" i="39"/>
  <c r="U14" i="39"/>
  <c r="AC13" i="39"/>
  <c r="S23" i="36"/>
  <c r="U13" i="36"/>
  <c r="U26" i="36"/>
  <c r="AA26" i="36"/>
  <c r="AA34" i="36"/>
  <c r="AC26" i="36"/>
  <c r="AA22" i="36"/>
  <c r="W14" i="36"/>
  <c r="AB14" i="36"/>
  <c r="U22" i="36"/>
  <c r="AA25" i="36"/>
  <c r="U23" i="36"/>
  <c r="AB20" i="36"/>
  <c r="U16" i="36"/>
  <c r="S14" i="36"/>
  <c r="AA25" i="35"/>
  <c r="S23" i="35"/>
  <c r="W24" i="35"/>
  <c r="AB13" i="35"/>
  <c r="U29" i="35"/>
  <c r="U28" i="35"/>
  <c r="AB27" i="35"/>
  <c r="U36" i="35"/>
  <c r="U32" i="35"/>
  <c r="AC30" i="35"/>
  <c r="S32" i="35"/>
  <c r="S28" i="35"/>
  <c r="AB16" i="35"/>
  <c r="U22" i="35"/>
  <c r="S20" i="35"/>
  <c r="AC20" i="35"/>
  <c r="S22" i="35"/>
  <c r="U14" i="35"/>
  <c r="AA11" i="35"/>
  <c r="AC9" i="35"/>
  <c r="W9" i="35"/>
  <c r="AC12" i="35"/>
  <c r="W13" i="35"/>
  <c r="F9" i="35"/>
  <c r="S9" i="35" s="1"/>
  <c r="H9" i="35"/>
  <c r="U9" i="35" s="1"/>
  <c r="AB40" i="37"/>
  <c r="W27" i="37"/>
  <c r="U29"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A13" i="37"/>
  <c r="H10" i="37"/>
  <c r="AB10" i="37" s="1"/>
  <c r="F63" i="37"/>
  <c r="G63" i="37" s="1"/>
  <c r="H63" i="37" s="1"/>
  <c r="I63" i="37" s="1"/>
  <c r="J63" i="37" s="1"/>
  <c r="K63" i="37" s="1"/>
  <c r="L63" i="37" s="1"/>
  <c r="M63" i="37" s="1"/>
  <c r="F11" i="37"/>
  <c r="S11" i="37" s="1"/>
  <c r="W25" i="34"/>
  <c r="AB8" i="34"/>
  <c r="AA33" i="34"/>
  <c r="U43" i="34"/>
  <c r="AC39" i="34"/>
  <c r="W41" i="34"/>
  <c r="AC42" i="34"/>
  <c r="U39" i="34"/>
  <c r="S43" i="34"/>
  <c r="AB41" i="34"/>
  <c r="AA45" i="34"/>
  <c r="AA25" i="34"/>
  <c r="U28" i="34"/>
  <c r="S17" i="34"/>
  <c r="AA29" i="34"/>
  <c r="S23" i="34"/>
  <c r="U15" i="34"/>
  <c r="H10" i="34"/>
  <c r="AB10" i="34" s="1"/>
  <c r="F11" i="34"/>
  <c r="S11" i="34" s="1"/>
  <c r="F70" i="34"/>
  <c r="G70" i="34" s="1"/>
  <c r="H70" i="34" s="1"/>
  <c r="I70" i="34" s="1"/>
  <c r="J70" i="34" s="1"/>
  <c r="K70" i="34" s="1"/>
  <c r="L70" i="34" s="1"/>
  <c r="M70" i="34" s="1"/>
  <c r="AA29" i="33"/>
  <c r="W38" i="33"/>
  <c r="H41" i="33"/>
  <c r="U41" i="33" s="1"/>
  <c r="F121" i="33"/>
  <c r="G121" i="33" s="1"/>
  <c r="H121" i="33" s="1"/>
  <c r="I121" i="33" s="1"/>
  <c r="J121" i="33" s="1"/>
  <c r="K121" i="33" s="1"/>
  <c r="L121" i="33" s="1"/>
  <c r="M121" i="33" s="1"/>
  <c r="F36" i="33"/>
  <c r="AA36" i="33" s="1"/>
  <c r="G111" i="33"/>
  <c r="G108" i="33"/>
  <c r="H108" i="33" s="1"/>
  <c r="I108" i="33" s="1"/>
  <c r="J108" i="33" s="1"/>
  <c r="K108" i="33" s="1"/>
  <c r="L108" i="33" s="1"/>
  <c r="M108" i="33" s="1"/>
  <c r="J35" i="33"/>
  <c r="W35" i="33" s="1"/>
  <c r="S37" i="33"/>
  <c r="AA37" i="33"/>
  <c r="F101" i="33"/>
  <c r="G101" i="33"/>
  <c r="H101" i="33" s="1"/>
  <c r="I101" i="33" s="1"/>
  <c r="J101" i="33" s="1"/>
  <c r="K101" i="33" s="1"/>
  <c r="L101" i="33" s="1"/>
  <c r="M101" i="33" s="1"/>
  <c r="J32" i="33"/>
  <c r="AC32" i="33" s="1"/>
  <c r="F91" i="33"/>
  <c r="G91" i="33" s="1"/>
  <c r="H91" i="33" s="1"/>
  <c r="I91" i="33" s="1"/>
  <c r="J91" i="33" s="1"/>
  <c r="K91" i="33" s="1"/>
  <c r="L91" i="33" s="1"/>
  <c r="M91" i="33" s="1"/>
  <c r="H27" i="33"/>
  <c r="AB27" i="33" s="1"/>
  <c r="F87" i="33"/>
  <c r="G87" i="33" s="1"/>
  <c r="H87" i="33" s="1"/>
  <c r="I87" i="33" s="1"/>
  <c r="J87" i="33" s="1"/>
  <c r="K87" i="33" s="1"/>
  <c r="L87" i="33" s="1"/>
  <c r="M87" i="33" s="1"/>
  <c r="H25" i="33"/>
  <c r="U25" i="33" s="1"/>
  <c r="F25" i="33"/>
  <c r="S25" i="33" s="1"/>
  <c r="F81" i="33"/>
  <c r="G81" i="33" s="1"/>
  <c r="F19" i="33"/>
  <c r="S19" i="33" s="1"/>
  <c r="J17" i="33"/>
  <c r="W17" i="33" s="1"/>
  <c r="J10" i="33"/>
  <c r="W10" i="33" s="1"/>
  <c r="H10" i="33"/>
  <c r="U10" i="33" s="1"/>
  <c r="AC11" i="33"/>
  <c r="W43" i="21"/>
  <c r="W36" i="21"/>
  <c r="W41" i="21"/>
  <c r="AB39" i="21"/>
  <c r="AA43" i="21"/>
  <c r="S39" i="21"/>
  <c r="AA38" i="21"/>
  <c r="AA36" i="21"/>
  <c r="AC40" i="21"/>
  <c r="J15" i="21"/>
  <c r="AC15" i="21" s="1"/>
  <c r="F77" i="21"/>
  <c r="G77" i="21" s="1"/>
  <c r="F23" i="21"/>
  <c r="AA23" i="21" s="1"/>
  <c r="E85" i="21"/>
  <c r="AA14" i="21"/>
  <c r="D120" i="9"/>
  <c r="D121" i="9" s="1"/>
  <c r="D7" i="52" s="1"/>
  <c r="F34" i="67"/>
  <c r="F62" i="67" s="1"/>
  <c r="M20" i="67"/>
  <c r="F34" i="15"/>
  <c r="F62" i="15" s="1"/>
  <c r="BL17" i="3"/>
  <c r="J56" i="9"/>
  <c r="J57" i="9" s="1"/>
  <c r="J59" i="9" s="1"/>
  <c r="J61" i="9" s="1"/>
  <c r="A24" i="51"/>
  <c r="B18" i="72" s="1"/>
  <c r="E32" i="6"/>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K11" i="1"/>
  <c r="M11" i="1" s="1"/>
  <c r="O11" i="1" s="1"/>
  <c r="B9" i="1"/>
  <c r="E9" i="1" s="1"/>
  <c r="K7" i="1"/>
  <c r="M7" i="1" s="1"/>
  <c r="O7" i="1" s="1"/>
  <c r="P7" i="1" s="1"/>
  <c r="G1" i="67"/>
  <c r="W23" i="40"/>
  <c r="U32" i="40"/>
  <c r="AB31" i="40"/>
  <c r="S37" i="40"/>
  <c r="AB28" i="40"/>
  <c r="W28" i="40"/>
  <c r="W34" i="40"/>
  <c r="W19" i="40"/>
  <c r="W27" i="40"/>
  <c r="S36" i="40"/>
  <c r="S13" i="40"/>
  <c r="AA15" i="40"/>
  <c r="U11" i="40"/>
  <c r="AB13" i="40"/>
  <c r="U15" i="40"/>
  <c r="AB17" i="40"/>
  <c r="U8" i="40"/>
  <c r="S8" i="40"/>
  <c r="U41" i="39"/>
  <c r="W25" i="39"/>
  <c r="AC25" i="39"/>
  <c r="U13" i="39"/>
  <c r="AB13" i="39"/>
  <c r="AA13" i="39"/>
  <c r="S13" i="39"/>
  <c r="S14" i="39"/>
  <c r="AA14" i="39"/>
  <c r="U43" i="39"/>
  <c r="AB43" i="39"/>
  <c r="AB11" i="39"/>
  <c r="U11" i="39"/>
  <c r="AA27" i="39"/>
  <c r="S27" i="39"/>
  <c r="W17" i="39"/>
  <c r="AC17" i="39"/>
  <c r="S23" i="39"/>
  <c r="AA45" i="39"/>
  <c r="AB39" i="39"/>
  <c r="W34" i="39"/>
  <c r="U38" i="39"/>
  <c r="S8" i="39"/>
  <c r="AC25" i="36"/>
  <c r="U32" i="36"/>
  <c r="AB28" i="36"/>
  <c r="W9" i="36"/>
  <c r="W22" i="36"/>
  <c r="W23" i="36"/>
  <c r="AB20" i="35"/>
  <c r="AC25" i="35"/>
  <c r="U25" i="35"/>
  <c r="S24" i="35"/>
  <c r="U24" i="35"/>
  <c r="S35" i="35"/>
  <c r="AA16" i="35"/>
  <c r="AA35" i="37"/>
  <c r="S27" i="37"/>
  <c r="S28" i="37"/>
  <c r="W32" i="37"/>
  <c r="U36" i="37"/>
  <c r="S40" i="37"/>
  <c r="U38" i="37"/>
  <c r="AB37" i="37"/>
  <c r="AC34" i="37"/>
  <c r="AB35" i="37"/>
  <c r="U19" i="37"/>
  <c r="AA29" i="37"/>
  <c r="U8" i="37"/>
  <c r="AB40" i="34"/>
  <c r="U19" i="34"/>
  <c r="W19" i="34"/>
  <c r="AB33" i="34"/>
  <c r="AC45" i="34"/>
  <c r="AA30" i="34"/>
  <c r="AB45" i="34"/>
  <c r="U25" i="34"/>
  <c r="AB36" i="34"/>
  <c r="AC14"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AC37" i="33"/>
  <c r="U38" i="33"/>
  <c r="S30" i="33"/>
  <c r="AA30" i="33"/>
  <c r="S31" i="33"/>
  <c r="AA31" i="33"/>
  <c r="AC13" i="33"/>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S46" i="21"/>
  <c r="H45" i="21"/>
  <c r="U45" i="21" s="1"/>
  <c r="F29" i="21"/>
  <c r="AA29" i="21" s="1"/>
  <c r="F13" i="21"/>
  <c r="AA13" i="21" s="1"/>
  <c r="AC38" i="21"/>
  <c r="H32" i="21"/>
  <c r="U32" i="21" s="1"/>
  <c r="H9" i="21"/>
  <c r="AB9" i="21" s="1"/>
  <c r="J9" i="21"/>
  <c r="W9" i="21" s="1"/>
  <c r="J32" i="21"/>
  <c r="W32" i="21" s="1"/>
  <c r="F32" i="21"/>
  <c r="S32" i="21" s="1"/>
  <c r="AA31" i="21"/>
  <c r="U17" i="21"/>
  <c r="S19" i="21"/>
  <c r="S9" i="21"/>
  <c r="AA9" i="21"/>
  <c r="K141" i="21"/>
  <c r="K144" i="21"/>
  <c r="K143" i="21"/>
  <c r="AB25" i="21"/>
  <c r="W13" i="21"/>
  <c r="W42" i="21"/>
  <c r="AC45" i="21"/>
  <c r="F10" i="21"/>
  <c r="AA10" i="21" s="1"/>
  <c r="K145" i="21"/>
  <c r="W25" i="21"/>
  <c r="W31" i="21"/>
  <c r="S27" i="21"/>
  <c r="S17" i="21"/>
  <c r="AC26" i="21"/>
  <c r="S28" i="21"/>
  <c r="AC34" i="21"/>
  <c r="AB36" i="21"/>
  <c r="W30" i="40"/>
  <c r="C19" i="39"/>
  <c r="C17" i="40"/>
  <c r="C23" i="40"/>
  <c r="U30" i="40"/>
  <c r="B51" i="43"/>
  <c r="B54" i="43"/>
  <c r="B58" i="43"/>
  <c r="B62" i="43"/>
  <c r="B65" i="43"/>
  <c r="B69" i="43"/>
  <c r="D23" i="15"/>
  <c r="D22" i="15"/>
  <c r="E4" i="4"/>
  <c r="B5" i="62" s="1"/>
  <c r="B73" i="72" s="1"/>
  <c r="C4" i="4"/>
  <c r="AA39" i="40"/>
  <c r="J32" i="39"/>
  <c r="W32" i="39" s="1"/>
  <c r="H32" i="39"/>
  <c r="AB32" i="39" s="1"/>
  <c r="AA32" i="39"/>
  <c r="S32" i="39"/>
  <c r="AA21" i="39"/>
  <c r="AC17" i="37"/>
  <c r="S17" i="37"/>
  <c r="J19" i="37"/>
  <c r="W19" i="37" s="1"/>
  <c r="AA23" i="37"/>
  <c r="J23" i="37"/>
  <c r="W23" i="37" s="1"/>
  <c r="G79" i="37"/>
  <c r="J10" i="37"/>
  <c r="W10" i="37" s="1"/>
  <c r="H11" i="37"/>
  <c r="AB11" i="37" s="1"/>
  <c r="H11" i="34"/>
  <c r="U11" i="34" s="1"/>
  <c r="J10" i="34"/>
  <c r="AC10" i="34" s="1"/>
  <c r="H111" i="33"/>
  <c r="I111" i="33" s="1"/>
  <c r="J111" i="33" s="1"/>
  <c r="K111" i="33" s="1"/>
  <c r="L111" i="33" s="1"/>
  <c r="M111" i="33" s="1"/>
  <c r="J36" i="33"/>
  <c r="W36" i="33" s="1"/>
  <c r="H36" i="33"/>
  <c r="U36" i="33" s="1"/>
  <c r="J27" i="33"/>
  <c r="AC27" i="33" s="1"/>
  <c r="J25" i="33"/>
  <c r="AC25" i="33" s="1"/>
  <c r="H19" i="33"/>
  <c r="AB19" i="33" s="1"/>
  <c r="H17" i="33"/>
  <c r="U17" i="33" s="1"/>
  <c r="F17" i="33"/>
  <c r="S17" i="33" s="1"/>
  <c r="S37" i="21"/>
  <c r="J23" i="21"/>
  <c r="AC23" i="21" s="1"/>
  <c r="F85" i="21"/>
  <c r="G85" i="21" s="1"/>
  <c r="H23" i="21"/>
  <c r="D6" i="52"/>
  <c r="AP7" i="1"/>
  <c r="AA32" i="21"/>
  <c r="AC9" i="21"/>
  <c r="AB32" i="21"/>
  <c r="U32" i="39"/>
  <c r="J11" i="37"/>
  <c r="AC11" i="37" s="1"/>
  <c r="J11" i="34"/>
  <c r="W11" i="34" s="1"/>
  <c r="U23" i="21"/>
  <c r="AB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E13" i="76"/>
  <c r="F9" i="67"/>
  <c r="AO13" i="1"/>
  <c r="B8" i="76"/>
  <c r="M6" i="67"/>
  <c r="L48" i="67"/>
  <c r="F4" i="73"/>
  <c r="F42" i="67"/>
  <c r="M26" i="67"/>
  <c r="F8" i="67"/>
  <c r="E10" i="76"/>
  <c r="F38" i="67"/>
  <c r="F37" i="67"/>
  <c r="M29" i="67"/>
  <c r="M8" i="67"/>
  <c r="F43" i="67"/>
  <c r="J15" i="67"/>
  <c r="E11" i="76"/>
  <c r="M22" i="67"/>
  <c r="B12" i="76"/>
  <c r="M24" i="67"/>
  <c r="L47" i="67"/>
  <c r="B11" i="76"/>
  <c r="F16" i="67"/>
  <c r="F6" i="73"/>
  <c r="E7" i="76"/>
  <c r="C76" i="67"/>
  <c r="F7" i="73"/>
  <c r="B13" i="76"/>
  <c r="F6" i="67"/>
  <c r="E2" i="68"/>
  <c r="D6" i="73"/>
  <c r="F5" i="73"/>
  <c r="M28" i="67"/>
  <c r="E8" i="76"/>
  <c r="E2" i="69"/>
  <c r="E12" i="76"/>
  <c r="M23" i="67"/>
  <c r="B7" i="76"/>
  <c r="F20" i="31"/>
  <c r="M9" i="67"/>
  <c r="F26" i="67"/>
  <c r="B10" i="76"/>
  <c r="E9" i="76"/>
  <c r="F13" i="67"/>
  <c r="B9" i="76"/>
  <c r="AZ576" i="3" l="1"/>
  <c r="AZ560" i="3"/>
  <c r="AZ556" i="3"/>
  <c r="AZ534" i="3"/>
  <c r="AZ522" i="3"/>
  <c r="AZ504" i="3"/>
  <c r="AZ563" i="3"/>
  <c r="AZ566" i="3"/>
  <c r="B97" i="43"/>
  <c r="B75" i="43"/>
  <c r="W27" i="35"/>
  <c r="AC27" i="35"/>
  <c r="J24" i="36"/>
  <c r="F24" i="36"/>
  <c r="H31" i="39"/>
  <c r="F31" i="39"/>
  <c r="J31" i="39"/>
  <c r="J37" i="39"/>
  <c r="F37" i="39"/>
  <c r="AC8" i="40"/>
  <c r="W8" i="40"/>
  <c r="BA579" i="3"/>
  <c r="BL575" i="3"/>
  <c r="AZ575" i="3" s="1"/>
  <c r="BA570" i="3"/>
  <c r="BA562" i="3"/>
  <c r="BL558" i="3"/>
  <c r="BA555" i="3"/>
  <c r="BL551" i="3"/>
  <c r="BA546" i="3"/>
  <c r="BL542" i="3"/>
  <c r="AZ542" i="3" s="1"/>
  <c r="BA538" i="3"/>
  <c r="AZ538" i="3" s="1"/>
  <c r="BA531" i="3"/>
  <c r="BA530" i="3"/>
  <c r="AZ530" i="3" s="1"/>
  <c r="BL526" i="3"/>
  <c r="BA509" i="3"/>
  <c r="AZ509" i="3" s="1"/>
  <c r="BL506" i="3"/>
  <c r="AZ506" i="3" s="1"/>
  <c r="BA495" i="3"/>
  <c r="AC32" i="39"/>
  <c r="S13" i="21"/>
  <c r="AB15" i="21"/>
  <c r="AA31" i="37"/>
  <c r="AC29" i="37"/>
  <c r="AC17" i="34"/>
  <c r="AZ334" i="3"/>
  <c r="W43" i="39"/>
  <c r="G521" i="3"/>
  <c r="BL547" i="3"/>
  <c r="AZ547" i="3" s="1"/>
  <c r="BL553" i="3"/>
  <c r="AZ553" i="3" s="1"/>
  <c r="F43" i="39"/>
  <c r="W36" i="34"/>
  <c r="AC36" i="34"/>
  <c r="AC44" i="21"/>
  <c r="W44" i="21"/>
  <c r="AA35" i="34"/>
  <c r="S35" i="34"/>
  <c r="H14" i="33"/>
  <c r="J14" i="33"/>
  <c r="AC14" i="33" s="1"/>
  <c r="F14" i="33"/>
  <c r="AA14" i="33" s="1"/>
  <c r="H44" i="33"/>
  <c r="U44" i="33" s="1"/>
  <c r="J44" i="33"/>
  <c r="H31" i="34"/>
  <c r="F31" i="34"/>
  <c r="S31" i="34" s="1"/>
  <c r="F47" i="34"/>
  <c r="H47" i="34"/>
  <c r="AC22" i="35"/>
  <c r="W22" i="35"/>
  <c r="H24" i="36"/>
  <c r="U41" i="21"/>
  <c r="AB41" i="21"/>
  <c r="U30" i="36"/>
  <c r="AB30" i="36"/>
  <c r="BL584" i="3"/>
  <c r="BA584" i="3"/>
  <c r="BA583" i="3"/>
  <c r="BL580" i="3"/>
  <c r="BL570" i="3"/>
  <c r="BA569" i="3"/>
  <c r="G569" i="3"/>
  <c r="BA568" i="3"/>
  <c r="AZ568" i="3" s="1"/>
  <c r="BA567" i="3"/>
  <c r="BL564" i="3"/>
  <c r="BL562" i="3"/>
  <c r="BL561" i="3"/>
  <c r="AZ561" i="3" s="1"/>
  <c r="BA561" i="3"/>
  <c r="BA558" i="3"/>
  <c r="AZ558" i="3" s="1"/>
  <c r="BL555" i="3"/>
  <c r="BL554" i="3"/>
  <c r="AZ554" i="3" s="1"/>
  <c r="G553" i="3"/>
  <c r="BL549" i="3"/>
  <c r="AZ549" i="3" s="1"/>
  <c r="BA549" i="3"/>
  <c r="BA548" i="3"/>
  <c r="BL545" i="3"/>
  <c r="BL544" i="3"/>
  <c r="AZ544" i="3" s="1"/>
  <c r="G544" i="3"/>
  <c r="BA543" i="3"/>
  <c r="AZ543" i="3" s="1"/>
  <c r="BL541" i="3"/>
  <c r="BA541" i="3"/>
  <c r="BL540" i="3"/>
  <c r="BA536" i="3"/>
  <c r="AZ536" i="3" s="1"/>
  <c r="BL530" i="3"/>
  <c r="BL528" i="3"/>
  <c r="AZ528" i="3" s="1"/>
  <c r="BA521" i="3"/>
  <c r="BA520" i="3"/>
  <c r="BA519" i="3"/>
  <c r="BL510" i="3"/>
  <c r="BA508" i="3"/>
  <c r="AZ508" i="3" s="1"/>
  <c r="BA507" i="3"/>
  <c r="BL502" i="3"/>
  <c r="BA500" i="3"/>
  <c r="M54" i="43"/>
  <c r="N54" i="43" s="1"/>
  <c r="K54" i="43"/>
  <c r="AA17" i="33"/>
  <c r="U21" i="39"/>
  <c r="S44" i="21"/>
  <c r="W35" i="35"/>
  <c r="W29" i="36"/>
  <c r="U42" i="39"/>
  <c r="AB35" i="34"/>
  <c r="AC13" i="37"/>
  <c r="U19" i="39"/>
  <c r="AZ14" i="3"/>
  <c r="S11" i="40"/>
  <c r="AZ17" i="3"/>
  <c r="AZ389" i="3"/>
  <c r="AZ377" i="3"/>
  <c r="AZ372" i="3"/>
  <c r="AZ361" i="3"/>
  <c r="AZ356" i="3"/>
  <c r="AZ320" i="3"/>
  <c r="AZ304" i="3"/>
  <c r="AZ373" i="3"/>
  <c r="AZ306" i="3"/>
  <c r="H37" i="39"/>
  <c r="AB37" i="39" s="1"/>
  <c r="AA14" i="37"/>
  <c r="F13" i="36"/>
  <c r="H44" i="21"/>
  <c r="H28" i="21"/>
  <c r="U34" i="39"/>
  <c r="AB34" i="39"/>
  <c r="AB34" i="21"/>
  <c r="U34" i="21"/>
  <c r="J29" i="21"/>
  <c r="H29" i="21"/>
  <c r="AB39" i="40"/>
  <c r="U39" i="40"/>
  <c r="W23" i="21"/>
  <c r="W36" i="37"/>
  <c r="AC41" i="39"/>
  <c r="S32" i="37"/>
  <c r="W37" i="37"/>
  <c r="W35" i="40"/>
  <c r="W47" i="34"/>
  <c r="AZ498" i="3"/>
  <c r="AZ524" i="3"/>
  <c r="AZ552" i="3"/>
  <c r="J13" i="36"/>
  <c r="AC15" i="34"/>
  <c r="W15" i="34"/>
  <c r="F77" i="33"/>
  <c r="G77" i="33" s="1"/>
  <c r="H15" i="33"/>
  <c r="J15" i="33"/>
  <c r="AB34" i="35"/>
  <c r="AB38" i="40"/>
  <c r="U38" i="40"/>
  <c r="BA533" i="3"/>
  <c r="AZ533" i="3" s="1"/>
  <c r="BA532" i="3"/>
  <c r="AZ532" i="3" s="1"/>
  <c r="G529" i="3"/>
  <c r="BA526" i="3"/>
  <c r="BA525" i="3"/>
  <c r="AZ525" i="3" s="1"/>
  <c r="BL521" i="3"/>
  <c r="BL518" i="3"/>
  <c r="BA518" i="3"/>
  <c r="BA515" i="3"/>
  <c r="AZ515" i="3" s="1"/>
  <c r="G515" i="3"/>
  <c r="BA510" i="3"/>
  <c r="BA505" i="3"/>
  <c r="BL500" i="3"/>
  <c r="BA497" i="3"/>
  <c r="BL511" i="3"/>
  <c r="AZ511" i="3" s="1"/>
  <c r="BL519" i="3"/>
  <c r="AZ519" i="3" s="1"/>
  <c r="BL527" i="3"/>
  <c r="AZ527" i="3" s="1"/>
  <c r="BL569" i="3"/>
  <c r="AZ569" i="3" s="1"/>
  <c r="BL577" i="3"/>
  <c r="AZ577" i="3" s="1"/>
  <c r="BL583" i="3"/>
  <c r="AC11" i="40"/>
  <c r="J27" i="34"/>
  <c r="H27" i="34"/>
  <c r="AA38" i="40"/>
  <c r="S38" i="40"/>
  <c r="BL582" i="3"/>
  <c r="BA582" i="3"/>
  <c r="BR5" i="3"/>
  <c r="BA587" i="3"/>
  <c r="BT5" i="3"/>
  <c r="BK5" i="3"/>
  <c r="BA586" i="3"/>
  <c r="BN5" i="3"/>
  <c r="G29" i="6" s="1"/>
  <c r="BE5" i="3"/>
  <c r="AA42" i="21"/>
  <c r="S42" i="21"/>
  <c r="BB5" i="3"/>
  <c r="BL499" i="3"/>
  <c r="AZ499" i="3" s="1"/>
  <c r="BL505" i="3"/>
  <c r="AZ505" i="3" s="1"/>
  <c r="BL517" i="3"/>
  <c r="BL523" i="3"/>
  <c r="AZ523" i="3" s="1"/>
  <c r="BL529" i="3"/>
  <c r="BL535" i="3"/>
  <c r="BL559" i="3"/>
  <c r="AZ559" i="3" s="1"/>
  <c r="J14" i="37"/>
  <c r="U9" i="39"/>
  <c r="G579" i="3"/>
  <c r="G571" i="3"/>
  <c r="G570" i="3"/>
  <c r="E5" i="6"/>
  <c r="BI5" i="3"/>
  <c r="BO5" i="3"/>
  <c r="A15" i="62"/>
  <c r="B61" i="72" s="1"/>
  <c r="BA402" i="3"/>
  <c r="BL409" i="3"/>
  <c r="AZ419" i="3"/>
  <c r="G466" i="3"/>
  <c r="BL340" i="3"/>
  <c r="AZ340" i="3" s="1"/>
  <c r="BD5" i="3"/>
  <c r="G243" i="3"/>
  <c r="H5" i="3"/>
  <c r="BS5" i="3"/>
  <c r="BL455" i="3"/>
  <c r="BL479" i="3"/>
  <c r="BA319" i="3"/>
  <c r="AZ319" i="3" s="1"/>
  <c r="BA240" i="3"/>
  <c r="BL398" i="3"/>
  <c r="BL402" i="3"/>
  <c r="BL403" i="3"/>
  <c r="G406" i="3"/>
  <c r="BL416" i="3"/>
  <c r="G428" i="3"/>
  <c r="BA428" i="3"/>
  <c r="BA429" i="3"/>
  <c r="BA430" i="3"/>
  <c r="AZ430" i="3" s="1"/>
  <c r="G437" i="3"/>
  <c r="BA438" i="3"/>
  <c r="BA446" i="3"/>
  <c r="BL458" i="3"/>
  <c r="BL462" i="3"/>
  <c r="BA463" i="3"/>
  <c r="BA466" i="3"/>
  <c r="BA469" i="3"/>
  <c r="AZ469" i="3" s="1"/>
  <c r="BA470" i="3"/>
  <c r="BL472" i="3"/>
  <c r="G474" i="3"/>
  <c r="BA489" i="3"/>
  <c r="BA349" i="3"/>
  <c r="AZ349" i="3" s="1"/>
  <c r="BA368" i="3"/>
  <c r="BL368" i="3"/>
  <c r="BA374" i="3"/>
  <c r="AZ374" i="3" s="1"/>
  <c r="BL395" i="3"/>
  <c r="BL211" i="3"/>
  <c r="G218" i="3"/>
  <c r="BA218" i="3"/>
  <c r="BL218" i="3"/>
  <c r="BA220" i="3"/>
  <c r="BL220" i="3"/>
  <c r="BL221" i="3"/>
  <c r="BA228" i="3"/>
  <c r="BL237" i="3"/>
  <c r="BL238" i="3"/>
  <c r="BA247" i="3"/>
  <c r="BL247" i="3"/>
  <c r="G251" i="3"/>
  <c r="BA251" i="3"/>
  <c r="AZ251" i="3" s="1"/>
  <c r="BL251" i="3"/>
  <c r="G255" i="3"/>
  <c r="BL267" i="3"/>
  <c r="BL270" i="3"/>
  <c r="BA286" i="3"/>
  <c r="BA291" i="3"/>
  <c r="G126" i="3"/>
  <c r="BL161" i="3"/>
  <c r="G170" i="3"/>
  <c r="BA188" i="3"/>
  <c r="AZ188" i="3" s="1"/>
  <c r="B13" i="1"/>
  <c r="E13" i="1" s="1"/>
  <c r="K13" i="1"/>
  <c r="M13" i="1" s="1"/>
  <c r="O13" i="1" s="1"/>
  <c r="P13" i="1" s="1"/>
  <c r="B100" i="43"/>
  <c r="B68" i="43"/>
  <c r="C29" i="39"/>
  <c r="C64" i="71"/>
  <c r="D63" i="71"/>
  <c r="S80" i="71"/>
  <c r="B79" i="71"/>
  <c r="B78" i="71" s="1"/>
  <c r="BL399" i="3"/>
  <c r="G400" i="3"/>
  <c r="G401" i="3"/>
  <c r="G402" i="3"/>
  <c r="BA407" i="3"/>
  <c r="BA408" i="3"/>
  <c r="BA409" i="3"/>
  <c r="AZ409" i="3" s="1"/>
  <c r="G411" i="3"/>
  <c r="BA417" i="3"/>
  <c r="BL419" i="3"/>
  <c r="G420" i="3"/>
  <c r="G421" i="3"/>
  <c r="BL421" i="3"/>
  <c r="BL422" i="3"/>
  <c r="G431" i="3"/>
  <c r="G432" i="3"/>
  <c r="BA432" i="3"/>
  <c r="BA437" i="3"/>
  <c r="BA444" i="3"/>
  <c r="BA450" i="3"/>
  <c r="G452" i="3"/>
  <c r="G453" i="3"/>
  <c r="BA453" i="3"/>
  <c r="BA455" i="3"/>
  <c r="AZ455" i="3" s="1"/>
  <c r="BA458" i="3"/>
  <c r="BA462" i="3"/>
  <c r="BL465" i="3"/>
  <c r="G467" i="3"/>
  <c r="G472" i="3"/>
  <c r="BA473" i="3"/>
  <c r="G481" i="3"/>
  <c r="BL484" i="3"/>
  <c r="G485" i="3"/>
  <c r="BL490" i="3"/>
  <c r="BL308" i="3"/>
  <c r="AZ308" i="3" s="1"/>
  <c r="BL317" i="3"/>
  <c r="G318" i="3"/>
  <c r="G358" i="3"/>
  <c r="G362" i="3"/>
  <c r="BL365" i="3"/>
  <c r="AZ365" i="3" s="1"/>
  <c r="G366" i="3"/>
  <c r="BL381" i="3"/>
  <c r="AZ381" i="3" s="1"/>
  <c r="G382" i="3"/>
  <c r="BL386" i="3"/>
  <c r="G387" i="3"/>
  <c r="BA217" i="3"/>
  <c r="G220" i="3"/>
  <c r="BA225" i="3"/>
  <c r="BA227" i="3"/>
  <c r="AZ227" i="3" s="1"/>
  <c r="BL230" i="3"/>
  <c r="BA235" i="3"/>
  <c r="BL235" i="3"/>
  <c r="BL236" i="3"/>
  <c r="G237" i="3"/>
  <c r="BL242" i="3"/>
  <c r="BL243" i="3"/>
  <c r="G244" i="3"/>
  <c r="BA250" i="3"/>
  <c r="BL254" i="3"/>
  <c r="BL259" i="3"/>
  <c r="G266" i="3"/>
  <c r="G270" i="3"/>
  <c r="BL275" i="3"/>
  <c r="G277" i="3"/>
  <c r="G284" i="3"/>
  <c r="BL285" i="3"/>
  <c r="G116" i="3"/>
  <c r="BA134" i="3"/>
  <c r="B75" i="71"/>
  <c r="B74" i="71" s="1"/>
  <c r="S76" i="71"/>
  <c r="G410" i="3"/>
  <c r="BA411" i="3"/>
  <c r="BL423" i="3"/>
  <c r="G425" i="3"/>
  <c r="BL425" i="3"/>
  <c r="BL426" i="3"/>
  <c r="G429" i="3"/>
  <c r="BA431" i="3"/>
  <c r="BL433" i="3"/>
  <c r="BA436" i="3"/>
  <c r="G438" i="3"/>
  <c r="BL443" i="3"/>
  <c r="G445" i="3"/>
  <c r="BA448" i="3"/>
  <c r="BA451" i="3"/>
  <c r="AZ451" i="3" s="1"/>
  <c r="BA452" i="3"/>
  <c r="G456" i="3"/>
  <c r="BL457" i="3"/>
  <c r="G460" i="3"/>
  <c r="BL460" i="3"/>
  <c r="BL461" i="3"/>
  <c r="BL463" i="3"/>
  <c r="G465" i="3"/>
  <c r="G471" i="3"/>
  <c r="G475" i="3"/>
  <c r="BA476" i="3"/>
  <c r="BA485" i="3"/>
  <c r="BL488" i="3"/>
  <c r="G490" i="3"/>
  <c r="BA358" i="3"/>
  <c r="AZ358" i="3" s="1"/>
  <c r="BA392" i="3"/>
  <c r="AZ392" i="3" s="1"/>
  <c r="BL208" i="3"/>
  <c r="G210" i="3"/>
  <c r="BA214" i="3"/>
  <c r="BA216" i="3"/>
  <c r="AZ216" i="3" s="1"/>
  <c r="BL219" i="3"/>
  <c r="BL224" i="3"/>
  <c r="G227" i="3"/>
  <c r="BA233" i="3"/>
  <c r="AZ233" i="3" s="1"/>
  <c r="BL233" i="3"/>
  <c r="G235" i="3"/>
  <c r="BA249" i="3"/>
  <c r="BL249" i="3"/>
  <c r="G252" i="3"/>
  <c r="BA253" i="3"/>
  <c r="G258" i="3"/>
  <c r="BL262" i="3"/>
  <c r="BL263" i="3"/>
  <c r="G264" i="3"/>
  <c r="BL269" i="3"/>
  <c r="BA270" i="3"/>
  <c r="AZ270" i="3" s="1"/>
  <c r="BL280" i="3"/>
  <c r="G282" i="3"/>
  <c r="BA288" i="3"/>
  <c r="BA293" i="3"/>
  <c r="G295" i="3"/>
  <c r="BL298" i="3"/>
  <c r="BL299" i="3"/>
  <c r="G300" i="3"/>
  <c r="BA122" i="3"/>
  <c r="AZ122" i="3" s="1"/>
  <c r="BA125" i="3"/>
  <c r="BL127" i="3"/>
  <c r="AZ127" i="3" s="1"/>
  <c r="AC18" i="36"/>
  <c r="W18" i="36"/>
  <c r="U72" i="71"/>
  <c r="E71" i="71"/>
  <c r="E70" i="71" s="1"/>
  <c r="Y27" i="71"/>
  <c r="Z27" i="71" s="1"/>
  <c r="BA290" i="3"/>
  <c r="G292" i="3"/>
  <c r="G302" i="3"/>
  <c r="BL113" i="3"/>
  <c r="BL115" i="3"/>
  <c r="AZ115" i="3" s="1"/>
  <c r="BA118" i="3"/>
  <c r="BL118" i="3"/>
  <c r="BL125" i="3"/>
  <c r="BL126" i="3"/>
  <c r="G134" i="3"/>
  <c r="G144" i="3"/>
  <c r="BA144" i="3"/>
  <c r="AZ144" i="3" s="1"/>
  <c r="G147" i="3"/>
  <c r="BA149" i="3"/>
  <c r="BA156" i="3"/>
  <c r="AZ156" i="3" s="1"/>
  <c r="BA162" i="3"/>
  <c r="BA168" i="3"/>
  <c r="AZ168" i="3" s="1"/>
  <c r="BA169" i="3"/>
  <c r="AZ169" i="3" s="1"/>
  <c r="BL171" i="3"/>
  <c r="AZ171" i="3" s="1"/>
  <c r="BA174" i="3"/>
  <c r="BL181" i="3"/>
  <c r="BL186" i="3"/>
  <c r="G187" i="3"/>
  <c r="G204" i="3"/>
  <c r="G205" i="3"/>
  <c r="BA22" i="3"/>
  <c r="BA30" i="3"/>
  <c r="BL30" i="3"/>
  <c r="BL31" i="3"/>
  <c r="G38" i="3"/>
  <c r="BA40" i="3"/>
  <c r="BL40" i="3"/>
  <c r="BL41" i="3"/>
  <c r="BA48" i="3"/>
  <c r="BA49" i="3"/>
  <c r="G53" i="3"/>
  <c r="G66" i="3"/>
  <c r="G67" i="3"/>
  <c r="BA67" i="3"/>
  <c r="BA79" i="3"/>
  <c r="AZ79" i="3" s="1"/>
  <c r="G82" i="3"/>
  <c r="G86" i="3"/>
  <c r="G87" i="3"/>
  <c r="G92" i="3"/>
  <c r="G93" i="3"/>
  <c r="BA94" i="3"/>
  <c r="BA98" i="3"/>
  <c r="G99" i="3"/>
  <c r="BL103" i="3"/>
  <c r="BA104" i="3"/>
  <c r="G107" i="3"/>
  <c r="P27" i="6"/>
  <c r="X26" i="71"/>
  <c r="Y29" i="71"/>
  <c r="Z29" i="71" s="1"/>
  <c r="X25" i="71"/>
  <c r="C59" i="71"/>
  <c r="C23" i="71"/>
  <c r="B22" i="71"/>
  <c r="B21" i="71" s="1"/>
  <c r="B20" i="71" s="1"/>
  <c r="G128" i="3"/>
  <c r="BA133" i="3"/>
  <c r="G138" i="3"/>
  <c r="G146" i="3"/>
  <c r="BA148" i="3"/>
  <c r="AZ148" i="3" s="1"/>
  <c r="G150" i="3"/>
  <c r="G154" i="3"/>
  <c r="BL155" i="3"/>
  <c r="AZ155" i="3" s="1"/>
  <c r="BL158" i="3"/>
  <c r="G163" i="3"/>
  <c r="BA164" i="3"/>
  <c r="AZ164" i="3" s="1"/>
  <c r="BA166" i="3"/>
  <c r="AZ166" i="3" s="1"/>
  <c r="G171" i="3"/>
  <c r="BA182" i="3"/>
  <c r="BL185" i="3"/>
  <c r="G186" i="3"/>
  <c r="G18" i="3"/>
  <c r="BA19" i="3"/>
  <c r="G22" i="3"/>
  <c r="G26" i="3"/>
  <c r="BA27" i="3"/>
  <c r="G30" i="3"/>
  <c r="BL35" i="3"/>
  <c r="G36" i="3"/>
  <c r="G40" i="3"/>
  <c r="BA47" i="3"/>
  <c r="BA62" i="3"/>
  <c r="BA70" i="3"/>
  <c r="G73" i="3"/>
  <c r="BL74" i="3"/>
  <c r="BA103" i="3"/>
  <c r="J51" i="15"/>
  <c r="AB36" i="71"/>
  <c r="AA37" i="71"/>
  <c r="F27" i="71"/>
  <c r="F26" i="71" s="1"/>
  <c r="BA132" i="3"/>
  <c r="AZ132" i="3" s="1"/>
  <c r="BL135" i="3"/>
  <c r="AZ135" i="3" s="1"/>
  <c r="G166" i="3"/>
  <c r="BA194" i="3"/>
  <c r="BL194" i="3"/>
  <c r="BA198" i="3"/>
  <c r="BL205" i="3"/>
  <c r="G206" i="3"/>
  <c r="BL206" i="3"/>
  <c r="G21" i="3"/>
  <c r="BL24" i="3"/>
  <c r="G25" i="3"/>
  <c r="G29" i="3"/>
  <c r="BL34" i="3"/>
  <c r="G35" i="3"/>
  <c r="G39" i="3"/>
  <c r="BA43" i="3"/>
  <c r="BL44" i="3"/>
  <c r="G45" i="3"/>
  <c r="BL45" i="3"/>
  <c r="BA50" i="3"/>
  <c r="G56" i="3"/>
  <c r="BL56" i="3"/>
  <c r="BA58" i="3"/>
  <c r="BL59" i="3"/>
  <c r="BL60" i="3"/>
  <c r="BA61" i="3"/>
  <c r="BA65" i="3"/>
  <c r="G68" i="3"/>
  <c r="BL69" i="3"/>
  <c r="BA73" i="3"/>
  <c r="G76" i="3"/>
  <c r="BA88" i="3"/>
  <c r="BL88" i="3"/>
  <c r="G90" i="3"/>
  <c r="BL90" i="3"/>
  <c r="BL96" i="3"/>
  <c r="G106" i="3"/>
  <c r="BA106" i="3"/>
  <c r="BL108" i="3"/>
  <c r="BA111" i="3"/>
  <c r="G1" i="68"/>
  <c r="P67" i="71"/>
  <c r="D54" i="71"/>
  <c r="C30" i="71"/>
  <c r="D30" i="71" s="1"/>
  <c r="AB32" i="71"/>
  <c r="E51" i="71"/>
  <c r="E52" i="71" s="1"/>
  <c r="U52" i="71" s="1"/>
  <c r="B71" i="71"/>
  <c r="B70" i="71" s="1"/>
  <c r="C18" i="9"/>
  <c r="D18" i="9" s="1"/>
  <c r="W19" i="33"/>
  <c r="G13" i="3"/>
  <c r="H23" i="33"/>
  <c r="AB23" i="33" s="1"/>
  <c r="F23" i="33"/>
  <c r="F85" i="33"/>
  <c r="G85" i="33" s="1"/>
  <c r="J23" i="33"/>
  <c r="AC23" i="33" s="1"/>
  <c r="S43" i="33"/>
  <c r="W43" i="33"/>
  <c r="AB41" i="33"/>
  <c r="U39" i="33"/>
  <c r="S38" i="33"/>
  <c r="S39" i="33"/>
  <c r="AA35" i="33"/>
  <c r="AA25" i="33"/>
  <c r="AA28" i="33"/>
  <c r="S28" i="33"/>
  <c r="U27" i="33"/>
  <c r="S26" i="33"/>
  <c r="S15" i="33"/>
  <c r="U46" i="33"/>
  <c r="S46" i="33"/>
  <c r="AB44" i="33"/>
  <c r="U32" i="33"/>
  <c r="W32" i="33"/>
  <c r="S32" i="33"/>
  <c r="S27" i="33"/>
  <c r="W9" i="33"/>
  <c r="S11" i="33"/>
  <c r="U9" i="33"/>
  <c r="U14" i="33"/>
  <c r="AB14" i="33"/>
  <c r="AA12" i="33"/>
  <c r="W14" i="33"/>
  <c r="S14" i="33"/>
  <c r="S13" i="33"/>
  <c r="AA13" i="33"/>
  <c r="H13" i="33"/>
  <c r="U13" i="33" s="1"/>
  <c r="AC35" i="33"/>
  <c r="AC12" i="33"/>
  <c r="AC45" i="33"/>
  <c r="W25" i="33"/>
  <c r="W8" i="33"/>
  <c r="W46" i="33"/>
  <c r="W42" i="33"/>
  <c r="U42" i="33"/>
  <c r="AB29" i="33"/>
  <c r="U19" i="33"/>
  <c r="U40" i="33"/>
  <c r="AB21" i="33"/>
  <c r="S42" i="33"/>
  <c r="S40" i="33"/>
  <c r="AA34" i="33"/>
  <c r="S45" i="33"/>
  <c r="S41" i="33"/>
  <c r="D56" i="43"/>
  <c r="F30" i="69"/>
  <c r="F48" i="69" s="1"/>
  <c r="F28" i="67"/>
  <c r="D93" i="9"/>
  <c r="F32" i="67"/>
  <c r="F60" i="67" s="1"/>
  <c r="F30" i="11"/>
  <c r="C48" i="11" s="1"/>
  <c r="D68" i="9"/>
  <c r="F28" i="15"/>
  <c r="C28" i="15" s="1"/>
  <c r="M18" i="67"/>
  <c r="M18" i="15"/>
  <c r="F31" i="12"/>
  <c r="G1" i="69"/>
  <c r="G1" i="15"/>
  <c r="B6" i="1"/>
  <c r="E6" i="1" s="1"/>
  <c r="K1" i="12"/>
  <c r="BA13" i="3"/>
  <c r="BL13" i="3"/>
  <c r="C15" i="40"/>
  <c r="C21" i="40"/>
  <c r="B88" i="43"/>
  <c r="B67" i="43"/>
  <c r="B57" i="43"/>
  <c r="B79" i="43"/>
  <c r="B56" i="43"/>
  <c r="AC17" i="33"/>
  <c r="S36" i="33"/>
  <c r="AA15" i="21"/>
  <c r="W33" i="34"/>
  <c r="AA40" i="34"/>
  <c r="S31" i="40"/>
  <c r="U29" i="34"/>
  <c r="S23" i="21"/>
  <c r="W15" i="21"/>
  <c r="AA33" i="35"/>
  <c r="U25" i="39"/>
  <c r="S30" i="40"/>
  <c r="S15" i="37"/>
  <c r="AZ355" i="3"/>
  <c r="AZ313" i="3"/>
  <c r="AZ394" i="3"/>
  <c r="AC12" i="37"/>
  <c r="U14" i="40"/>
  <c r="AZ583" i="3"/>
  <c r="AZ502" i="3"/>
  <c r="W28" i="21"/>
  <c r="AC28" i="21"/>
  <c r="H12" i="36"/>
  <c r="J12" i="36"/>
  <c r="F12" i="36"/>
  <c r="AB26" i="37"/>
  <c r="U26" i="37"/>
  <c r="F36" i="39"/>
  <c r="H36" i="39"/>
  <c r="J36" i="39"/>
  <c r="AC36" i="39" s="1"/>
  <c r="BL581" i="3"/>
  <c r="BA581" i="3"/>
  <c r="BA580" i="3"/>
  <c r="AZ580" i="3" s="1"/>
  <c r="BL574" i="3"/>
  <c r="BA573" i="3"/>
  <c r="BL572" i="3"/>
  <c r="BA572" i="3"/>
  <c r="AZ572" i="3" s="1"/>
  <c r="BL571" i="3"/>
  <c r="AZ571" i="3"/>
  <c r="AC23" i="37"/>
  <c r="U9" i="21"/>
  <c r="W27" i="33"/>
  <c r="AA19" i="37"/>
  <c r="W17" i="21"/>
  <c r="AA27" i="40"/>
  <c r="AB27" i="40"/>
  <c r="AA12" i="40"/>
  <c r="BC5" i="3"/>
  <c r="E11" i="6" s="1"/>
  <c r="E60" i="39" s="1"/>
  <c r="AZ345" i="3"/>
  <c r="AZ318" i="3"/>
  <c r="AZ376" i="3"/>
  <c r="AZ327" i="3"/>
  <c r="AZ309" i="3"/>
  <c r="AZ521" i="3"/>
  <c r="AZ535" i="3"/>
  <c r="AZ573" i="3"/>
  <c r="AZ513" i="3"/>
  <c r="AZ570" i="3"/>
  <c r="AZ540" i="3"/>
  <c r="W44" i="39"/>
  <c r="AA44" i="33"/>
  <c r="AA11" i="36"/>
  <c r="S11" i="36"/>
  <c r="U26" i="33"/>
  <c r="AB26" i="33"/>
  <c r="H30" i="21"/>
  <c r="F30" i="21"/>
  <c r="AA40" i="21"/>
  <c r="S40" i="21"/>
  <c r="AB35" i="33"/>
  <c r="U35" i="33"/>
  <c r="H28" i="33"/>
  <c r="J28" i="33"/>
  <c r="AC28" i="36"/>
  <c r="W28" i="36"/>
  <c r="H33" i="36"/>
  <c r="J33" i="36"/>
  <c r="AC33" i="36" s="1"/>
  <c r="F33" i="36"/>
  <c r="AB31" i="36"/>
  <c r="U31" i="36"/>
  <c r="J39" i="37"/>
  <c r="F39" i="37"/>
  <c r="S39" i="37" s="1"/>
  <c r="H39" i="37"/>
  <c r="U23" i="33"/>
  <c r="AB25" i="33"/>
  <c r="W30" i="33"/>
  <c r="AB34" i="33"/>
  <c r="U25" i="36"/>
  <c r="AA36" i="35"/>
  <c r="S16" i="36"/>
  <c r="U12" i="39"/>
  <c r="AA12" i="39"/>
  <c r="AB36" i="33"/>
  <c r="AB45" i="21"/>
  <c r="AA19" i="33"/>
  <c r="F54" i="9"/>
  <c r="F32" i="15"/>
  <c r="F60" i="15" s="1"/>
  <c r="F52" i="9"/>
  <c r="F30" i="68"/>
  <c r="F48" i="68" s="1"/>
  <c r="W30" i="21"/>
  <c r="U37" i="33"/>
  <c r="AC32" i="34"/>
  <c r="AA31" i="34"/>
  <c r="AC20" i="36"/>
  <c r="S20" i="36"/>
  <c r="AA39" i="39"/>
  <c r="W37" i="40"/>
  <c r="S13" i="34"/>
  <c r="AC15" i="37"/>
  <c r="S15" i="39"/>
  <c r="U37" i="39"/>
  <c r="AC34" i="33"/>
  <c r="F29" i="6"/>
  <c r="AZ337" i="3"/>
  <c r="AZ531" i="3"/>
  <c r="AZ497" i="3"/>
  <c r="AZ579" i="3"/>
  <c r="AZ520" i="3"/>
  <c r="AZ574" i="3"/>
  <c r="AZ584" i="3"/>
  <c r="U33" i="40"/>
  <c r="AB33" i="40"/>
  <c r="J27" i="21"/>
  <c r="H27" i="21"/>
  <c r="F28" i="34"/>
  <c r="J28" i="34"/>
  <c r="AB34" i="40"/>
  <c r="U34" i="40"/>
  <c r="J14" i="40"/>
  <c r="F14" i="40"/>
  <c r="J33" i="40"/>
  <c r="F33" i="40"/>
  <c r="BA585" i="3"/>
  <c r="AC39" i="33"/>
  <c r="W39" i="33"/>
  <c r="H44" i="39"/>
  <c r="F44" i="39"/>
  <c r="AC31" i="40"/>
  <c r="W31" i="40"/>
  <c r="AB46" i="34"/>
  <c r="BL585" i="3"/>
  <c r="H25" i="37"/>
  <c r="F25" i="37"/>
  <c r="AZ387" i="3"/>
  <c r="AZ362" i="3"/>
  <c r="AZ338" i="3"/>
  <c r="AZ390" i="3"/>
  <c r="AZ371" i="3"/>
  <c r="AZ351" i="3"/>
  <c r="AZ336" i="3"/>
  <c r="AZ305" i="3"/>
  <c r="AZ360" i="3"/>
  <c r="AC31" i="33"/>
  <c r="AZ539" i="3"/>
  <c r="AZ529" i="3"/>
  <c r="AZ537" i="3"/>
  <c r="AZ518" i="3"/>
  <c r="AZ526" i="3"/>
  <c r="AZ546" i="3"/>
  <c r="AZ564" i="3"/>
  <c r="AB45" i="33"/>
  <c r="AA29" i="35"/>
  <c r="AB17" i="34"/>
  <c r="J12" i="34"/>
  <c r="H12" i="34"/>
  <c r="J25" i="37"/>
  <c r="AB9" i="40"/>
  <c r="U9" i="40"/>
  <c r="F9" i="34"/>
  <c r="AA9" i="34" s="1"/>
  <c r="J9" i="34"/>
  <c r="BL550" i="3"/>
  <c r="AZ458" i="3"/>
  <c r="AZ462" i="3"/>
  <c r="AZ402" i="3"/>
  <c r="AZ406" i="3"/>
  <c r="AZ443" i="3"/>
  <c r="AZ487" i="3"/>
  <c r="BL15" i="3"/>
  <c r="AZ15" i="3" s="1"/>
  <c r="BA398" i="3"/>
  <c r="AZ398" i="3" s="1"/>
  <c r="BA399" i="3"/>
  <c r="AZ399" i="3" s="1"/>
  <c r="BL401" i="3"/>
  <c r="BL404" i="3"/>
  <c r="BL405" i="3"/>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BL437" i="3"/>
  <c r="AZ437" i="3" s="1"/>
  <c r="G439" i="3"/>
  <c r="G440" i="3"/>
  <c r="BL441" i="3"/>
  <c r="BL442" i="3"/>
  <c r="BL444" i="3"/>
  <c r="AZ444" i="3" s="1"/>
  <c r="G446" i="3"/>
  <c r="G447" i="3"/>
  <c r="BL448" i="3"/>
  <c r="AZ448" i="3" s="1"/>
  <c r="G450" i="3"/>
  <c r="G451" i="3"/>
  <c r="BA454" i="3"/>
  <c r="BA457" i="3"/>
  <c r="AZ457" i="3" s="1"/>
  <c r="BA459" i="3"/>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BA397" i="3"/>
  <c r="G585" i="3"/>
  <c r="BL587" i="3"/>
  <c r="AZ587" i="3" s="1"/>
  <c r="BL586" i="3"/>
  <c r="AZ586" i="3" s="1"/>
  <c r="G574" i="3"/>
  <c r="BL16" i="3"/>
  <c r="AZ16" i="3" s="1"/>
  <c r="BA401" i="3"/>
  <c r="AZ401" i="3" s="1"/>
  <c r="BA403" i="3"/>
  <c r="AZ403" i="3" s="1"/>
  <c r="BA404" i="3"/>
  <c r="BA405" i="3"/>
  <c r="BL410" i="3"/>
  <c r="G412" i="3"/>
  <c r="BA422" i="3"/>
  <c r="AZ422" i="3" s="1"/>
  <c r="BL431" i="3"/>
  <c r="BL434" i="3"/>
  <c r="BL438" i="3"/>
  <c r="BL439" i="3"/>
  <c r="BA441" i="3"/>
  <c r="AZ441" i="3" s="1"/>
  <c r="BL445" i="3"/>
  <c r="BL446" i="3"/>
  <c r="BL449" i="3"/>
  <c r="BL450" i="3"/>
  <c r="BL452" i="3"/>
  <c r="BL456" i="3"/>
  <c r="BA464" i="3"/>
  <c r="BL467" i="3"/>
  <c r="BL468" i="3"/>
  <c r="BL470" i="3"/>
  <c r="BL473" i="3"/>
  <c r="AZ473" i="3" s="1"/>
  <c r="BL474"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BA275" i="3"/>
  <c r="AZ275" i="3" s="1"/>
  <c r="BL146" i="3"/>
  <c r="BL154" i="3"/>
  <c r="BL163" i="3"/>
  <c r="AZ163" i="3" s="1"/>
  <c r="BA551" i="3"/>
  <c r="AZ551" i="3" s="1"/>
  <c r="BA550" i="3"/>
  <c r="AZ550" i="3" s="1"/>
  <c r="BL548" i="3"/>
  <c r="AZ548" i="3" s="1"/>
  <c r="G398" i="3"/>
  <c r="BL400" i="3"/>
  <c r="AZ400" i="3" s="1"/>
  <c r="BL408" i="3"/>
  <c r="AZ408" i="3" s="1"/>
  <c r="BL411" i="3"/>
  <c r="AZ411" i="3" s="1"/>
  <c r="BL413" i="3"/>
  <c r="AZ413" i="3" s="1"/>
  <c r="G415" i="3"/>
  <c r="BL417" i="3"/>
  <c r="AZ417" i="3" s="1"/>
  <c r="BL418" i="3"/>
  <c r="BL420" i="3"/>
  <c r="G422" i="3"/>
  <c r="G423" i="3"/>
  <c r="BL424" i="3"/>
  <c r="G426" i="3"/>
  <c r="G427" i="3"/>
  <c r="BL428" i="3"/>
  <c r="AZ428" i="3" s="1"/>
  <c r="BL429" i="3"/>
  <c r="AZ429" i="3" s="1"/>
  <c r="BL432" i="3"/>
  <c r="AZ432" i="3" s="1"/>
  <c r="BL435" i="3"/>
  <c r="BL436" i="3"/>
  <c r="BA439" i="3"/>
  <c r="BA440" i="3"/>
  <c r="AZ440" i="3" s="1"/>
  <c r="BA442" i="3"/>
  <c r="BA445" i="3"/>
  <c r="BA447" i="3"/>
  <c r="AZ447" i="3" s="1"/>
  <c r="BA449" i="3"/>
  <c r="BL453" i="3"/>
  <c r="AZ453" i="3" s="1"/>
  <c r="BL454" i="3"/>
  <c r="G458" i="3"/>
  <c r="BL459" i="3"/>
  <c r="G461" i="3"/>
  <c r="G462" i="3"/>
  <c r="BA465" i="3"/>
  <c r="AZ465" i="3" s="1"/>
  <c r="BA467" i="3"/>
  <c r="BA468" i="3"/>
  <c r="BL471" i="3"/>
  <c r="AZ471"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AZ366" i="3" s="1"/>
  <c r="BL375" i="3"/>
  <c r="AZ375" i="3" s="1"/>
  <c r="BL385" i="3"/>
  <c r="BL289" i="3"/>
  <c r="BL397" i="3"/>
  <c r="BA210" i="3"/>
  <c r="BL210" i="3"/>
  <c r="BL212" i="3"/>
  <c r="BL214" i="3"/>
  <c r="AZ214" i="3" s="1"/>
  <c r="BL225" i="3"/>
  <c r="BL226" i="3"/>
  <c r="AZ226" i="3" s="1"/>
  <c r="BA239" i="3"/>
  <c r="BL239" i="3"/>
  <c r="BA241" i="3"/>
  <c r="BL241" i="3"/>
  <c r="BA244" i="3"/>
  <c r="BL244" i="3"/>
  <c r="BA246" i="3"/>
  <c r="BA252" i="3"/>
  <c r="AZ252" i="3" s="1"/>
  <c r="BA254" i="3"/>
  <c r="AZ254" i="3" s="1"/>
  <c r="BA256" i="3"/>
  <c r="BL256" i="3"/>
  <c r="BA258" i="3"/>
  <c r="BL264" i="3"/>
  <c r="BL266" i="3"/>
  <c r="BA268" i="3"/>
  <c r="BL273" i="3"/>
  <c r="G274" i="3"/>
  <c r="BA277" i="3"/>
  <c r="BL277" i="3"/>
  <c r="BA282" i="3"/>
  <c r="BL282" i="3"/>
  <c r="BA284" i="3"/>
  <c r="BL290" i="3"/>
  <c r="BL291" i="3"/>
  <c r="AZ291" i="3" s="1"/>
  <c r="BL293" i="3"/>
  <c r="BL294" i="3"/>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BL170" i="3"/>
  <c r="BA173" i="3"/>
  <c r="BA190" i="3"/>
  <c r="BA197" i="3"/>
  <c r="BA201" i="3"/>
  <c r="BA388" i="3"/>
  <c r="AZ388" i="3" s="1"/>
  <c r="BA396" i="3"/>
  <c r="BA209" i="3"/>
  <c r="BL217" i="3"/>
  <c r="AZ217" i="3" s="1"/>
  <c r="BA219" i="3"/>
  <c r="AZ219" i="3" s="1"/>
  <c r="BA221" i="3"/>
  <c r="BA223" i="3"/>
  <c r="AZ223" i="3" s="1"/>
  <c r="BL228" i="3"/>
  <c r="AZ228" i="3" s="1"/>
  <c r="BA230" i="3"/>
  <c r="AZ230" i="3" s="1"/>
  <c r="BL232" i="3"/>
  <c r="BL234" i="3"/>
  <c r="BA236" i="3"/>
  <c r="AZ236" i="3" s="1"/>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BA296" i="3"/>
  <c r="BA116" i="3"/>
  <c r="AZ116" i="3" s="1"/>
  <c r="BA121" i="3"/>
  <c r="BL121" i="3"/>
  <c r="BA124" i="3"/>
  <c r="AZ124" i="3" s="1"/>
  <c r="BA126" i="3"/>
  <c r="AZ126" i="3" s="1"/>
  <c r="BA129" i="3"/>
  <c r="BL133" i="3"/>
  <c r="AZ133" i="3" s="1"/>
  <c r="BL139" i="3"/>
  <c r="AZ139" i="3" s="1"/>
  <c r="BL141" i="3"/>
  <c r="BL143" i="3"/>
  <c r="AZ143" i="3" s="1"/>
  <c r="BL157" i="3"/>
  <c r="AZ157" i="3" s="1"/>
  <c r="BL159" i="3"/>
  <c r="AZ159" i="3" s="1"/>
  <c r="BA177" i="3"/>
  <c r="AZ177" i="3" s="1"/>
  <c r="BA178" i="3"/>
  <c r="BL198" i="3"/>
  <c r="AZ198" i="3" s="1"/>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3" i="3"/>
  <c r="AZ123" i="3" s="1"/>
  <c r="BA128" i="3"/>
  <c r="AZ128" i="3" s="1"/>
  <c r="BL134" i="3"/>
  <c r="BL137" i="3"/>
  <c r="G143" i="3"/>
  <c r="BA146" i="3"/>
  <c r="BA150" i="3"/>
  <c r="AZ150" i="3" s="1"/>
  <c r="G159" i="3"/>
  <c r="BL173" i="3"/>
  <c r="G174" i="3"/>
  <c r="BA176" i="3"/>
  <c r="AZ176" i="3" s="1"/>
  <c r="BL179" i="3"/>
  <c r="AZ179" i="3" s="1"/>
  <c r="G180" i="3"/>
  <c r="BA181" i="3"/>
  <c r="AZ181" i="3" s="1"/>
  <c r="BL183" i="3"/>
  <c r="AZ183" i="3" s="1"/>
  <c r="BA186" i="3"/>
  <c r="AZ186" i="3" s="1"/>
  <c r="AA21" i="33"/>
  <c r="S21" i="33"/>
  <c r="AA21" i="37"/>
  <c r="S21" i="37"/>
  <c r="AA34" i="71"/>
  <c r="AA30" i="71"/>
  <c r="D56" i="71"/>
  <c r="T56" i="71"/>
  <c r="C60" i="71"/>
  <c r="D59" i="71"/>
  <c r="N67" i="71"/>
  <c r="B66" i="71"/>
  <c r="F66" i="71"/>
  <c r="Q66" i="71" s="1"/>
  <c r="Q67" i="71"/>
  <c r="T80" i="71"/>
  <c r="C79" i="71"/>
  <c r="BL201" i="3"/>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BA71" i="3"/>
  <c r="BL77" i="3"/>
  <c r="AZ77" i="3" s="1"/>
  <c r="BL81" i="3"/>
  <c r="BA82" i="3"/>
  <c r="AZ82" i="3" s="1"/>
  <c r="BL83" i="3"/>
  <c r="G88" i="3"/>
  <c r="BA90" i="3"/>
  <c r="BA100" i="3"/>
  <c r="AZ100" i="3" s="1"/>
  <c r="AZ103" i="3"/>
  <c r="AA18" i="36"/>
  <c r="S18" i="36"/>
  <c r="F34" i="71"/>
  <c r="F35" i="71" s="1"/>
  <c r="F36" i="71" s="1"/>
  <c r="V36" i="71" s="1"/>
  <c r="AB33" i="71"/>
  <c r="AB28" i="71"/>
  <c r="T72" i="71"/>
  <c r="C71" i="71"/>
  <c r="U76" i="71"/>
  <c r="E75" i="71"/>
  <c r="E74" i="71" s="1"/>
  <c r="BL167" i="3"/>
  <c r="AZ167" i="3" s="1"/>
  <c r="G175" i="3"/>
  <c r="G176" i="3"/>
  <c r="BL178" i="3"/>
  <c r="BA180" i="3"/>
  <c r="AZ180" i="3" s="1"/>
  <c r="BL182" i="3"/>
  <c r="AZ182" i="3" s="1"/>
  <c r="G183" i="3"/>
  <c r="BA185" i="3"/>
  <c r="BL191" i="3"/>
  <c r="AZ191" i="3" s="1"/>
  <c r="G192" i="3"/>
  <c r="BA193" i="3"/>
  <c r="BA196" i="3"/>
  <c r="AZ196" i="3" s="1"/>
  <c r="G203" i="3"/>
  <c r="BA205" i="3"/>
  <c r="AZ205" i="3" s="1"/>
  <c r="G20" i="3"/>
  <c r="BL20" i="3"/>
  <c r="BA21" i="3"/>
  <c r="AZ21" i="3" s="1"/>
  <c r="BA25" i="3"/>
  <c r="BA26" i="3"/>
  <c r="G28" i="3"/>
  <c r="BL28" i="3"/>
  <c r="BA29" i="3"/>
  <c r="AZ29" i="3" s="1"/>
  <c r="BA36" i="3"/>
  <c r="BL38" i="3"/>
  <c r="BA39" i="3"/>
  <c r="AZ39" i="3" s="1"/>
  <c r="BL47" i="3"/>
  <c r="AZ47" i="3" s="1"/>
  <c r="G49" i="3"/>
  <c r="G50" i="3"/>
  <c r="G52" i="3"/>
  <c r="BA52" i="3"/>
  <c r="AZ52" i="3" s="1"/>
  <c r="BA53" i="3"/>
  <c r="AZ53" i="3" s="1"/>
  <c r="BA54" i="3"/>
  <c r="BL57" i="3"/>
  <c r="G59" i="3"/>
  <c r="G62" i="3"/>
  <c r="BL62" i="3"/>
  <c r="AZ62" i="3" s="1"/>
  <c r="BL63" i="3"/>
  <c r="G65" i="3"/>
  <c r="BL65" i="3"/>
  <c r="AZ65" i="3" s="1"/>
  <c r="BL66" i="3"/>
  <c r="BL67" i="3"/>
  <c r="AZ67" i="3" s="1"/>
  <c r="G69" i="3"/>
  <c r="G70" i="3"/>
  <c r="BL70" i="3"/>
  <c r="AZ70" i="3" s="1"/>
  <c r="BL71" i="3"/>
  <c r="BL72" i="3"/>
  <c r="AZ72" i="3" s="1"/>
  <c r="G74" i="3"/>
  <c r="G75" i="3"/>
  <c r="BL75" i="3"/>
  <c r="BL91" i="3"/>
  <c r="BL100" i="3"/>
  <c r="BL105" i="3"/>
  <c r="AZ105" i="3" s="1"/>
  <c r="BL107" i="3"/>
  <c r="G112" i="3"/>
  <c r="BL112" i="3"/>
  <c r="F40" i="68"/>
  <c r="C21" i="68"/>
  <c r="AC29" i="39"/>
  <c r="W29" i="39"/>
  <c r="D52" i="71"/>
  <c r="D51" i="71"/>
  <c r="E28" i="71"/>
  <c r="AA27" i="71"/>
  <c r="AA28" i="71"/>
  <c r="D38" i="71"/>
  <c r="C39" i="71"/>
  <c r="C31" i="71"/>
  <c r="Y30" i="71"/>
  <c r="Z30" i="71" s="1"/>
  <c r="AA38" i="71"/>
  <c r="AA39" i="71"/>
  <c r="D84" i="71"/>
  <c r="C83" i="71"/>
  <c r="AB26" i="7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BA38" i="3"/>
  <c r="BA41" i="3"/>
  <c r="AZ41" i="3" s="1"/>
  <c r="BA42" i="3"/>
  <c r="G46" i="3"/>
  <c r="BL48" i="3"/>
  <c r="BL54" i="3"/>
  <c r="BL55" i="3"/>
  <c r="AZ55" i="3" s="1"/>
  <c r="G57" i="3"/>
  <c r="BA59" i="3"/>
  <c r="AZ59" i="3" s="1"/>
  <c r="G61" i="3"/>
  <c r="BL61" i="3"/>
  <c r="AZ61" i="3" s="1"/>
  <c r="BA64" i="3"/>
  <c r="AZ64" i="3" s="1"/>
  <c r="BL68" i="3"/>
  <c r="BA69" i="3"/>
  <c r="AZ69" i="3" s="1"/>
  <c r="BL73" i="3"/>
  <c r="BA74" i="3"/>
  <c r="AZ74" i="3" s="1"/>
  <c r="BA75" i="3"/>
  <c r="AZ75" i="3" s="1"/>
  <c r="BA78" i="3"/>
  <c r="BA80" i="3"/>
  <c r="G84" i="3"/>
  <c r="BL84" i="3"/>
  <c r="AZ84" i="3" s="1"/>
  <c r="BA89" i="3"/>
  <c r="BL92" i="3"/>
  <c r="BL94" i="3"/>
  <c r="AZ94" i="3" s="1"/>
  <c r="BL99" i="3"/>
  <c r="BA101" i="3"/>
  <c r="AZ101" i="3" s="1"/>
  <c r="BA102" i="3"/>
  <c r="BL110" i="3"/>
  <c r="G111" i="3"/>
  <c r="C40" i="68"/>
  <c r="D72" i="71"/>
  <c r="P65" i="71"/>
  <c r="P66" i="71"/>
  <c r="Y26" i="71"/>
  <c r="Z26" i="71" s="1"/>
  <c r="C28" i="71"/>
  <c r="Y28" i="71"/>
  <c r="Z28" i="71" s="1"/>
  <c r="Y25" i="71"/>
  <c r="Z25" i="71" s="1"/>
  <c r="Y35" i="71"/>
  <c r="Z35" i="71" s="1"/>
  <c r="Y37" i="71"/>
  <c r="Z37" i="71" s="1"/>
  <c r="X36" i="71"/>
  <c r="X35" i="71"/>
  <c r="X38" i="71"/>
  <c r="C47" i="71"/>
  <c r="D47" i="71" s="1"/>
  <c r="D46" i="71"/>
  <c r="V24" i="71"/>
  <c r="E23" i="71"/>
  <c r="E22" i="71" s="1"/>
  <c r="E21" i="71" s="1"/>
  <c r="E20" i="71" s="1"/>
  <c r="E19" i="71" s="1"/>
  <c r="E18" i="71" s="1"/>
  <c r="E17" i="71" s="1"/>
  <c r="E16" i="71" s="1"/>
  <c r="G81" i="3"/>
  <c r="G85" i="3"/>
  <c r="BL85" i="3"/>
  <c r="BA86" i="3"/>
  <c r="AZ86" i="3" s="1"/>
  <c r="BA87" i="3"/>
  <c r="BA91" i="3"/>
  <c r="G96" i="3"/>
  <c r="BL97" i="3"/>
  <c r="AZ97" i="3" s="1"/>
  <c r="BL101" i="3"/>
  <c r="BL102" i="3"/>
  <c r="G104" i="3"/>
  <c r="G105" i="3"/>
  <c r="BL106" i="3"/>
  <c r="BA108" i="3"/>
  <c r="AZ108" i="3" s="1"/>
  <c r="BA110" i="3"/>
  <c r="AZ110" i="3" s="1"/>
  <c r="F3" i="35"/>
  <c r="S25" i="40"/>
  <c r="B77" i="43"/>
  <c r="AA18" i="35"/>
  <c r="O67" i="71"/>
  <c r="AB27" i="71"/>
  <c r="C87" i="71"/>
  <c r="E79" i="71"/>
  <c r="E78" i="71" s="1"/>
  <c r="AB25" i="71"/>
  <c r="C43" i="71"/>
  <c r="C35" i="71"/>
  <c r="N68" i="71"/>
  <c r="E38" i="71"/>
  <c r="E39" i="71" s="1"/>
  <c r="E40" i="71" s="1"/>
  <c r="U40" i="71" s="1"/>
  <c r="B34" i="71"/>
  <c r="B35" i="71" s="1"/>
  <c r="B36" i="71" s="1"/>
  <c r="S36" i="71" s="1"/>
  <c r="X33" i="71"/>
  <c r="AB37" i="71"/>
  <c r="G110" i="3"/>
  <c r="BL111" i="3"/>
  <c r="AZ111" i="3" s="1"/>
  <c r="U29" i="39"/>
  <c r="C66" i="71"/>
  <c r="S28" i="71"/>
  <c r="X28" i="71"/>
  <c r="X32" i="71"/>
  <c r="F40" i="71"/>
  <c r="V40" i="71" s="1"/>
  <c r="AB38" i="71"/>
  <c r="F75" i="71"/>
  <c r="F74" i="71" s="1"/>
  <c r="E35" i="71"/>
  <c r="E36" i="71" s="1"/>
  <c r="U36" i="71" s="1"/>
  <c r="AB31" i="71"/>
  <c r="AA36" i="71"/>
  <c r="B47" i="71"/>
  <c r="B48" i="71" s="1"/>
  <c r="S48" i="71" s="1"/>
  <c r="F9" i="1"/>
  <c r="G9" i="1" s="1"/>
  <c r="F10" i="1"/>
  <c r="G10" i="1" s="1"/>
  <c r="F8" i="1"/>
  <c r="G8" i="1" s="1"/>
  <c r="H69" i="43"/>
  <c r="S23" i="33"/>
  <c r="AA23" i="33"/>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G50" i="43" s="1"/>
  <c r="C28" i="67"/>
  <c r="H83" i="43"/>
  <c r="S22" i="31"/>
  <c r="R22" i="31" s="1"/>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I4" i="6"/>
  <c r="G3" i="43" s="1"/>
  <c r="J26" i="43" s="1"/>
  <c r="E29" i="6"/>
  <c r="K15"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H16" i="1"/>
  <c r="P11" i="1"/>
  <c r="D9" i="11"/>
  <c r="C9" i="11" s="1"/>
  <c r="D19" i="12"/>
  <c r="C19" i="12" s="1"/>
  <c r="AZ13" i="3"/>
  <c r="O9" i="1"/>
  <c r="P9" i="1" s="1"/>
  <c r="O12" i="1"/>
  <c r="P12" i="1" s="1"/>
  <c r="O8" i="1"/>
  <c r="P8" i="1" s="1"/>
  <c r="H73" i="43"/>
  <c r="H90" i="43"/>
  <c r="O23" i="43"/>
  <c r="I18" i="43"/>
  <c r="E17" i="43" s="1"/>
  <c r="A1" i="79"/>
  <c r="H55" i="43"/>
  <c r="G55" i="43" s="1"/>
  <c r="H86" i="43"/>
  <c r="H87" i="43"/>
  <c r="H89" i="43"/>
  <c r="H88" i="43"/>
  <c r="H84" i="43"/>
  <c r="C69" i="39"/>
  <c r="D67" i="39"/>
  <c r="D69" i="39" s="1"/>
  <c r="T35" i="4"/>
  <c r="A19" i="51" s="1"/>
  <c r="B14" i="72" s="1"/>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AD58" i="33" s="1"/>
  <c r="AE58" i="33" s="1"/>
  <c r="AF58" i="33" s="1"/>
  <c r="AG58" i="33" s="1"/>
  <c r="AH58" i="33" s="1"/>
  <c r="AI58" i="33" s="1"/>
  <c r="AJ58" i="33" s="1"/>
  <c r="AK58" i="33" s="1"/>
  <c r="AL58" i="33"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F51" i="67"/>
  <c r="F65" i="67"/>
  <c r="J53" i="67"/>
  <c r="J57" i="67"/>
  <c r="J55" i="67" s="1"/>
  <c r="J58" i="67" s="1"/>
  <c r="Q50" i="67" s="1"/>
  <c r="L56" i="67"/>
  <c r="I54" i="67"/>
  <c r="F66" i="67"/>
  <c r="Q71" i="67"/>
  <c r="C27" i="67"/>
  <c r="F71" i="67"/>
  <c r="N59" i="67"/>
  <c r="L59" i="67"/>
  <c r="L58" i="67"/>
  <c r="M59" i="67"/>
  <c r="B13" i="70"/>
  <c r="C36" i="68"/>
  <c r="D9" i="69"/>
  <c r="C36" i="69"/>
  <c r="D9" i="68"/>
  <c r="M24" i="15"/>
  <c r="L47" i="15"/>
  <c r="D5" i="73"/>
  <c r="J15" i="15"/>
  <c r="F7" i="15"/>
  <c r="D7" i="73"/>
  <c r="M22" i="15"/>
  <c r="M29" i="15"/>
  <c r="F36" i="15"/>
  <c r="F26" i="15"/>
  <c r="M26" i="15"/>
  <c r="F40" i="67"/>
  <c r="F43" i="15"/>
  <c r="M9" i="15"/>
  <c r="M8" i="15"/>
  <c r="F8" i="15"/>
  <c r="F42" i="15"/>
  <c r="F9" i="15"/>
  <c r="F40" i="15"/>
  <c r="F37" i="15"/>
  <c r="C16" i="67"/>
  <c r="F36" i="67"/>
  <c r="F6" i="15"/>
  <c r="M23" i="15"/>
  <c r="D3" i="73"/>
  <c r="M6" i="15"/>
  <c r="F7" i="67"/>
  <c r="M28" i="15"/>
  <c r="F16" i="15"/>
  <c r="C76" i="15"/>
  <c r="L48" i="15"/>
  <c r="F38" i="15"/>
  <c r="F13" i="15"/>
  <c r="D4" i="73"/>
  <c r="M55" i="43" l="1"/>
  <c r="N55" i="43" s="1"/>
  <c r="K55" i="43"/>
  <c r="J55" i="43" s="1"/>
  <c r="M56" i="43"/>
  <c r="N56" i="43" s="1"/>
  <c r="K56" i="43"/>
  <c r="J56" i="43" s="1"/>
  <c r="W27" i="34"/>
  <c r="AC27" i="34"/>
  <c r="U29" i="21"/>
  <c r="AB29" i="21"/>
  <c r="S13" i="36"/>
  <c r="AA13" i="36"/>
  <c r="J54" i="43"/>
  <c r="D54" i="43"/>
  <c r="AB24" i="36"/>
  <c r="U24" i="36"/>
  <c r="S47" i="34"/>
  <c r="AA47" i="34"/>
  <c r="AC31" i="39"/>
  <c r="W31" i="39"/>
  <c r="AC24" i="36"/>
  <c r="W24" i="36"/>
  <c r="M53" i="43"/>
  <c r="N53" i="43" s="1"/>
  <c r="K53" i="43"/>
  <c r="M51" i="43"/>
  <c r="N51" i="43" s="1"/>
  <c r="K51" i="43"/>
  <c r="AZ273" i="3"/>
  <c r="AZ297" i="3"/>
  <c r="AZ241" i="3"/>
  <c r="AZ210" i="3"/>
  <c r="AZ459" i="3"/>
  <c r="AZ249" i="3"/>
  <c r="AZ368" i="3"/>
  <c r="AC29" i="21"/>
  <c r="W29" i="21"/>
  <c r="AA31" i="39"/>
  <c r="S31" i="39"/>
  <c r="K52" i="43"/>
  <c r="M52" i="43"/>
  <c r="N52" i="43" s="1"/>
  <c r="K58" i="43"/>
  <c r="J58" i="43" s="1"/>
  <c r="M58" i="43"/>
  <c r="N58" i="43" s="1"/>
  <c r="E28" i="6"/>
  <c r="K14" i="1" s="1"/>
  <c r="AZ102" i="3"/>
  <c r="AZ20" i="3"/>
  <c r="AZ271" i="3"/>
  <c r="AZ190" i="3"/>
  <c r="AZ302" i="3"/>
  <c r="AZ284" i="3"/>
  <c r="AZ277" i="3"/>
  <c r="AZ256" i="3"/>
  <c r="AZ483" i="3"/>
  <c r="AZ418" i="3"/>
  <c r="AZ88" i="3"/>
  <c r="B19" i="71"/>
  <c r="B18" i="71" s="1"/>
  <c r="B17" i="71" s="1"/>
  <c r="B16" i="71" s="1"/>
  <c r="S20" i="71"/>
  <c r="AZ118" i="3"/>
  <c r="AZ125" i="3"/>
  <c r="AZ235" i="3"/>
  <c r="AC15" i="33"/>
  <c r="W15" i="33"/>
  <c r="AB28" i="21"/>
  <c r="U28" i="21"/>
  <c r="AZ500" i="3"/>
  <c r="AZ510" i="3"/>
  <c r="AA43" i="39"/>
  <c r="S43" i="39"/>
  <c r="AA37" i="39"/>
  <c r="S37" i="39"/>
  <c r="AB31" i="39"/>
  <c r="U31" i="39"/>
  <c r="M57" i="43"/>
  <c r="N57" i="43" s="1"/>
  <c r="K57" i="43"/>
  <c r="J57" i="43" s="1"/>
  <c r="D57" i="43" s="1"/>
  <c r="K50" i="43"/>
  <c r="J50" i="43" s="1"/>
  <c r="M50" i="43"/>
  <c r="N50" i="43" s="1"/>
  <c r="AZ28" i="3"/>
  <c r="AZ25" i="3"/>
  <c r="AZ66" i="3"/>
  <c r="AZ194" i="3"/>
  <c r="D23" i="71"/>
  <c r="C22" i="71"/>
  <c r="AZ247" i="3"/>
  <c r="AZ218" i="3"/>
  <c r="AZ582" i="3"/>
  <c r="AB27" i="34"/>
  <c r="U27" i="34"/>
  <c r="AB15" i="33"/>
  <c r="U15" i="33"/>
  <c r="AB44" i="21"/>
  <c r="U44" i="21"/>
  <c r="AZ541" i="3"/>
  <c r="AB47" i="34"/>
  <c r="U47" i="34"/>
  <c r="AC44" i="33"/>
  <c r="W44" i="33"/>
  <c r="W37" i="39"/>
  <c r="AC37" i="39"/>
  <c r="AA24" i="36"/>
  <c r="S24" i="36"/>
  <c r="E15" i="6"/>
  <c r="E64" i="39" s="1"/>
  <c r="F27" i="69"/>
  <c r="C47" i="69" s="1"/>
  <c r="D45" i="69" s="1"/>
  <c r="Q17" i="1"/>
  <c r="F65" i="15"/>
  <c r="F50" i="15"/>
  <c r="M7" i="15"/>
  <c r="J6" i="15" s="1"/>
  <c r="J18" i="15" s="1"/>
  <c r="E13" i="6"/>
  <c r="E62" i="39" s="1"/>
  <c r="E12" i="6"/>
  <c r="E57" i="40" s="1"/>
  <c r="E14" i="6"/>
  <c r="N94" i="46"/>
  <c r="E10" i="6"/>
  <c r="N370" i="46"/>
  <c r="F26" i="43"/>
  <c r="H26" i="43"/>
  <c r="E26" i="43"/>
  <c r="G26" i="43"/>
  <c r="P6" i="1"/>
  <c r="C13" i="12" s="1"/>
  <c r="K16" i="1"/>
  <c r="Q71" i="15"/>
  <c r="F66" i="15"/>
  <c r="J57" i="15"/>
  <c r="J55" i="15" s="1"/>
  <c r="J58" i="15" s="1"/>
  <c r="Q50" i="15" s="1"/>
  <c r="I54" i="15"/>
  <c r="J53" i="15"/>
  <c r="L56" i="15" s="1"/>
  <c r="F68" i="67"/>
  <c r="F64" i="15"/>
  <c r="F50" i="67"/>
  <c r="F59" i="67" s="1"/>
  <c r="M7" i="67"/>
  <c r="J6" i="67" s="1"/>
  <c r="J18" i="67" s="1"/>
  <c r="F31" i="67"/>
  <c r="C6" i="67"/>
  <c r="C32" i="67" s="1"/>
  <c r="F64" i="67"/>
  <c r="C27" i="15"/>
  <c r="L59" i="15"/>
  <c r="Q61" i="15" s="1"/>
  <c r="N59" i="15"/>
  <c r="L58" i="15"/>
  <c r="Q60" i="15" s="1"/>
  <c r="M59" i="15"/>
  <c r="F71" i="15"/>
  <c r="C6" i="15"/>
  <c r="C32" i="15" s="1"/>
  <c r="F31" i="15"/>
  <c r="F68" i="15"/>
  <c r="F51" i="15"/>
  <c r="G16" i="1"/>
  <c r="F10" i="39" s="1"/>
  <c r="AA10" i="39" s="1"/>
  <c r="C44" i="71"/>
  <c r="D43" i="71"/>
  <c r="T28" i="71"/>
  <c r="D28" i="71"/>
  <c r="U28" i="71" s="1"/>
  <c r="C27" i="71"/>
  <c r="D31" i="71"/>
  <c r="C32" i="71"/>
  <c r="AZ71" i="3"/>
  <c r="AZ146" i="3"/>
  <c r="AZ197" i="3"/>
  <c r="AZ137" i="3"/>
  <c r="AZ464" i="3"/>
  <c r="AZ404" i="3"/>
  <c r="AZ397" i="3"/>
  <c r="AC25" i="37"/>
  <c r="W25" i="37"/>
  <c r="AA25" i="37"/>
  <c r="S25" i="37"/>
  <c r="W33" i="40"/>
  <c r="AC33" i="40"/>
  <c r="W27" i="21"/>
  <c r="AC27" i="21"/>
  <c r="AA33" i="36"/>
  <c r="S33" i="36"/>
  <c r="U30" i="21"/>
  <c r="AB30" i="21"/>
  <c r="U12" i="36"/>
  <c r="AB12" i="36"/>
  <c r="O65" i="71"/>
  <c r="D66" i="71"/>
  <c r="O66" i="71"/>
  <c r="C40" i="71"/>
  <c r="D39" i="71"/>
  <c r="C70" i="71"/>
  <c r="D70" i="71" s="1"/>
  <c r="D71" i="71"/>
  <c r="AC9" i="34"/>
  <c r="W9" i="34"/>
  <c r="U12" i="34"/>
  <c r="AB12" i="34"/>
  <c r="U25" i="37"/>
  <c r="AB25" i="37"/>
  <c r="AA14" i="40"/>
  <c r="S14" i="40"/>
  <c r="W28" i="34"/>
  <c r="AC28" i="34"/>
  <c r="AC39" i="37"/>
  <c r="W39" i="37"/>
  <c r="W28" i="33"/>
  <c r="AC28" i="33"/>
  <c r="AZ63" i="3"/>
  <c r="AZ57" i="3"/>
  <c r="D60" i="71"/>
  <c r="T60" i="71"/>
  <c r="AZ173" i="3"/>
  <c r="AZ130" i="3"/>
  <c r="AZ244" i="3"/>
  <c r="AZ239" i="3"/>
  <c r="AZ332" i="3"/>
  <c r="W12" i="34"/>
  <c r="AC12" i="34"/>
  <c r="AA44" i="39"/>
  <c r="S44" i="39"/>
  <c r="AZ585" i="3"/>
  <c r="W14" i="40"/>
  <c r="AC14" i="40"/>
  <c r="AA28" i="34"/>
  <c r="S28" i="34"/>
  <c r="AB33" i="36"/>
  <c r="U33" i="36"/>
  <c r="U28" i="33"/>
  <c r="AB28" i="33"/>
  <c r="AB36" i="39"/>
  <c r="U36" i="39"/>
  <c r="S12" i="36"/>
  <c r="AA12" i="36"/>
  <c r="G5" i="3"/>
  <c r="B3" i="3" s="1"/>
  <c r="E236" i="3" s="1"/>
  <c r="C36" i="71"/>
  <c r="D35" i="71"/>
  <c r="C86" i="71"/>
  <c r="D86" i="71" s="1"/>
  <c r="D87" i="71"/>
  <c r="AZ91" i="3"/>
  <c r="C82" i="71"/>
  <c r="D82" i="71" s="1"/>
  <c r="D83" i="71"/>
  <c r="AZ38" i="3"/>
  <c r="C78" i="71"/>
  <c r="D78" i="71" s="1"/>
  <c r="D79" i="71"/>
  <c r="N65" i="71"/>
  <c r="N66" i="71"/>
  <c r="AZ294" i="3"/>
  <c r="AZ178" i="3"/>
  <c r="AZ121" i="3"/>
  <c r="AZ274" i="3"/>
  <c r="AZ201" i="3"/>
  <c r="AZ282" i="3"/>
  <c r="AZ405" i="3"/>
  <c r="AZ454" i="3"/>
  <c r="AZ435" i="3"/>
  <c r="AB44" i="39"/>
  <c r="U44" i="39"/>
  <c r="AA33" i="40"/>
  <c r="S33" i="40"/>
  <c r="AB27" i="21"/>
  <c r="U27" i="21"/>
  <c r="AB39" i="37"/>
  <c r="U39" i="37"/>
  <c r="S30" i="21"/>
  <c r="AA30" i="21"/>
  <c r="S36" i="39"/>
  <c r="AA36" i="39"/>
  <c r="W12" i="36"/>
  <c r="AC12" i="36"/>
  <c r="J7" i="37"/>
  <c r="W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H7" i="36"/>
  <c r="AA9" i="36"/>
  <c r="S9" i="36"/>
  <c r="AA34" i="35"/>
  <c r="S34" i="35"/>
  <c r="E15" i="71"/>
  <c r="E14" i="71" s="1"/>
  <c r="E13" i="71" s="1"/>
  <c r="E12" i="71" s="1"/>
  <c r="V16" i="71"/>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F27" i="11"/>
  <c r="C29" i="11" s="1"/>
  <c r="D27" i="11" s="1"/>
  <c r="F28" i="12"/>
  <c r="C29" i="12" s="1"/>
  <c r="D28" i="12" s="1"/>
  <c r="E60" i="40"/>
  <c r="F31" i="6"/>
  <c r="F36" i="6" s="1"/>
  <c r="E36" i="6" s="1"/>
  <c r="E51" i="40"/>
  <c r="M14" i="1"/>
  <c r="C7" i="43"/>
  <c r="D10" i="52"/>
  <c r="D125" i="9"/>
  <c r="D11" i="52" s="1"/>
  <c r="B7" i="74"/>
  <c r="C7" i="74" s="1"/>
  <c r="F67" i="39"/>
  <c r="H7" i="37"/>
  <c r="AB7" i="37" s="1"/>
  <c r="T42" i="37" s="1"/>
  <c r="G42" i="37" s="1"/>
  <c r="H7" i="33"/>
  <c r="J7" i="33"/>
  <c r="D65" i="40"/>
  <c r="E63" i="40"/>
  <c r="F48" i="35"/>
  <c r="S7" i="36"/>
  <c r="AA7" i="36"/>
  <c r="R36" i="36" s="1"/>
  <c r="AC7" i="37"/>
  <c r="AB7" i="36"/>
  <c r="T36" i="36" s="1"/>
  <c r="G36" i="36" s="1"/>
  <c r="U7" i="36"/>
  <c r="F7" i="33"/>
  <c r="E58" i="21"/>
  <c r="AC7" i="36"/>
  <c r="V36" i="36" s="1"/>
  <c r="I36" i="36" s="1"/>
  <c r="W7" i="36"/>
  <c r="F7" i="37"/>
  <c r="M17" i="67"/>
  <c r="M17" i="15"/>
  <c r="F59" i="15"/>
  <c r="P28" i="43"/>
  <c r="B66" i="40" s="1"/>
  <c r="P25" i="43"/>
  <c r="P29" i="43"/>
  <c r="P27" i="43"/>
  <c r="B70" i="39" s="1"/>
  <c r="Q60" i="67"/>
  <c r="Q73" i="67"/>
  <c r="M11" i="67"/>
  <c r="J10" i="67" s="1"/>
  <c r="F11" i="15"/>
  <c r="M11" i="15"/>
  <c r="J10" i="15" s="1"/>
  <c r="F11" i="67"/>
  <c r="F1" i="67"/>
  <c r="Q52" i="67"/>
  <c r="Q61" i="67"/>
  <c r="Q74" i="67"/>
  <c r="AE11" i="1"/>
  <c r="AE9" i="1"/>
  <c r="F27" i="68"/>
  <c r="AE7" i="1"/>
  <c r="AE8" i="1"/>
  <c r="AE12" i="1"/>
  <c r="AE10" i="1"/>
  <c r="F41" i="67"/>
  <c r="C16" i="15"/>
  <c r="G1" i="73"/>
  <c r="J52" i="43" l="1"/>
  <c r="D52" i="43"/>
  <c r="D51" i="43"/>
  <c r="J51" i="43"/>
  <c r="C21" i="71"/>
  <c r="D22" i="71"/>
  <c r="J53" i="43"/>
  <c r="D53" i="43"/>
  <c r="F45" i="69"/>
  <c r="E58" i="40"/>
  <c r="C29" i="69"/>
  <c r="D27" i="69" s="1"/>
  <c r="E16" i="6"/>
  <c r="C49" i="15"/>
  <c r="E549" i="3"/>
  <c r="E368" i="3"/>
  <c r="E293" i="3"/>
  <c r="E572" i="3"/>
  <c r="AI6" i="3"/>
  <c r="E181" i="3"/>
  <c r="E282" i="3"/>
  <c r="AB6" i="3"/>
  <c r="E143" i="3"/>
  <c r="E142" i="3"/>
  <c r="E240" i="3"/>
  <c r="E483" i="3"/>
  <c r="E135" i="3"/>
  <c r="E311" i="3"/>
  <c r="E182" i="3"/>
  <c r="E214" i="3"/>
  <c r="E586" i="3"/>
  <c r="E530" i="3"/>
  <c r="E150" i="3"/>
  <c r="E290" i="3"/>
  <c r="E404" i="3"/>
  <c r="E132" i="3"/>
  <c r="E172" i="3"/>
  <c r="E579" i="3"/>
  <c r="E531" i="3"/>
  <c r="E468" i="3"/>
  <c r="E183" i="3"/>
  <c r="E186" i="3"/>
  <c r="E457" i="3"/>
  <c r="E230" i="3"/>
  <c r="E160" i="3"/>
  <c r="E174" i="3"/>
  <c r="E470" i="3"/>
  <c r="E564" i="3"/>
  <c r="E79" i="3"/>
  <c r="E566" i="3"/>
  <c r="E582" i="3"/>
  <c r="E179" i="3"/>
  <c r="E532" i="3"/>
  <c r="E432" i="3"/>
  <c r="E426" i="3"/>
  <c r="E254" i="3"/>
  <c r="Q6" i="3"/>
  <c r="E73" i="3"/>
  <c r="E576" i="3"/>
  <c r="E295" i="3"/>
  <c r="N6" i="3"/>
  <c r="E559" i="3"/>
  <c r="E114" i="3"/>
  <c r="E61" i="3"/>
  <c r="E583" i="3"/>
  <c r="E193" i="3"/>
  <c r="E562" i="3"/>
  <c r="E279" i="3"/>
  <c r="E107" i="3"/>
  <c r="AS6" i="3"/>
  <c r="E210" i="3"/>
  <c r="E305" i="3"/>
  <c r="E270" i="3"/>
  <c r="E231" i="3"/>
  <c r="E180" i="3"/>
  <c r="E495" i="3"/>
  <c r="E545" i="3"/>
  <c r="E406" i="3"/>
  <c r="E454" i="3"/>
  <c r="E315" i="3"/>
  <c r="E204" i="3"/>
  <c r="E400" i="3"/>
  <c r="E489" i="3"/>
  <c r="E211" i="3"/>
  <c r="E109" i="3"/>
  <c r="E322" i="3"/>
  <c r="E431" i="3"/>
  <c r="E514" i="3"/>
  <c r="E387" i="3"/>
  <c r="E69" i="3"/>
  <c r="E445" i="3"/>
  <c r="E191" i="3"/>
  <c r="E385" i="3"/>
  <c r="E200" i="3"/>
  <c r="E296" i="3"/>
  <c r="E487" i="3"/>
  <c r="E118" i="3"/>
  <c r="E289" i="3"/>
  <c r="E169" i="3"/>
  <c r="E344" i="3"/>
  <c r="E480" i="3"/>
  <c r="E260" i="3"/>
  <c r="E573" i="3"/>
  <c r="E567" i="3"/>
  <c r="E162" i="3"/>
  <c r="E538" i="3"/>
  <c r="E77" i="3"/>
  <c r="E171" i="3"/>
  <c r="E70" i="3"/>
  <c r="E509" i="3"/>
  <c r="E563" i="3"/>
  <c r="X6" i="3"/>
  <c r="E46" i="3"/>
  <c r="E129" i="3"/>
  <c r="E452" i="3"/>
  <c r="E493" i="3"/>
  <c r="E455" i="3"/>
  <c r="E398" i="3"/>
  <c r="E209" i="3"/>
  <c r="Y6" i="3"/>
  <c r="E461" i="3"/>
  <c r="E397" i="3"/>
  <c r="E153" i="3"/>
  <c r="E237" i="3"/>
  <c r="E128" i="3"/>
  <c r="E55" i="3"/>
  <c r="E417" i="3"/>
  <c r="E264" i="3"/>
  <c r="E140" i="3"/>
  <c r="E342" i="3"/>
  <c r="E40" i="3"/>
  <c r="E147" i="3"/>
  <c r="E421" i="3"/>
  <c r="E436" i="3"/>
  <c r="E167" i="3"/>
  <c r="E475" i="3"/>
  <c r="E367" i="3"/>
  <c r="E390" i="3"/>
  <c r="E353" i="3"/>
  <c r="E437" i="3"/>
  <c r="E274" i="3"/>
  <c r="E443" i="3"/>
  <c r="E316" i="3"/>
  <c r="E569" i="3"/>
  <c r="E407" i="3"/>
  <c r="E395" i="3"/>
  <c r="E245" i="3"/>
  <c r="E453" i="3"/>
  <c r="E519" i="3"/>
  <c r="E450" i="3"/>
  <c r="E31" i="3"/>
  <c r="E585" i="3"/>
  <c r="E476" i="3"/>
  <c r="E44" i="3"/>
  <c r="E388" i="3"/>
  <c r="E533" i="3"/>
  <c r="E185" i="3"/>
  <c r="E91" i="3"/>
  <c r="E399" i="3"/>
  <c r="E277" i="3"/>
  <c r="E465" i="3"/>
  <c r="E106" i="3"/>
  <c r="E74" i="3"/>
  <c r="E327" i="3"/>
  <c r="E345" i="3"/>
  <c r="E28" i="3"/>
  <c r="E273" i="3"/>
  <c r="E217" i="3"/>
  <c r="AJ6" i="3"/>
  <c r="E247" i="3"/>
  <c r="E570" i="3"/>
  <c r="E335" i="3"/>
  <c r="E278" i="3"/>
  <c r="E535" i="3"/>
  <c r="E263" i="3"/>
  <c r="E246" i="3"/>
  <c r="E148" i="3"/>
  <c r="E275" i="3"/>
  <c r="E219" i="3"/>
  <c r="E94" i="3"/>
  <c r="E369" i="3"/>
  <c r="E139" i="3"/>
  <c r="E272" i="3"/>
  <c r="E151" i="3"/>
  <c r="E518" i="3"/>
  <c r="E72" i="3"/>
  <c r="E441" i="3"/>
  <c r="E528" i="3"/>
  <c r="E133" i="3"/>
  <c r="E227" i="3"/>
  <c r="E557" i="3"/>
  <c r="E526" i="3"/>
  <c r="M6" i="3"/>
  <c r="E215" i="3"/>
  <c r="E423" i="3"/>
  <c r="E242" i="3"/>
  <c r="E131" i="3"/>
  <c r="E248" i="3"/>
  <c r="E378" i="3"/>
  <c r="E479" i="3"/>
  <c r="E283" i="3"/>
  <c r="E197" i="3"/>
  <c r="E35" i="3"/>
  <c r="E25" i="3"/>
  <c r="E416" i="3"/>
  <c r="E373" i="3"/>
  <c r="E122" i="3"/>
  <c r="E54" i="3"/>
  <c r="AA6" i="3"/>
  <c r="I6" i="3"/>
  <c r="E558" i="3"/>
  <c r="E320" i="3"/>
  <c r="E314" i="3"/>
  <c r="E478" i="3"/>
  <c r="E555" i="3"/>
  <c r="E134" i="3"/>
  <c r="E587" i="3"/>
  <c r="Z6" i="3"/>
  <c r="E377" i="3"/>
  <c r="E201" i="3"/>
  <c r="E161" i="3"/>
  <c r="E119" i="3"/>
  <c r="E100" i="3"/>
  <c r="E189" i="3"/>
  <c r="E268" i="3"/>
  <c r="E485" i="3"/>
  <c r="K6" i="3"/>
  <c r="E439" i="3"/>
  <c r="E477" i="3"/>
  <c r="E511" i="3"/>
  <c r="E358" i="3"/>
  <c r="AY6" i="3"/>
  <c r="AY441" i="3" s="1"/>
  <c r="E63" i="39"/>
  <c r="E65" i="39" s="1"/>
  <c r="E59" i="40"/>
  <c r="H10" i="40"/>
  <c r="AB10" i="40" s="1"/>
  <c r="S10" i="39"/>
  <c r="J10" i="40"/>
  <c r="AC10" i="40" s="1"/>
  <c r="D26" i="43"/>
  <c r="C25" i="43" s="1"/>
  <c r="Q52" i="15"/>
  <c r="E286" i="3"/>
  <c r="AP6" i="3"/>
  <c r="E152" i="3"/>
  <c r="E409" i="3"/>
  <c r="E371" i="3"/>
  <c r="E355" i="3"/>
  <c r="E21" i="3"/>
  <c r="E75" i="3"/>
  <c r="E522" i="3"/>
  <c r="E287" i="3"/>
  <c r="E534" i="3"/>
  <c r="E360" i="3"/>
  <c r="E104" i="3"/>
  <c r="E78" i="3"/>
  <c r="E370" i="3"/>
  <c r="E223" i="3"/>
  <c r="E486" i="3"/>
  <c r="E498" i="3"/>
  <c r="E202" i="3"/>
  <c r="E43" i="3"/>
  <c r="E137" i="3"/>
  <c r="E52" i="3"/>
  <c r="E50" i="3"/>
  <c r="E101" i="3"/>
  <c r="E155" i="3"/>
  <c r="E51" i="3"/>
  <c r="E57" i="3"/>
  <c r="E19" i="3"/>
  <c r="E47" i="3"/>
  <c r="E259" i="3"/>
  <c r="E488" i="3"/>
  <c r="E98" i="3"/>
  <c r="E306" i="3"/>
  <c r="E288" i="3"/>
  <c r="E257" i="3"/>
  <c r="E379" i="3"/>
  <c r="E546" i="3"/>
  <c r="E29" i="3"/>
  <c r="E574" i="3"/>
  <c r="E418" i="3"/>
  <c r="E213" i="3"/>
  <c r="E402" i="3"/>
  <c r="E156" i="3"/>
  <c r="E120"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75" i="3"/>
  <c r="E554" i="3"/>
  <c r="E258" i="3"/>
  <c r="E484" i="3"/>
  <c r="E310"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357" i="3"/>
  <c r="U6" i="3"/>
  <c r="E71" i="3"/>
  <c r="E53" i="3"/>
  <c r="E359" i="3"/>
  <c r="E338" i="3"/>
  <c r="E17" i="3"/>
  <c r="AN6" i="3"/>
  <c r="E238" i="3"/>
  <c r="E330" i="3"/>
  <c r="E424" i="3"/>
  <c r="E496" i="3"/>
  <c r="E256" i="3"/>
  <c r="E32" i="3"/>
  <c r="E164" i="3"/>
  <c r="P6" i="3"/>
  <c r="E444" i="3"/>
  <c r="E166" i="3"/>
  <c r="E30" i="3"/>
  <c r="E553" i="3"/>
  <c r="E516" i="3"/>
  <c r="F1" i="15"/>
  <c r="AO6" i="3"/>
  <c r="E89" i="3"/>
  <c r="E362" i="3"/>
  <c r="E146" i="3"/>
  <c r="E577" i="3"/>
  <c r="E472" i="3"/>
  <c r="AK6" i="3"/>
  <c r="E347" i="3"/>
  <c r="E350" i="3"/>
  <c r="E361" i="3"/>
  <c r="E216" i="3"/>
  <c r="E561" i="3"/>
  <c r="E410" i="3"/>
  <c r="E343" i="3"/>
  <c r="E384" i="3"/>
  <c r="E447" i="3"/>
  <c r="E414" i="3"/>
  <c r="E271" i="3"/>
  <c r="E351" i="3"/>
  <c r="E433" i="3"/>
  <c r="E527" i="3"/>
  <c r="E99" i="3"/>
  <c r="E253" i="3"/>
  <c r="E578" i="3"/>
  <c r="E550" i="3"/>
  <c r="E130" i="3"/>
  <c r="V6" i="3"/>
  <c r="E396" i="3"/>
  <c r="E125" i="3"/>
  <c r="E88" i="3"/>
  <c r="AG6" i="3"/>
  <c r="E394" i="3"/>
  <c r="AE6" i="3"/>
  <c r="E262" i="3"/>
  <c r="E159" i="3"/>
  <c r="S6" i="3"/>
  <c r="E291" i="3"/>
  <c r="E196" i="3"/>
  <c r="E529" i="3"/>
  <c r="E413" i="3"/>
  <c r="E542" i="3"/>
  <c r="E354" i="3"/>
  <c r="E386" i="3"/>
  <c r="E265" i="3"/>
  <c r="E325" i="3"/>
  <c r="E372" i="3"/>
  <c r="E376" i="3"/>
  <c r="E329" i="3"/>
  <c r="E356" i="3"/>
  <c r="E512" i="3"/>
  <c r="AF6" i="3"/>
  <c r="E391" i="3"/>
  <c r="E33" i="3"/>
  <c r="E389" i="3"/>
  <c r="E430" i="3"/>
  <c r="J5" i="67"/>
  <c r="J24" i="67" s="1"/>
  <c r="E65" i="3"/>
  <c r="E218" i="3"/>
  <c r="E339" i="3"/>
  <c r="E333" i="3"/>
  <c r="E490" i="3"/>
  <c r="E83" i="3"/>
  <c r="E243" i="3"/>
  <c r="E469" i="3"/>
  <c r="E251" i="3"/>
  <c r="E332" i="3"/>
  <c r="E67" i="3"/>
  <c r="E349" i="3"/>
  <c r="E466" i="3"/>
  <c r="E3" i="6"/>
  <c r="E212" i="3"/>
  <c r="E502" i="3"/>
  <c r="E449" i="3"/>
  <c r="E517" i="3"/>
  <c r="E37" i="3"/>
  <c r="E241" i="3"/>
  <c r="E544" i="3"/>
  <c r="E467" i="3"/>
  <c r="E267" i="3"/>
  <c r="E492" i="3"/>
  <c r="E184"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536" i="3"/>
  <c r="E442" i="3"/>
  <c r="E255" i="3"/>
  <c r="E491" i="3"/>
  <c r="E95" i="3"/>
  <c r="E292" i="3"/>
  <c r="E59" i="3"/>
  <c r="E64" i="3"/>
  <c r="E249" i="3"/>
  <c r="E84" i="3"/>
  <c r="E233"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J10" i="39"/>
  <c r="W10" i="39" s="1"/>
  <c r="F10" i="40"/>
  <c r="H10" i="39"/>
  <c r="U10" i="39" s="1"/>
  <c r="J5" i="15"/>
  <c r="J24" i="15" s="1"/>
  <c r="Q74" i="15"/>
  <c r="Q73" i="15"/>
  <c r="C49" i="67"/>
  <c r="C26" i="71"/>
  <c r="D26" i="71" s="1"/>
  <c r="D27" i="71"/>
  <c r="D44" i="71"/>
  <c r="T44" i="71"/>
  <c r="E539" i="3"/>
  <c r="T40" i="71"/>
  <c r="D40" i="71"/>
  <c r="E381" i="3"/>
  <c r="E144" i="3"/>
  <c r="E23" i="3"/>
  <c r="E300" i="3"/>
  <c r="E103" i="3"/>
  <c r="E425" i="3"/>
  <c r="E76" i="3"/>
  <c r="E363" i="3"/>
  <c r="E192" i="3"/>
  <c r="E56" i="3"/>
  <c r="E435" i="3"/>
  <c r="I3" i="6"/>
  <c r="E541" i="3"/>
  <c r="R6" i="3"/>
  <c r="E199" i="3"/>
  <c r="E510" i="3"/>
  <c r="T32" i="71"/>
  <c r="D32" i="71"/>
  <c r="E499" i="3"/>
  <c r="D36" i="71"/>
  <c r="T36" i="71"/>
  <c r="B40" i="1"/>
  <c r="L36" i="43" s="1"/>
  <c r="L37" i="43" s="1"/>
  <c r="V42" i="37"/>
  <c r="I42" i="37" s="1"/>
  <c r="B11" i="71"/>
  <c r="B10" i="71" s="1"/>
  <c r="B9" i="71" s="1"/>
  <c r="B8" i="71" s="1"/>
  <c r="B7" i="71" s="1"/>
  <c r="B6" i="71" s="1"/>
  <c r="B5" i="71" s="1"/>
  <c r="S12" i="71"/>
  <c r="E11" i="71"/>
  <c r="E10" i="71" s="1"/>
  <c r="E9" i="71" s="1"/>
  <c r="E8" i="71" s="1"/>
  <c r="E7" i="71" s="1"/>
  <c r="E6" i="71" s="1"/>
  <c r="E5" i="71" s="1"/>
  <c r="V12"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G33" i="6" s="1"/>
  <c r="K24" i="6"/>
  <c r="K19" i="6"/>
  <c r="S6" i="1" s="1"/>
  <c r="O14" i="1"/>
  <c r="O16" i="1" s="1"/>
  <c r="M16" i="1"/>
  <c r="AY230" i="3"/>
  <c r="AY437" i="3"/>
  <c r="AY434" i="3"/>
  <c r="U10" i="40"/>
  <c r="U7" i="37"/>
  <c r="G67" i="39"/>
  <c r="F69" i="39"/>
  <c r="I53" i="34"/>
  <c r="J53" i="34" s="1"/>
  <c r="F58" i="21"/>
  <c r="R37" i="36"/>
  <c r="E36" i="36"/>
  <c r="F63" i="40"/>
  <c r="E65" i="40"/>
  <c r="W7" i="33"/>
  <c r="AC7" i="33"/>
  <c r="AA7" i="37"/>
  <c r="R42" i="37" s="1"/>
  <c r="S7" i="37"/>
  <c r="I40" i="36"/>
  <c r="J40" i="36" s="1"/>
  <c r="S7" i="33"/>
  <c r="AA7" i="33"/>
  <c r="G53" i="34"/>
  <c r="H53" i="34" s="1"/>
  <c r="G54" i="34"/>
  <c r="H54" i="34" s="1"/>
  <c r="G40" i="36"/>
  <c r="H40" i="36" s="1"/>
  <c r="G41" i="36"/>
  <c r="H41" i="36" s="1"/>
  <c r="G46" i="37"/>
  <c r="H46" i="37" s="1"/>
  <c r="G47" i="37"/>
  <c r="H47" i="37" s="1"/>
  <c r="I46" i="37"/>
  <c r="J46" i="37" s="1"/>
  <c r="G48" i="35"/>
  <c r="U7" i="33"/>
  <c r="AB7" i="33"/>
  <c r="C53" i="67"/>
  <c r="C10" i="67"/>
  <c r="C5" i="67" s="1"/>
  <c r="C38" i="67" s="1"/>
  <c r="C53" i="15"/>
  <c r="C10" i="15"/>
  <c r="C5" i="15" s="1"/>
  <c r="C38" i="15" s="1"/>
  <c r="M27" i="67"/>
  <c r="AE6" i="1"/>
  <c r="M27" i="15"/>
  <c r="E50" i="43" l="1"/>
  <c r="B48" i="43" s="1"/>
  <c r="C28" i="43" s="1"/>
  <c r="D21" i="71"/>
  <c r="C20" i="71"/>
  <c r="C48" i="15"/>
  <c r="C66" i="15" s="1"/>
  <c r="AY380" i="3"/>
  <c r="AY474" i="3"/>
  <c r="AY67" i="3"/>
  <c r="AY521" i="3"/>
  <c r="AY140" i="3"/>
  <c r="AY557" i="3"/>
  <c r="AY315" i="3"/>
  <c r="AY504" i="3"/>
  <c r="AY404" i="3"/>
  <c r="AY386" i="3"/>
  <c r="AY301" i="3"/>
  <c r="AY305" i="3"/>
  <c r="AY288" i="3"/>
  <c r="AY537" i="3"/>
  <c r="AY459" i="3"/>
  <c r="AY285" i="3"/>
  <c r="AY65" i="3"/>
  <c r="AY191" i="3"/>
  <c r="AY501" i="3"/>
  <c r="AY206" i="3"/>
  <c r="AY23" i="3"/>
  <c r="AY164" i="3"/>
  <c r="AY79" i="3"/>
  <c r="AY113" i="3"/>
  <c r="AY39" i="3"/>
  <c r="AY461" i="3"/>
  <c r="AY256" i="3"/>
  <c r="AY570" i="3"/>
  <c r="AY438" i="3"/>
  <c r="AY467" i="3"/>
  <c r="AY457" i="3"/>
  <c r="AY401" i="3"/>
  <c r="AY568" i="3"/>
  <c r="AY522" i="3"/>
  <c r="AY567" i="3"/>
  <c r="AY482" i="3"/>
  <c r="AY235" i="3"/>
  <c r="AY38" i="3"/>
  <c r="AY426" i="3"/>
  <c r="AY227" i="3"/>
  <c r="AY254" i="3"/>
  <c r="AY145" i="3"/>
  <c r="AY66" i="3"/>
  <c r="AY176" i="3"/>
  <c r="AY115" i="3"/>
  <c r="AY188" i="3"/>
  <c r="AY276" i="3"/>
  <c r="AY297" i="3"/>
  <c r="AY225"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50" i="3"/>
  <c r="AY183" i="3"/>
  <c r="AY252" i="3"/>
  <c r="AY473" i="3"/>
  <c r="AY529" i="3"/>
  <c r="AY245" i="3"/>
  <c r="AY372" i="3"/>
  <c r="AY463" i="3"/>
  <c r="AY513" i="3"/>
  <c r="AY533" i="3"/>
  <c r="AY92" i="3"/>
  <c r="AY60" i="3"/>
  <c r="AY190" i="3"/>
  <c r="AY165" i="3"/>
  <c r="AY299" i="3"/>
  <c r="AY247" i="3"/>
  <c r="AY219" i="3"/>
  <c r="AY357" i="3"/>
  <c r="AY109" i="3"/>
  <c r="AY202" i="3"/>
  <c r="AY114" i="3"/>
  <c r="AY242" i="3"/>
  <c r="AY333" i="3"/>
  <c r="AY491" i="3"/>
  <c r="AY462" i="3"/>
  <c r="AY411" i="3"/>
  <c r="AY561" i="3"/>
  <c r="AY495" i="3"/>
  <c r="AY18" i="3"/>
  <c r="AY237" i="3"/>
  <c r="AY425" i="3"/>
  <c r="AY355" i="3"/>
  <c r="AY535" i="3"/>
  <c r="AY89" i="3"/>
  <c r="AY182" i="3"/>
  <c r="AY117" i="3"/>
  <c r="AY222" i="3"/>
  <c r="AY93" i="3"/>
  <c r="AY130" i="3"/>
  <c r="AY356" i="3"/>
  <c r="AY454" i="3"/>
  <c r="AY516" i="3"/>
  <c r="AY508" i="3"/>
  <c r="AY112" i="3"/>
  <c r="AY132" i="3"/>
  <c r="AY350" i="3"/>
  <c r="AY116" i="3"/>
  <c r="AY326" i="3"/>
  <c r="AY573" i="3"/>
  <c r="AY84" i="3"/>
  <c r="AY162" i="3"/>
  <c r="AY286" i="3"/>
  <c r="AY373" i="3"/>
  <c r="AY72" i="3"/>
  <c r="AY275" i="3"/>
  <c r="AY324" i="3"/>
  <c r="AY406" i="3"/>
  <c r="AY536" i="3"/>
  <c r="AY584" i="3"/>
  <c r="AY519" i="3"/>
  <c r="AY80" i="3"/>
  <c r="AY189" i="3"/>
  <c r="AY129" i="3"/>
  <c r="AY266" i="3"/>
  <c r="AY369" i="3"/>
  <c r="AY313" i="3"/>
  <c r="AY487" i="3"/>
  <c r="AY453" i="3"/>
  <c r="AY410" i="3"/>
  <c r="AY579" i="3"/>
  <c r="D3" i="6"/>
  <c r="C14" i="74" s="1"/>
  <c r="AY509" i="3"/>
  <c r="AY531" i="3"/>
  <c r="AY94" i="3"/>
  <c r="AY35" i="3"/>
  <c r="AY167" i="3"/>
  <c r="AY280" i="3"/>
  <c r="AY221" i="3"/>
  <c r="AY331" i="3"/>
  <c r="AY466" i="3"/>
  <c r="AY405" i="3"/>
  <c r="AY83" i="3"/>
  <c r="AY155" i="3"/>
  <c r="AY131" i="3"/>
  <c r="AY268" i="3"/>
  <c r="AY335" i="3"/>
  <c r="AY160" i="3"/>
  <c r="AY123" i="3"/>
  <c r="AY209" i="3"/>
  <c r="AY460" i="3"/>
  <c r="AY106" i="3"/>
  <c r="AY260" i="3"/>
  <c r="AY327" i="3"/>
  <c r="AY452" i="3"/>
  <c r="AY549" i="3"/>
  <c r="BE6" i="3"/>
  <c r="AY77" i="3"/>
  <c r="AY44" i="3"/>
  <c r="AY185" i="3"/>
  <c r="AY149" i="3"/>
  <c r="AY283" i="3"/>
  <c r="AY262" i="3"/>
  <c r="AY392" i="3"/>
  <c r="AY360" i="3"/>
  <c r="AY73" i="3"/>
  <c r="AY197" i="3"/>
  <c r="AY295" i="3"/>
  <c r="AY388" i="3"/>
  <c r="AY317" i="3"/>
  <c r="AY475" i="3"/>
  <c r="AY430" i="3"/>
  <c r="AY581" i="3"/>
  <c r="AY534" i="3"/>
  <c r="BG6" i="3"/>
  <c r="AY171" i="3"/>
  <c r="AY387" i="3"/>
  <c r="AY199" i="3"/>
  <c r="AY311" i="3"/>
  <c r="AY562" i="3"/>
  <c r="AY53" i="3"/>
  <c r="AY178" i="3"/>
  <c r="AY302" i="3"/>
  <c r="AY389" i="3"/>
  <c r="AY57" i="3"/>
  <c r="AY279" i="3"/>
  <c r="AY340" i="3"/>
  <c r="AY422" i="3"/>
  <c r="BN6" i="3"/>
  <c r="AY556" i="3"/>
  <c r="AY81" i="3"/>
  <c r="AY31" i="3"/>
  <c r="AY455" i="3"/>
  <c r="AY229" i="3"/>
  <c r="AY478" i="3"/>
  <c r="AY539" i="3"/>
  <c r="AY52" i="3"/>
  <c r="AY173" i="3"/>
  <c r="AY270" i="3"/>
  <c r="AY368" i="3"/>
  <c r="AY29" i="3"/>
  <c r="AY215" i="3"/>
  <c r="AY483" i="3"/>
  <c r="AY419"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124" i="3"/>
  <c r="AY236" i="3"/>
  <c r="AY139" i="3"/>
  <c r="AY319" i="3"/>
  <c r="AY26" i="3"/>
  <c r="AY342" i="3"/>
  <c r="AY544" i="3"/>
  <c r="AY61" i="3"/>
  <c r="AY170" i="3"/>
  <c r="AY278" i="3"/>
  <c r="AY397" i="3"/>
  <c r="AY41" i="3"/>
  <c r="AY259" i="3"/>
  <c r="AY348" i="3"/>
  <c r="AY414" i="3"/>
  <c r="AY571" i="3"/>
  <c r="AY90" i="3"/>
  <c r="AY269" i="3"/>
  <c r="BO6" i="3"/>
  <c r="AY146" i="3"/>
  <c r="AY365" i="3"/>
  <c r="AY226" i="3"/>
  <c r="AY435" i="3"/>
  <c r="AY496" i="3"/>
  <c r="AY147" i="3"/>
  <c r="AY212" i="3"/>
  <c r="AY105" i="3"/>
  <c r="AY134" i="3"/>
  <c r="AY507" i="3"/>
  <c r="AY370" i="3"/>
  <c r="AY580" i="3"/>
  <c r="AY514" i="3"/>
  <c r="AY37" i="3"/>
  <c r="AY282" i="3"/>
  <c r="AY345" i="3"/>
  <c r="AY484" i="3"/>
  <c r="AY423" i="3"/>
  <c r="AY502" i="3"/>
  <c r="BA6" i="3"/>
  <c r="AY187" i="3"/>
  <c r="AY264" i="3"/>
  <c r="AY314" i="3"/>
  <c r="AY517" i="3"/>
  <c r="AY91" i="3"/>
  <c r="AY27" i="3"/>
  <c r="AY119" i="3"/>
  <c r="AY224" i="3"/>
  <c r="AY323"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304" i="3"/>
  <c r="AY30" i="3"/>
  <c r="AY347" i="3"/>
  <c r="AY59" i="3"/>
  <c r="AY371" i="3"/>
  <c r="AY289" i="3"/>
  <c r="AY318" i="3"/>
  <c r="AY300" i="3"/>
  <c r="AY310" i="3"/>
  <c r="AY569" i="3"/>
  <c r="AY76" i="3"/>
  <c r="AY154" i="3"/>
  <c r="AY263" i="3"/>
  <c r="AY374" i="3"/>
  <c r="AY56" i="3"/>
  <c r="AY274" i="3"/>
  <c r="AY316" i="3"/>
  <c r="AY398" i="3"/>
  <c r="AY546" i="3"/>
  <c r="AY75" i="3"/>
  <c r="AY244" i="3"/>
  <c r="AY555" i="3"/>
  <c r="AY126" i="3"/>
  <c r="BS6" i="3"/>
  <c r="AY393" i="3"/>
  <c r="AY525" i="3"/>
  <c r="AY577" i="3"/>
  <c r="AY220" i="3"/>
  <c r="AY343" i="3"/>
  <c r="AY100" i="3"/>
  <c r="AY291" i="3"/>
  <c r="AY88" i="3"/>
  <c r="AY341" i="3"/>
  <c r="AY572" i="3"/>
  <c r="AY582" i="3"/>
  <c r="AY194" i="3"/>
  <c r="AY251" i="3"/>
  <c r="AY329" i="3"/>
  <c r="AY468" i="3"/>
  <c r="AY407" i="3"/>
  <c r="AY565" i="3"/>
  <c r="AY99" i="3"/>
  <c r="AY156" i="3"/>
  <c r="AY232" i="3"/>
  <c r="AY469" i="3"/>
  <c r="AY560" i="3"/>
  <c r="AY86" i="3"/>
  <c r="AY179" i="3"/>
  <c r="AY277" i="3"/>
  <c r="AY213" i="3"/>
  <c r="AY306" i="3"/>
  <c r="AY416" i="3"/>
  <c r="BC6" i="3"/>
  <c r="AY498" i="3"/>
  <c r="AY122" i="3"/>
  <c r="AY385" i="3"/>
  <c r="AY418" i="3"/>
  <c r="AY564" i="3"/>
  <c r="AY548" i="3"/>
  <c r="AY296" i="3"/>
  <c r="AY421" i="3"/>
  <c r="AY443" i="3"/>
  <c r="AY240" i="3"/>
  <c r="AY200" i="3"/>
  <c r="AY500" i="3"/>
  <c r="AY359" i="3"/>
  <c r="AY151" i="3"/>
  <c r="BP6" i="3"/>
  <c r="AY538" i="3"/>
  <c r="AY445" i="3"/>
  <c r="AY361" i="3"/>
  <c r="AY153" i="3"/>
  <c r="AY583" i="3"/>
  <c r="AY339" i="3"/>
  <c r="AY136" i="3"/>
  <c r="AY102" i="3"/>
  <c r="AY330" i="3"/>
  <c r="AY203" i="3"/>
  <c r="AY575" i="3"/>
  <c r="AY492" i="3"/>
  <c r="AY298" i="3"/>
  <c r="AY511" i="3"/>
  <c r="AY490" i="3"/>
  <c r="AY273" i="3"/>
  <c r="AY70" i="3"/>
  <c r="AY424" i="3"/>
  <c r="AY127" i="3"/>
  <c r="BR6" i="3"/>
  <c r="AY442" i="3"/>
  <c r="AY223" i="3"/>
  <c r="AY96" i="3"/>
  <c r="AY480" i="3"/>
  <c r="AY238" i="3"/>
  <c r="AY417" i="3"/>
  <c r="AY49" i="3"/>
  <c r="AY308" i="3"/>
  <c r="AY239" i="3"/>
  <c r="AY481" i="3"/>
  <c r="AY16" i="3"/>
  <c r="AY472" i="3"/>
  <c r="AY166" i="3"/>
  <c r="AY246" i="3"/>
  <c r="AY33" i="3"/>
  <c r="AY420" i="3"/>
  <c r="AY428" i="3"/>
  <c r="AY103" i="3"/>
  <c r="AY51" i="3"/>
  <c r="BT6" i="3"/>
  <c r="AY477" i="3"/>
  <c r="AY257" i="3"/>
  <c r="AY71" i="3"/>
  <c r="AY408" i="3"/>
  <c r="AY394" i="3"/>
  <c r="AY19" i="3"/>
  <c r="AY545" i="3"/>
  <c r="AY505" i="3"/>
  <c r="AY479" i="3"/>
  <c r="AY396" i="3"/>
  <c r="AY174" i="3"/>
  <c r="AY413" i="3"/>
  <c r="AY375" i="3"/>
  <c r="AY175" i="3"/>
  <c r="AY528" i="3"/>
  <c r="AY216" i="3"/>
  <c r="AY110" i="3"/>
  <c r="AY399" i="3"/>
  <c r="AY321" i="3"/>
  <c r="AY205" i="3"/>
  <c r="AY550" i="3"/>
  <c r="AY354" i="3"/>
  <c r="AY159" i="3"/>
  <c r="AY587" i="3"/>
  <c r="AY362" i="3"/>
  <c r="AY46" i="3"/>
  <c r="AY14" i="3"/>
  <c r="AY312" i="3"/>
  <c r="AY137" i="3"/>
  <c r="AY543" i="3"/>
  <c r="AY121" i="3"/>
  <c r="AY193" i="3"/>
  <c r="AY497" i="3"/>
  <c r="AY559" i="3"/>
  <c r="AY150" i="3"/>
  <c r="AY36" i="3"/>
  <c r="AY444" i="3"/>
  <c r="AY585" i="3"/>
  <c r="AY353" i="3"/>
  <c r="BJ6" i="3"/>
  <c r="AY125" i="3"/>
  <c r="AY97" i="3"/>
  <c r="AY395" i="3"/>
  <c r="AY284" i="3"/>
  <c r="AY58" i="3"/>
  <c r="S10" i="40"/>
  <c r="AA10" i="40"/>
  <c r="AY566" i="3"/>
  <c r="AY307" i="3"/>
  <c r="AY143" i="3"/>
  <c r="AY107" i="3"/>
  <c r="AY451" i="3"/>
  <c r="AY265" i="3"/>
  <c r="AY62" i="3"/>
  <c r="AY551" i="3"/>
  <c r="AY402" i="3"/>
  <c r="AY320" i="3"/>
  <c r="AY250" i="3"/>
  <c r="AY64" i="3"/>
  <c r="AY432" i="3"/>
  <c r="AY208" i="3"/>
  <c r="AY22" i="3"/>
  <c r="AY13" i="3"/>
  <c r="AY233" i="3"/>
  <c r="AY563" i="3"/>
  <c r="AY431" i="3"/>
  <c r="AY352" i="3"/>
  <c r="AY32" i="3"/>
  <c r="AY429" i="3"/>
  <c r="AY367" i="3"/>
  <c r="AY148" i="3"/>
  <c r="AY512" i="3"/>
  <c r="AY376" i="3"/>
  <c r="AY78" i="3"/>
  <c r="AY499" i="3"/>
  <c r="AY328" i="3"/>
  <c r="AY169" i="3"/>
  <c r="AY552" i="3"/>
  <c r="AY161" i="3"/>
  <c r="AY20" i="3"/>
  <c r="AY412" i="3"/>
  <c r="AY518" i="3"/>
  <c r="AY40" i="3"/>
  <c r="AY68" i="3"/>
  <c r="AY486" i="3"/>
  <c r="BQ6" i="3"/>
  <c r="AY377" i="3"/>
  <c r="BH6" i="3"/>
  <c r="AY133" i="3"/>
  <c r="AY553" i="3"/>
  <c r="AY217" i="3"/>
  <c r="AY261" i="3"/>
  <c r="AY281" i="3"/>
  <c r="W10" i="40"/>
  <c r="D14" i="12"/>
  <c r="D17" i="12" s="1"/>
  <c r="C17" i="12" s="1"/>
  <c r="B14" i="74"/>
  <c r="C33" i="33"/>
  <c r="AB10" i="39"/>
  <c r="D3" i="37"/>
  <c r="F25" i="12"/>
  <c r="C26" i="12" s="1"/>
  <c r="D25" i="12" s="1"/>
  <c r="D19" i="11"/>
  <c r="C19" i="11" s="1"/>
  <c r="C20" i="11" s="1"/>
  <c r="C28" i="11" s="1"/>
  <c r="C27" i="11" s="1"/>
  <c r="D37" i="11"/>
  <c r="AC10" i="39"/>
  <c r="D3" i="34"/>
  <c r="H6" i="3"/>
  <c r="D3" i="33"/>
  <c r="C17" i="4"/>
  <c r="B4" i="52" s="1"/>
  <c r="B43" i="72" s="1"/>
  <c r="M18" i="9"/>
  <c r="B118" i="9" s="1"/>
  <c r="D3" i="21"/>
  <c r="E6" i="6"/>
  <c r="D10" i="69" s="1"/>
  <c r="AC6" i="3"/>
  <c r="D116" i="43"/>
  <c r="F22" i="68"/>
  <c r="F41" i="68" s="1"/>
  <c r="C48" i="67"/>
  <c r="C60" i="67" s="1"/>
  <c r="F22" i="11"/>
  <c r="C23" i="11" s="1"/>
  <c r="F24" i="67"/>
  <c r="C24" i="67" s="1"/>
  <c r="F24" i="15"/>
  <c r="C24" i="15" s="1"/>
  <c r="F22" i="69"/>
  <c r="F41" i="69" s="1"/>
  <c r="E49" i="34"/>
  <c r="O36" i="43"/>
  <c r="Q36" i="43"/>
  <c r="N36" i="43"/>
  <c r="M36" i="43"/>
  <c r="P36" i="43"/>
  <c r="P37" i="43"/>
  <c r="M37" i="43"/>
  <c r="Q37" i="43"/>
  <c r="O37" i="43"/>
  <c r="N37" i="43"/>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D10" i="11"/>
  <c r="C10" i="11" s="1"/>
  <c r="D15" i="6"/>
  <c r="D24" i="6"/>
  <c r="D8" i="6"/>
  <c r="D10" i="6"/>
  <c r="D19" i="6"/>
  <c r="D5" i="6"/>
  <c r="D13" i="6"/>
  <c r="E61" i="40"/>
  <c r="P14" i="1"/>
  <c r="P16" i="1" s="1"/>
  <c r="C11" i="12" s="1"/>
  <c r="N16" i="1"/>
  <c r="L16" i="1"/>
  <c r="H67" i="39"/>
  <c r="G69" i="39"/>
  <c r="E54" i="34"/>
  <c r="F54" i="34" s="1"/>
  <c r="E53" i="34"/>
  <c r="F53" i="34" s="1"/>
  <c r="E40" i="36"/>
  <c r="F40" i="36" s="1"/>
  <c r="E41" i="36"/>
  <c r="F41" i="36" s="1"/>
  <c r="I54" i="34"/>
  <c r="J54" i="34" s="1"/>
  <c r="H48" i="35"/>
  <c r="C49" i="34"/>
  <c r="C50" i="34"/>
  <c r="I41" i="36"/>
  <c r="J41" i="36" s="1"/>
  <c r="R43" i="37"/>
  <c r="E42" i="37"/>
  <c r="G63" i="40"/>
  <c r="F65" i="40"/>
  <c r="C37" i="36"/>
  <c r="C36" i="36"/>
  <c r="G58" i="21"/>
  <c r="C34" i="69"/>
  <c r="C17" i="15"/>
  <c r="C17" i="67"/>
  <c r="F41" i="15"/>
  <c r="C14" i="67"/>
  <c r="C60" i="15" l="1"/>
  <c r="D20" i="71"/>
  <c r="U20" i="71" s="1"/>
  <c r="C19" i="71"/>
  <c r="T20" i="71"/>
  <c r="F69" i="15"/>
  <c r="D12" i="6"/>
  <c r="D29" i="6"/>
  <c r="D20" i="6"/>
  <c r="D25" i="6"/>
  <c r="D28" i="6"/>
  <c r="D23" i="6"/>
  <c r="D14" i="6"/>
  <c r="D21" i="6"/>
  <c r="H26" i="6"/>
  <c r="D11" i="6"/>
  <c r="C18" i="4"/>
  <c r="C4" i="52" s="1"/>
  <c r="B45" i="72" s="1"/>
  <c r="D9" i="6"/>
  <c r="D26" i="6"/>
  <c r="D22" i="6"/>
  <c r="D6" i="6"/>
  <c r="B1" i="74"/>
  <c r="M19" i="9"/>
  <c r="C118" i="9" s="1"/>
  <c r="B2" i="74" s="1"/>
  <c r="D8" i="74" s="1"/>
  <c r="G17" i="43"/>
  <c r="C17" i="43"/>
  <c r="J33" i="33"/>
  <c r="H33" i="33"/>
  <c r="F33" i="33"/>
  <c r="C66" i="67"/>
  <c r="D10" i="68"/>
  <c r="D19" i="68" s="1"/>
  <c r="H21" i="6"/>
  <c r="D20" i="12"/>
  <c r="C20" i="12" s="1"/>
  <c r="H24" i="6"/>
  <c r="R24" i="6" s="1"/>
  <c r="R11" i="1" s="1"/>
  <c r="E6" i="3"/>
  <c r="D30" i="6"/>
  <c r="H22" i="6"/>
  <c r="R22" i="6" s="1"/>
  <c r="R9" i="1" s="1"/>
  <c r="C44" i="11"/>
  <c r="D41" i="11" s="1"/>
  <c r="C44" i="68"/>
  <c r="D41" i="68" s="1"/>
  <c r="C26" i="68"/>
  <c r="D22" i="68" s="1"/>
  <c r="H25" i="6"/>
  <c r="C26" i="11"/>
  <c r="D22" i="11" s="1"/>
  <c r="C25" i="11"/>
  <c r="C24" i="11"/>
  <c r="C44" i="69"/>
  <c r="D41" i="69" s="1"/>
  <c r="C26" i="69"/>
  <c r="D22" i="69" s="1"/>
  <c r="C18" i="67"/>
  <c r="C15" i="67"/>
  <c r="H23" i="6"/>
  <c r="R23" i="6" s="1"/>
  <c r="R10" i="1" s="1"/>
  <c r="H20" i="6"/>
  <c r="C38" i="69"/>
  <c r="C35" i="69"/>
  <c r="E12" i="70"/>
  <c r="F34" i="11"/>
  <c r="F11" i="12"/>
  <c r="S16" i="1"/>
  <c r="E9" i="70"/>
  <c r="AR9" i="1"/>
  <c r="AQ9" i="1"/>
  <c r="T9" i="1"/>
  <c r="AQ11" i="1"/>
  <c r="AR11" i="1"/>
  <c r="T11" i="1"/>
  <c r="AR12" i="1"/>
  <c r="T12" i="1"/>
  <c r="AQ12" i="1"/>
  <c r="AQ10" i="1"/>
  <c r="T10" i="1"/>
  <c r="AR10" i="1"/>
  <c r="AR7" i="1"/>
  <c r="AQ7" i="1"/>
  <c r="T7" i="1"/>
  <c r="M27" i="6"/>
  <c r="I19" i="6"/>
  <c r="L18" i="9" s="1"/>
  <c r="R26" i="6"/>
  <c r="C15" i="12"/>
  <c r="C12" i="12"/>
  <c r="C10" i="69"/>
  <c r="C8" i="69" s="1"/>
  <c r="C5" i="69" s="1"/>
  <c r="D19" i="69"/>
  <c r="F50" i="69"/>
  <c r="F50" i="11"/>
  <c r="F50" i="68"/>
  <c r="H69" i="39"/>
  <c r="I67" i="39"/>
  <c r="G65" i="40"/>
  <c r="H63" i="40"/>
  <c r="C43" i="37"/>
  <c r="C42" i="37"/>
  <c r="I48" i="35"/>
  <c r="H58" i="21"/>
  <c r="E47" i="37"/>
  <c r="F47" i="37" s="1"/>
  <c r="E46" i="37"/>
  <c r="F46" i="37" s="1"/>
  <c r="I47" i="37"/>
  <c r="J47" i="37" s="1"/>
  <c r="C33" i="15"/>
  <c r="C33" i="67"/>
  <c r="J19" i="67"/>
  <c r="C34" i="68"/>
  <c r="C14" i="15"/>
  <c r="D27" i="6" l="1"/>
  <c r="D19" i="71"/>
  <c r="C18" i="71"/>
  <c r="R20" i="6"/>
  <c r="R7" i="1" s="1"/>
  <c r="E2" i="70"/>
  <c r="D16" i="6"/>
  <c r="R25" i="6"/>
  <c r="R12" i="1" s="1"/>
  <c r="R21" i="6"/>
  <c r="R8" i="1" s="1"/>
  <c r="A7" i="51"/>
  <c r="B7" i="72" s="1"/>
  <c r="A10" i="51"/>
  <c r="B9" i="72" s="1"/>
  <c r="D7" i="74"/>
  <c r="D31" i="6"/>
  <c r="I6" i="6" s="1"/>
  <c r="D5" i="43"/>
  <c r="C5" i="43"/>
  <c r="AA33" i="33"/>
  <c r="R48" i="33" s="1"/>
  <c r="S33" i="33"/>
  <c r="AB33" i="33"/>
  <c r="T48" i="33" s="1"/>
  <c r="G48" i="33" s="1"/>
  <c r="U33" i="33"/>
  <c r="AC33" i="33"/>
  <c r="V48" i="33" s="1"/>
  <c r="I48" i="33" s="1"/>
  <c r="I52" i="33" s="1"/>
  <c r="J52" i="33" s="1"/>
  <c r="W33" i="33"/>
  <c r="C10" i="68"/>
  <c r="B29" i="1" s="1"/>
  <c r="C8" i="68" s="1"/>
  <c r="C22" i="11"/>
  <c r="C31" i="1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C23" i="69"/>
  <c r="I69" i="39"/>
  <c r="J67" i="39"/>
  <c r="I63" i="40"/>
  <c r="H65" i="40"/>
  <c r="I58" i="21"/>
  <c r="J58" i="21" s="1"/>
  <c r="K58" i="21" s="1"/>
  <c r="L58" i="21" s="1"/>
  <c r="M58" i="21" s="1"/>
  <c r="N58" i="21" s="1"/>
  <c r="O58" i="21" s="1"/>
  <c r="H7" i="21" s="1"/>
  <c r="J48" i="35"/>
  <c r="C17" i="71" l="1"/>
  <c r="D18" i="71"/>
  <c r="E48" i="33"/>
  <c r="R49" i="33"/>
  <c r="T11" i="43"/>
  <c r="V11" i="43" s="1"/>
  <c r="T14" i="43"/>
  <c r="V14" i="43" s="1"/>
  <c r="T4" i="43"/>
  <c r="V4" i="43" s="1"/>
  <c r="T5" i="43"/>
  <c r="V5" i="43" s="1"/>
  <c r="T7" i="43"/>
  <c r="V7" i="43" s="1"/>
  <c r="T9" i="43"/>
  <c r="V9" i="43" s="1"/>
  <c r="T12" i="43"/>
  <c r="V12" i="43" s="1"/>
  <c r="T3" i="43"/>
  <c r="V3" i="43" s="1"/>
  <c r="C33" i="43"/>
  <c r="E33" i="43" s="1"/>
  <c r="T15" i="43"/>
  <c r="V15" i="43" s="1"/>
  <c r="T2" i="43"/>
  <c r="V2" i="43" s="1"/>
  <c r="T13" i="43"/>
  <c r="V13" i="43" s="1"/>
  <c r="T16" i="43"/>
  <c r="V16" i="43" s="1"/>
  <c r="T8" i="43"/>
  <c r="V8" i="43" s="1"/>
  <c r="T6" i="43"/>
  <c r="V6" i="43" s="1"/>
  <c r="T10" i="43"/>
  <c r="V10" i="43" s="1"/>
  <c r="G52" i="33"/>
  <c r="H52" i="33" s="1"/>
  <c r="G53" i="33"/>
  <c r="H53" i="33" s="1"/>
  <c r="C41" i="43"/>
  <c r="C38" i="43"/>
  <c r="C40" i="43"/>
  <c r="C39" i="43"/>
  <c r="C37" i="43"/>
  <c r="C42" i="43"/>
  <c r="C18" i="12"/>
  <c r="C21" i="12" s="1"/>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V20" i="43" l="1"/>
  <c r="D17" i="71"/>
  <c r="C16" i="71"/>
  <c r="E40" i="43"/>
  <c r="G40" i="43"/>
  <c r="I40" i="43" s="1"/>
  <c r="E42" i="43"/>
  <c r="G42" i="43"/>
  <c r="I42" i="43" s="1"/>
  <c r="E38" i="43"/>
  <c r="G38" i="43"/>
  <c r="I38" i="43" s="1"/>
  <c r="E37" i="43"/>
  <c r="G37" i="43"/>
  <c r="I37" i="43" s="1"/>
  <c r="G41" i="43"/>
  <c r="I41" i="43" s="1"/>
  <c r="E41" i="43"/>
  <c r="C49" i="33"/>
  <c r="C48" i="33"/>
  <c r="G39" i="43"/>
  <c r="I39" i="43" s="1"/>
  <c r="E39" i="43"/>
  <c r="C34" i="43"/>
  <c r="E34" i="43" s="1"/>
  <c r="I53" i="33"/>
  <c r="J53" i="33" s="1"/>
  <c r="E53" i="33"/>
  <c r="F53" i="33" s="1"/>
  <c r="E52" i="33"/>
  <c r="F52" i="33" s="1"/>
  <c r="C30" i="12"/>
  <c r="C28" i="12" s="1"/>
  <c r="C27" i="12"/>
  <c r="C25" i="12" s="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67"/>
  <c r="M21" i="15"/>
  <c r="F35" i="67"/>
  <c r="F35" i="15"/>
  <c r="M23" i="43" l="1"/>
  <c r="D16" i="71"/>
  <c r="U16" i="71" s="1"/>
  <c r="C15" i="71"/>
  <c r="T16" i="71"/>
  <c r="C6" i="68"/>
  <c r="C30" i="43"/>
  <c r="B2" i="43" s="1"/>
  <c r="C31" i="43"/>
  <c r="C32" i="12"/>
  <c r="B2" i="12" s="1"/>
  <c r="B3" i="12"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6" i="76"/>
  <c r="E6" i="76"/>
  <c r="C14" i="71" l="1"/>
  <c r="D15" i="71"/>
  <c r="B2" i="76"/>
  <c r="E2" i="76"/>
  <c r="B3" i="43"/>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C13" i="71" l="1"/>
  <c r="D14" i="71"/>
  <c r="B3" i="76"/>
  <c r="C7" i="68"/>
  <c r="C5" i="68" s="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67"/>
  <c r="D2" i="33"/>
  <c r="C12" i="71" l="1"/>
  <c r="D13" i="71"/>
  <c r="Q69" i="15"/>
  <c r="Q68" i="15" s="1"/>
  <c r="G39" i="15"/>
  <c r="C23" i="68"/>
  <c r="C20" i="68"/>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D2" i="37"/>
  <c r="D2" i="34"/>
  <c r="D2" i="36"/>
  <c r="L51" i="15"/>
  <c r="D2" i="35"/>
  <c r="C11" i="71" l="1"/>
  <c r="T12" i="71"/>
  <c r="D12" i="71"/>
  <c r="U12" i="71" s="1"/>
  <c r="B3" i="33"/>
  <c r="C28" i="68"/>
  <c r="C27" i="68" s="1"/>
  <c r="C25" i="68"/>
  <c r="C22" i="68"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0" i="1"/>
  <c r="AO7" i="1"/>
  <c r="AO11" i="1"/>
  <c r="AO8" i="1"/>
  <c r="AO9" i="1"/>
  <c r="C10" i="71" l="1"/>
  <c r="D11" i="71"/>
  <c r="C31" i="68"/>
  <c r="C52" i="68" s="1"/>
  <c r="B2" i="68" s="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D19" i="9"/>
  <c r="C19" i="9"/>
  <c r="D10" i="71" l="1"/>
  <c r="C9" i="71"/>
  <c r="C102" i="9"/>
  <c r="C21" i="9"/>
  <c r="C57" i="68"/>
  <c r="C56" i="68" s="1"/>
  <c r="B3" i="68"/>
  <c r="D102" i="9"/>
  <c r="D21" i="9"/>
  <c r="D22" i="9"/>
  <c r="G19" i="9"/>
  <c r="I20" i="9"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D20" i="9"/>
  <c r="D34" i="9"/>
  <c r="C20" i="9"/>
  <c r="C8" i="71" l="1"/>
  <c r="D9" i="71"/>
  <c r="C103" i="9"/>
  <c r="G21" i="9"/>
  <c r="D103" i="9"/>
  <c r="G20" i="9"/>
  <c r="C32" i="9" s="1"/>
  <c r="C35" i="9" s="1"/>
  <c r="C34" i="9" s="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118" i="9"/>
  <c r="D119" i="9" s="1"/>
  <c r="D5" i="52" s="1"/>
  <c r="B49" i="72" s="1"/>
  <c r="F118" i="9"/>
  <c r="F4" i="52" s="1"/>
  <c r="B51" i="72" s="1"/>
  <c r="H118" i="9"/>
  <c r="D6" i="71" l="1"/>
  <c r="C5" i="71"/>
  <c r="D5" i="71" s="1"/>
  <c r="M24" i="43" s="1"/>
  <c r="C104" i="9"/>
  <c r="D14" i="74"/>
  <c r="G14" i="74" s="1"/>
  <c r="B6" i="74" s="1"/>
  <c r="D6" i="74" s="1"/>
  <c r="D4" i="52"/>
  <c r="B47" i="72" s="1"/>
  <c r="H4" i="52"/>
  <c r="H119" i="9"/>
  <c r="H5" i="52" s="1"/>
  <c r="G118" i="9"/>
  <c r="G4" i="52" s="1"/>
  <c r="B52" i="72" s="1"/>
  <c r="F119" i="9"/>
  <c r="F5" i="52" s="1"/>
  <c r="B53" i="72" s="1"/>
  <c r="H101" i="9"/>
  <c r="I118" i="9"/>
  <c r="E14" i="74" l="1"/>
  <c r="B5" i="74"/>
  <c r="D5" i="74" s="1"/>
  <c r="F14" i="74"/>
  <c r="C105" i="9"/>
  <c r="E118" i="9"/>
  <c r="E4" i="52" s="1"/>
  <c r="B48" i="72" s="1"/>
  <c r="H102" i="9"/>
  <c r="I4" i="52"/>
  <c r="D45" i="9"/>
  <c r="D5" i="53"/>
  <c r="M48" i="9"/>
  <c r="H107" i="9"/>
  <c r="D7" i="53" l="1"/>
  <c r="B21" i="72" s="1"/>
  <c r="C5" i="74"/>
  <c r="B20" i="72"/>
  <c r="D6" i="53"/>
  <c r="B22" i="72" s="1"/>
  <c r="D122" i="9"/>
  <c r="M49" i="9"/>
  <c r="H108" i="9"/>
  <c r="D13" i="53"/>
  <c r="D52" i="9"/>
  <c r="C78" i="9"/>
  <c r="C73" i="9" s="1"/>
  <c r="C93" i="9"/>
  <c r="C86" i="9" s="1"/>
  <c r="D53" i="9"/>
  <c r="D55" i="9"/>
  <c r="M53" i="9" s="1"/>
  <c r="C72" i="9"/>
  <c r="C85" i="9"/>
  <c r="C64" i="9"/>
  <c r="C63" i="9" s="1"/>
  <c r="C67" i="9" s="1"/>
  <c r="C95" i="9" l="1"/>
  <c r="C96" i="9" s="1"/>
  <c r="E96" i="9" s="1"/>
  <c r="E97" i="9" s="1"/>
  <c r="D15" i="53"/>
  <c r="B31" i="72" s="1"/>
  <c r="C6" i="74"/>
  <c r="D59" i="9"/>
  <c r="M55" i="9" s="1"/>
  <c r="C68" i="9"/>
  <c r="D54" i="9" s="1"/>
  <c r="D48" i="9" s="1"/>
  <c r="M52" i="9" s="1"/>
  <c r="L64" i="9"/>
  <c r="M64" i="9" s="1"/>
  <c r="L66" i="9"/>
  <c r="M66" i="9" s="1"/>
  <c r="L63" i="9"/>
  <c r="M63" i="9" s="1"/>
  <c r="L65" i="9"/>
  <c r="M65" i="9" s="1"/>
  <c r="L68" i="9"/>
  <c r="M68" i="9" s="1"/>
  <c r="L67" i="9"/>
  <c r="M67" i="9" s="1"/>
  <c r="D14" i="53"/>
  <c r="B32" i="72" s="1"/>
  <c r="B30" i="72"/>
  <c r="C79" i="9"/>
  <c r="D123" i="9"/>
  <c r="D9" i="52" s="1"/>
  <c r="D8" i="52"/>
  <c r="M69" i="9" l="1"/>
  <c r="N69" i="9" s="1"/>
  <c r="C80" i="9"/>
  <c r="E80" i="9" s="1"/>
  <c r="E81" i="9" s="1"/>
  <c r="C97" i="9"/>
  <c r="C81" i="9" l="1"/>
  <c r="D58" i="9" s="1"/>
  <c r="D56" i="9" s="1"/>
  <c r="M54" i="9" s="1"/>
  <c r="N57" i="9" s="1"/>
  <c r="P57" i="9" l="1"/>
  <c r="N58" i="9"/>
  <c r="N59" i="9"/>
  <c r="N61" i="9"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7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<sst xmlns="http://schemas.openxmlformats.org/spreadsheetml/2006/main" count="9876" uniqueCount="4308">
  <si>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</si>
  <si>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</si>
  <si>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</si>
  <si>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</si>
  <si>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</si>
  <si>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</si>
  <si>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</si>
  <si>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</si>
  <si>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</si>
  <si>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</si>
  <si>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</si>
  <si>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</si>
  <si>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</si>
  <si>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</si>
  <si>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</si>
  <si>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</si>
  <si>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</si>
  <si>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</si>
  <si>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</si>
  <si>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</si>
  <si>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</si>
  <si>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</si>
  <si>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</si>
  <si>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</si>
  <si>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</si>
  <si>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</si>
  <si>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</si>
  <si>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</si>
  <si>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</si>
  <si>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</si>
  <si>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</si>
  <si>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</si>
  <si>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</si>
  <si>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</si>
  <si>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</si>
  <si>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</si>
  <si>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</si>
  <si>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</si>
  <si>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</si>
  <si>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</si>
  <si>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</si>
  <si>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</si>
  <si>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</si>
  <si>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</si>
  <si>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</si>
  <si>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</si>
  <si>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</si>
  <si>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</si>
  <si>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</si>
  <si>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</si>
  <si>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</si>
  <si>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</si>
  <si>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</si>
  <si>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</si>
  <si>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</si>
  <si>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</si>
  <si>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</si>
  <si>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</si>
  <si>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</si>
  <si>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</si>
  <si>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</si>
  <si>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</si>
  <si>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</si>
  <si>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</si>
  <si>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</si>
  <si>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</si>
  <si>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</si>
  <si>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</si>
  <si>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</si>
  <si>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</si>
  <si>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</si>
  <si>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</si>
  <si>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</si>
  <si>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</si>
  <si>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</si>
  <si>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</si>
  <si>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</si>
  <si>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</si>
  <si>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</si>
  <si>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</si>
  <si>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</si>
  <si>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</si>
  <si>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</si>
  <si>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</si>
  <si>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</si>
  <si>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</si>
  <si>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</si>
  <si>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</si>
  <si>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</si>
  <si>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</si>
  <si>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</si>
  <si>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</si>
  <si>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</si>
  <si>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</si>
  <si>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</si>
  <si>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</si>
  <si>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</si>
  <si>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</si>
  <si>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</si>
  <si>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</si>
  <si>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</si>
  <si>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</si>
  <si>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</si>
  <si>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</si>
  <si>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</si>
  <si>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</si>
  <si>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</si>
  <si>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</si>
  <si>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</si>
  <si>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</si>
  <si>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</si>
  <si>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</si>
  <si>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</si>
  <si>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</si>
  <si>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</si>
  <si>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</si>
  <si>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</si>
  <si>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</si>
  <si>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</si>
  <si>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</si>
  <si>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</si>
  <si>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</si>
  <si>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</si>
  <si>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</si>
  <si>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</si>
  <si>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</si>
  <si>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</si>
  <si>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</si>
  <si>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</si>
  <si>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</si>
  <si>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</si>
  <si>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</si>
  <si>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</si>
  <si>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</si>
  <si>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</si>
  <si>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</si>
  <si>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</si>
  <si>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</si>
  <si>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</si>
  <si>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</si>
  <si>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</si>
  <si>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</si>
  <si>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</si>
  <si>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</si>
  <si>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</si>
  <si>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</si>
  <si>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</si>
  <si>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</si>
  <si>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</si>
  <si>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</si>
  <si>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</si>
  <si>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</si>
  <si>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</si>
  <si>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</si>
  <si>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</si>
  <si>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</si>
  <si>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</si>
  <si>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</si>
  <si>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</si>
  <si>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</si>
  <si>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</si>
  <si>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</si>
  <si>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</si>
  <si>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</si>
  <si>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</si>
  <si>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</si>
  <si>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</si>
  <si>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</si>
  <si>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</si>
  <si>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</si>
  <si>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</si>
  <si>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</si>
  <si>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</si>
  <si>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</si>
  <si>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</si>
  <si>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</si>
  <si>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</si>
  <si>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</si>
  <si>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</si>
  <si>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</si>
  <si>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</si>
  <si>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</si>
  <si>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</si>
  <si>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</si>
  <si>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</si>
  <si>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</si>
  <si>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</si>
  <si>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</si>
  <si>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</si>
  <si>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</si>
  <si>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</si>
  <si>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</si>
  <si>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</si>
  <si>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</si>
  <si>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</si>
  <si>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</si>
  <si>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</si>
  <si>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</si>
  <si>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</si>
  <si>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</si>
  <si>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</si>
  <si>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</si>
  <si>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</si>
  <si>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</si>
  <si>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</si>
  <si>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</si>
  <si>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</si>
  <si>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</si>
  <si>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</si>
  <si>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</si>
  <si>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</si>
  <si>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</si>
  <si>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</si>
  <si>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</si>
  <si>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</si>
  <si>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</si>
  <si>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</si>
  <si>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</si>
  <si>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</si>
  <si>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</si>
  <si>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</si>
  <si>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</si>
  <si>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</si>
  <si>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</si>
  <si>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</si>
  <si>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</si>
  <si>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</si>
  <si>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</si>
  <si>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</si>
  <si>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</si>
  <si>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</si>
  <si>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</si>
  <si>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</si>
  <si>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</si>
  <si>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</si>
  <si>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</si>
  <si>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</si>
  <si>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</si>
  <si>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</si>
  <si>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</si>
  <si>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</si>
  <si>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</si>
  <si>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</si>
  <si>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</si>
  <si>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</si>
  <si>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</si>
  <si>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</si>
  <si>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</si>
  <si>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</si>
  <si>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</si>
  <si>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</si>
  <si>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</si>
  <si>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</si>
  <si>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</si>
  <si>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</si>
  <si>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</si>
  <si>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</si>
  <si>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</si>
  <si>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</si>
  <si>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</si>
  <si>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</si>
  <si>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</si>
  <si>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</si>
  <si>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</si>
  <si>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</si>
  <si>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</si>
  <si>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</si>
  <si>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</si>
  <si>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</si>
  <si>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</si>
  <si>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</si>
  <si>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</si>
  <si>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</si>
  <si>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</si>
  <si>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</si>
  <si>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</si>
  <si>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</si>
  <si>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</si>
  <si>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</si>
  <si>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</si>
  <si>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</si>
  <si>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</si>
  <si>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</si>
  <si>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</si>
  <si>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</si>
  <si>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</si>
  <si>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</si>
  <si>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</si>
  <si>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</si>
  <si>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</si>
  <si>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</si>
  <si>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</si>
  <si>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</si>
  <si>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</si>
  <si>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</si>
  <si>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</si>
  <si>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</si>
  <si>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</si>
  <si>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</si>
  <si>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</si>
  <si>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</si>
  <si>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</si>
  <si>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</si>
  <si>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</si>
  <si>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</si>
  <si>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</si>
  <si>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</si>
  <si>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</si>
  <si>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</si>
  <si>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</si>
  <si>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</si>
  <si>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</si>
  <si>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</si>
  <si>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</si>
  <si>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</si>
  <si>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</si>
  <si>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</si>
  <si>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</si>
  <si>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</si>
  <si>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</si>
  <si>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</si>
  <si>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</si>
  <si>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</si>
  <si>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</si>
  <si>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</si>
  <si>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</si>
  <si>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</si>
  <si>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</si>
  <si>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</si>
  <si>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</si>
  <si>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</si>
  <si>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</si>
  <si>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</si>
  <si>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</si>
  <si>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</si>
  <si>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</si>
  <si>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</si>
  <si>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</si>
  <si>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</si>
  <si>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</si>
  <si>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</si>
  <si>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</si>
  <si>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</si>
  <si>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</si>
  <si>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</si>
  <si>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</si>
  <si>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</si>
  <si>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</si>
  <si>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</si>
  <si>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</si>
  <si>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</si>
  <si>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</si>
  <si>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</si>
  <si>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</si>
  <si>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</si>
  <si>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</si>
  <si>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</si>
  <si>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</si>
  <si>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</si>
  <si>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</si>
  <si>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</si>
  <si>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</si>
  <si>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</si>
  <si>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</si>
  <si>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</si>
  <si>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</si>
  <si>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</si>
  <si>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</si>
  <si>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</si>
  <si>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</si>
  <si>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</si>
  <si>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</si>
  <si>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</si>
  <si>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</si>
  <si>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</si>
  <si>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</si>
  <si>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</si>
  <si>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</si>
  <si>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</si>
  <si>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</si>
  <si>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</si>
  <si>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</si>
  <si>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</si>
  <si>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</si>
  <si>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</si>
  <si>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</si>
  <si>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</si>
  <si>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</si>
  <si>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</si>
  <si>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</si>
  <si>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</si>
  <si>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</si>
  <si>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</si>
  <si>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</si>
  <si>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</si>
  <si>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</si>
  <si>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</si>
  <si>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</si>
  <si>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</si>
  <si>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</si>
  <si>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</si>
  <si>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</si>
  <si>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</si>
  <si>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</si>
  <si>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</si>
  <si>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</si>
  <si>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</si>
  <si>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</si>
  <si>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</si>
  <si>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</si>
  <si>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</si>
  <si>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</si>
  <si>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</si>
  <si>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</si>
  <si>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</si>
  <si>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</si>
  <si>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</si>
  <si>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</si>
  <si>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</si>
  <si>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</si>
  <si>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</si>
  <si>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</si>
  <si>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</si>
  <si>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</si>
  <si>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</si>
  <si>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</si>
  <si>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</si>
  <si>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</si>
  <si>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</si>
  <si>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</si>
  <si>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</si>
  <si>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</si>
  <si>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</si>
  <si>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</si>
  <si>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</si>
  <si>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</si>
  <si>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</si>
  <si>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</si>
  <si>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</si>
  <si>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</si>
  <si>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</si>
  <si>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</si>
  <si>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</si>
  <si>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</si>
  <si>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</si>
  <si>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</si>
  <si>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</si>
  <si>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</si>
  <si>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</si>
  <si>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</si>
  <si>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</si>
  <si>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</si>
  <si>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</si>
  <si>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</si>
  <si>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</si>
  <si>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</si>
  <si>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</si>
  <si>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</si>
  <si>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</si>
  <si>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</si>
  <si>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</si>
  <si>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</si>
  <si>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</si>
  <si>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</si>
  <si>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</si>
  <si>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</si>
  <si>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</si>
  <si>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</si>
  <si>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</si>
  <si>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</si>
  <si>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</si>
  <si>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</si>
  <si>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</si>
  <si>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</si>
  <si>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</si>
  <si>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</si>
  <si>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</si>
  <si>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</si>
  <si>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</si>
  <si>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</si>
  <si>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</si>
  <si>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</si>
  <si>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</si>
  <si>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</si>
  <si>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</si>
  <si>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</si>
  <si>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</si>
  <si>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</si>
  <si>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</si>
  <si>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</si>
  <si>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</si>
  <si>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</si>
  <si>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</si>
  <si>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</si>
  <si>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</si>
  <si>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</si>
  <si>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</si>
  <si>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</si>
  <si>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</si>
  <si>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</si>
  <si>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</si>
  <si>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</si>
  <si>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</si>
  <si>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</si>
  <si>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</si>
  <si>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</si>
  <si>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</si>
  <si>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</si>
  <si>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</si>
  <si>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</si>
  <si>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</si>
  <si>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</si>
  <si>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</si>
  <si>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</si>
  <si>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</si>
  <si>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</si>
  <si>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</si>
  <si>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</si>
  <si>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</si>
  <si>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</si>
  <si>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</si>
  <si>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</si>
  <si>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</si>
  <si>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</si>
  <si>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</si>
  <si>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</si>
  <si>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</si>
  <si>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</si>
  <si>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</si>
  <si>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</si>
  <si>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</si>
  <si>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</si>
  <si>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</si>
  <si>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</si>
  <si>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</si>
  <si>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</si>
  <si>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</si>
  <si>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</si>
  <si>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</si>
  <si>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</si>
  <si>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</si>
  <si>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</si>
  <si>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</si>
  <si>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</si>
  <si>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</si>
  <si>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</si>
  <si>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</si>
  <si>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</si>
  <si>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</si>
  <si>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</si>
  <si>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</si>
  <si>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</si>
  <si>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</si>
  <si>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</si>
  <si>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</si>
  <si>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</si>
  <si>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</si>
  <si>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</si>
  <si>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</si>
  <si>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</si>
  <si>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</si>
  <si>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</si>
  <si>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</si>
  <si>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</si>
  <si>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</si>
  <si>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</si>
  <si>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</si>
  <si>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</si>
  <si>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</si>
  <si>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</si>
  <si>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</si>
  <si>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</si>
  <si>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</si>
  <si>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</si>
  <si>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</si>
  <si>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</si>
  <si>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</si>
  <si>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</si>
  <si>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</si>
  <si>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</si>
  <si>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</si>
  <si>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</si>
  <si>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</si>
  <si>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</si>
  <si>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</si>
  <si>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</si>
  <si>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</si>
  <si>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</si>
  <si>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</si>
  <si>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</si>
  <si>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</si>
  <si>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</si>
  <si>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</si>
  <si>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</si>
  <si>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</si>
  <si>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</si>
  <si>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</si>
  <si>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</si>
  <si>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</si>
  <si>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</si>
  <si>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</si>
  <si>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</si>
  <si>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</si>
  <si>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</si>
  <si>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</si>
  <si>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</si>
  <si>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</si>
  <si>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</si>
  <si>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</si>
  <si>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</si>
  <si>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</si>
  <si>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</si>
  <si>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</si>
  <si>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</si>
  <si>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</si>
  <si>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</si>
  <si>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</si>
  <si>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</si>
  <si>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</si>
  <si>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</si>
  <si>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</si>
  <si>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</si>
  <si>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</si>
  <si>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</si>
  <si>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</si>
  <si>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</si>
  <si>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</si>
  <si>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</si>
  <si>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</si>
  <si>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</si>
  <si>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</si>
  <si>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</si>
  <si>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</si>
  <si>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</si>
  <si>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</si>
  <si>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</si>
  <si>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</si>
  <si>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</si>
  <si>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</si>
  <si>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</si>
  <si>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</si>
  <si>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</si>
  <si>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</si>
  <si>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</si>
  <si>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</si>
  <si>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</si>
  <si>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</si>
  <si>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</si>
  <si>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</si>
  <si>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</si>
  <si>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</si>
  <si>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</si>
  <si>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</si>
  <si>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</si>
  <si>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</si>
  <si>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</si>
  <si>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</si>
  <si>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</si>
  <si>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</si>
  <si>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</si>
  <si>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</si>
  <si>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</si>
  <si>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</si>
  <si>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</si>
  <si>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</si>
  <si>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</si>
  <si>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</si>
  <si>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</si>
  <si>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</si>
  <si>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</si>
  <si>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</si>
  <si>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</si>
  <si>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</si>
  <si>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</si>
  <si>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</si>
  <si>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</si>
  <si>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</si>
  <si>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</si>
  <si>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</si>
  <si>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</si>
  <si>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</si>
  <si>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</si>
  <si>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</si>
  <si>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</si>
  <si>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</si>
  <si>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</si>
  <si>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</si>
  <si>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</si>
  <si>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</si>
  <si>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</si>
  <si>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</si>
  <si>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</si>
  <si>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</si>
  <si>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</si>
  <si>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</si>
  <si>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</si>
  <si>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</si>
  <si>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</si>
  <si>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</si>
  <si>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</si>
  <si>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</si>
  <si>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</si>
  <si>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</si>
  <si>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</si>
  <si>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</si>
  <si>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</si>
  <si>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</si>
  <si>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</si>
  <si>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</si>
  <si>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</si>
  <si>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</si>
  <si>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</si>
  <si>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</si>
  <si>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</si>
  <si>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</si>
  <si>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</si>
  <si>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</si>
  <si>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</si>
  <si>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</si>
  <si>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</si>
  <si>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</si>
  <si>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</si>
  <si>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</si>
  <si>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</si>
  <si>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</si>
  <si>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</si>
  <si>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</si>
  <si>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</si>
  <si>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</si>
  <si>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</si>
  <si>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</si>
  <si>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</si>
  <si>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</si>
  <si>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</si>
  <si>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</si>
  <si>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</si>
  <si>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</si>
  <si>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</si>
  <si>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</si>
  <si>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</si>
  <si>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</si>
  <si>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</si>
  <si>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</si>
  <si>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</si>
  <si>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</si>
  <si>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</si>
  <si>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</si>
  <si>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</si>
  <si>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</si>
  <si>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</si>
  <si>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</si>
  <si>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</si>
  <si>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</si>
  <si>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</si>
  <si>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</si>
  <si>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</si>
  <si>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</si>
  <si>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</si>
  <si>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</si>
  <si>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</si>
  <si>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</si>
  <si>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</si>
  <si>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</si>
  <si>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</si>
  <si>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</si>
  <si>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</si>
  <si>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</si>
  <si>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</si>
  <si>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</si>
  <si>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</si>
  <si>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</si>
  <si>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</si>
  <si>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</si>
  <si>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</si>
  <si>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</si>
  <si>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</si>
  <si>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</si>
  <si>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</si>
  <si>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</si>
  <si>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</si>
  <si>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</si>
  <si>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</si>
  <si>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</si>
  <si>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</si>
  <si>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</si>
  <si>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</si>
  <si>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</si>
  <si>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</si>
  <si>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</si>
  <si>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</si>
  <si>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</si>
  <si>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</si>
  <si>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</si>
  <si>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</si>
  <si>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</si>
  <si>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</si>
  <si>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</si>
  <si>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</si>
  <si>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</si>
  <si>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</si>
  <si>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</si>
  <si>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</si>
  <si>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</si>
  <si>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</si>
  <si>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</si>
  <si>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</si>
  <si>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</si>
  <si>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</si>
  <si>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</si>
  <si>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</si>
  <si>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</si>
  <si>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</si>
  <si>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</si>
  <si>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</si>
  <si>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</si>
  <si>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</si>
  <si>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</si>
  <si>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</si>
  <si>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</si>
  <si>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</si>
  <si>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</si>
  <si>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</si>
  <si>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</si>
  <si>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</si>
  <si>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</si>
  <si>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</si>
  <si>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</si>
  <si>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</si>
  <si>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</si>
  <si>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</si>
  <si>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</si>
  <si>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</si>
  <si>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</si>
  <si>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</si>
  <si>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</si>
  <si>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</si>
  <si>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</si>
  <si>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</si>
  <si>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</si>
  <si>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</si>
  <si>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</si>
  <si>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</si>
  <si>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</si>
  <si>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</si>
  <si>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</si>
  <si>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</si>
  <si>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</si>
  <si>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</si>
  <si>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</si>
  <si>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</si>
  <si>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</si>
  <si>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</si>
  <si>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</si>
  <si>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</si>
  <si>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</si>
  <si>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</si>
  <si>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</si>
  <si>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</si>
  <si>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</si>
  <si>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</si>
  <si>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</si>
  <si>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</si>
  <si>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</si>
  <si>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</si>
  <si>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</si>
  <si>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</si>
  <si>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</si>
  <si>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</si>
  <si>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</si>
  <si>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</si>
  <si>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</si>
  <si>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</si>
  <si>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</si>
  <si>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</si>
  <si>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</si>
  <si>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</si>
  <si>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</si>
  <si>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</si>
  <si>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</si>
  <si>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</si>
  <si>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</si>
  <si>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</si>
  <si>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</si>
  <si>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</si>
  <si>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</si>
  <si>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</si>
  <si>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</si>
  <si>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</si>
  <si>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</si>
  <si>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</si>
  <si>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</si>
  <si>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</si>
  <si>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</si>
  <si>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</si>
  <si>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</si>
  <si>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</si>
  <si>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</si>
  <si>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</si>
  <si>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</si>
  <si>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</si>
  <si>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</si>
  <si>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</si>
  <si>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</si>
  <si>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</si>
  <si>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</si>
  <si>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</si>
  <si>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</si>
  <si>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</si>
  <si>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</si>
  <si>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</si>
  <si>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</si>
  <si>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</si>
  <si>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</si>
  <si>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</si>
  <si>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</si>
  <si>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</si>
  <si>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</si>
  <si>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</si>
  <si>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</si>
  <si>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</si>
  <si>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</si>
  <si>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</si>
  <si>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</si>
  <si>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</si>
  <si>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</si>
  <si>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</si>
  <si>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</si>
  <si>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</si>
  <si>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</si>
  <si>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</si>
  <si>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</si>
  <si>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</si>
  <si>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</si>
  <si>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</si>
  <si>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</si>
  <si>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</si>
  <si>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</si>
  <si>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</si>
  <si>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</si>
  <si>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</si>
  <si>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</si>
  <si>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</si>
  <si>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</si>
  <si>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</si>
  <si>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</si>
  <si>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</si>
  <si>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</si>
  <si>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</si>
  <si>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</si>
  <si>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</si>
  <si>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</si>
  <si>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</si>
  <si>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</si>
  <si>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</si>
  <si>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</si>
  <si>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</si>
  <si>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</si>
  <si>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</si>
  <si>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</si>
  <si>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</si>
  <si>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</si>
  <si>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</si>
  <si>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</si>
  <si>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</si>
  <si>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</si>
  <si>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</si>
  <si>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</si>
  <si>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</si>
  <si>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</si>
  <si>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</si>
  <si>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</si>
  <si>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</si>
  <si>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</si>
  <si>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</si>
  <si>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</si>
  <si>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</si>
  <si>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</si>
  <si>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</si>
  <si>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</si>
  <si>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</si>
  <si>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</si>
  <si>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</si>
  <si>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</si>
  <si>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</si>
  <si>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</si>
  <si>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</si>
  <si>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</si>
  <si>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</si>
  <si>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</si>
  <si>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</si>
  <si>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</si>
  <si>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</si>
  <si>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</si>
  <si>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</si>
  <si>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</si>
  <si>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</si>
  <si>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</si>
  <si>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</si>
  <si>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</si>
  <si>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</si>
  <si>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</si>
  <si>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</si>
  <si>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</si>
  <si>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</si>
  <si>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</si>
  <si>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</si>
  <si>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</si>
  <si>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</si>
  <si>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</si>
  <si>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</si>
  <si>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</si>
  <si>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</si>
  <si>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</si>
  <si>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</si>
  <si>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</si>
  <si>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</si>
  <si>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</si>
  <si>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</si>
  <si>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</si>
  <si>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</si>
  <si>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</si>
  <si>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</si>
  <si>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</si>
  <si>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</si>
  <si>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</si>
  <si>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</si>
  <si>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</si>
  <si>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</si>
  <si>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</si>
  <si>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</si>
  <si>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</si>
  <si>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</si>
  <si>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</si>
  <si>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</si>
  <si>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</si>
  <si>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</si>
  <si>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</si>
  <si>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</si>
  <si>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</si>
  <si>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</si>
  <si>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</si>
  <si>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</si>
  <si>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</si>
  <si>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</si>
  <si>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</si>
  <si>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</si>
  <si>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</si>
  <si>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</si>
  <si>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</si>
  <si>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</si>
  <si>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</si>
  <si>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</si>
  <si>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</si>
  <si>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</si>
  <si>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</si>
  <si>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</si>
  <si>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</si>
  <si>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</si>
  <si>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</si>
  <si>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</si>
  <si>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</si>
  <si>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</si>
  <si>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</si>
  <si>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</si>
  <si>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</si>
  <si>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</si>
  <si>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</si>
  <si>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</si>
  <si>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</si>
  <si>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</si>
  <si>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</si>
  <si>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</si>
  <si>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</si>
  <si>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</si>
  <si>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</si>
  <si>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</si>
  <si>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</si>
  <si>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</si>
  <si>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</si>
  <si>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</si>
  <si>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</si>
  <si>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</si>
  <si>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</si>
  <si>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</si>
  <si>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</si>
  <si>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</si>
  <si>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</si>
  <si>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</si>
  <si>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</si>
  <si>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</si>
  <si>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</si>
  <si>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</si>
  <si>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</si>
  <si>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</si>
  <si>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</si>
  <si>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</si>
  <si>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</si>
  <si>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</si>
  <si>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</si>
  <si>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</si>
  <si>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</si>
  <si>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</si>
  <si>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</si>
  <si>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</si>
  <si>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</si>
  <si>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</si>
  <si>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</si>
  <si>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</si>
  <si>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</si>
  <si>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</si>
  <si>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</si>
  <si>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</si>
  <si>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</si>
  <si>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</si>
  <si>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</si>
  <si>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</si>
  <si>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</si>
  <si>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</si>
  <si>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</si>
  <si>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</si>
  <si>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</si>
  <si>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</si>
  <si>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</si>
  <si>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</si>
  <si>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</si>
  <si>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</si>
  <si>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</si>
  <si>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</si>
  <si>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</si>
  <si>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</si>
  <si>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</si>
  <si>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</si>
  <si>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</si>
  <si>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</si>
  <si>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</si>
  <si>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</si>
  <si>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</si>
  <si>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</si>
  <si>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</si>
  <si>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</si>
  <si>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</si>
  <si>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</si>
  <si>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</si>
  <si>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</si>
  <si>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</si>
  <si>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</si>
  <si>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</si>
  <si>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</si>
  <si>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</si>
  <si>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</si>
  <si>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</si>
  <si>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</si>
  <si>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</si>
  <si>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</si>
  <si>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</si>
  <si>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</si>
  <si>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</si>
  <si>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</si>
  <si>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</si>
  <si>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</si>
  <si>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</si>
  <si>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</si>
  <si>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</si>
  <si>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</si>
  <si>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</si>
  <si>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</si>
  <si>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</si>
  <si>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</si>
  <si>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</si>
  <si>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</si>
  <si>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</si>
  <si>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</si>
  <si>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</si>
  <si>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</si>
  <si>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</si>
  <si>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</si>
  <si>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</si>
  <si>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</si>
  <si>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</si>
  <si>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</si>
  <si>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</si>
  <si>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</si>
  <si>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</si>
  <si>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</si>
  <si>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</si>
  <si>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</si>
  <si>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</si>
  <si>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</si>
  <si>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</si>
  <si>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</si>
  <si>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</si>
  <si>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</si>
  <si>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</si>
  <si>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</si>
  <si>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</si>
  <si>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</si>
  <si>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</si>
  <si>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</si>
  <si>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</si>
  <si>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</si>
  <si>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</si>
  <si>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</si>
  <si>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</si>
  <si>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</si>
  <si>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</si>
  <si>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</si>
  <si>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</si>
  <si>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</si>
  <si>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</si>
  <si>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</si>
  <si>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</si>
  <si>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</si>
  <si>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</si>
  <si>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</si>
  <si>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</si>
  <si>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</si>
  <si>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</si>
  <si>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</si>
  <si>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</si>
  <si>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</si>
  <si>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</si>
  <si>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</si>
  <si>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</si>
  <si>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</si>
  <si>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</si>
  <si>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</si>
  <si>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</si>
  <si>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</si>
  <si>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</si>
  <si>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</si>
  <si>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</si>
  <si>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</si>
  <si>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</si>
  <si>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</si>
  <si>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</si>
  <si>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</si>
  <si>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</si>
  <si>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</si>
  <si>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</si>
  <si>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</si>
  <si>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</si>
  <si>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</si>
  <si>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</si>
  <si>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</si>
  <si>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</si>
  <si>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</si>
  <si>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</si>
  <si>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</si>
  <si>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</si>
  <si>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</si>
  <si>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</si>
  <si>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</si>
  <si>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</si>
  <si>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</si>
  <si>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</si>
  <si>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</si>
  <si>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</si>
  <si>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</si>
  <si>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</si>
  <si>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</si>
  <si>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</si>
  <si>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</si>
  <si>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</si>
  <si>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</si>
  <si>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</si>
  <si>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</si>
  <si>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</si>
  <si>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</si>
  <si>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</si>
  <si>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</si>
  <si>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</si>
  <si>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</si>
  <si>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</si>
  <si>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</si>
  <si>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</si>
  <si>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</si>
  <si>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</si>
  <si>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</si>
  <si>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</si>
  <si>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</si>
  <si>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</si>
  <si>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</si>
  <si>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</si>
  <si>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</si>
  <si>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</si>
  <si>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</si>
  <si>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</si>
  <si>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</si>
  <si>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</si>
  <si>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</si>
  <si>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</si>
  <si>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</si>
  <si>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</si>
  <si>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</si>
  <si>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</si>
  <si>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</si>
  <si>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</si>
  <si>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</si>
  <si>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</si>
  <si>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</si>
  <si>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</si>
  <si>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</si>
  <si>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</si>
  <si>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</si>
  <si>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</si>
  <si>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</si>
  <si>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</si>
  <si>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</si>
  <si>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</si>
  <si>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</si>
  <si>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</si>
  <si>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</si>
  <si>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</si>
  <si>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</si>
  <si>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</si>
  <si>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</si>
  <si>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</si>
  <si>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</si>
  <si>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</si>
  <si>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</si>
  <si>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</si>
  <si>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</si>
  <si>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</si>
  <si>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</si>
  <si>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</si>
  <si>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</si>
  <si>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</si>
  <si>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</si>
  <si>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</si>
  <si>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</si>
  <si>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</si>
  <si>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</si>
  <si>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</si>
  <si>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</si>
  <si>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</si>
  <si>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</si>
  <si>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</si>
  <si>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</si>
  <si>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</si>
  <si>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</si>
  <si>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</si>
  <si>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</si>
  <si>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</si>
  <si>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</si>
  <si>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</si>
  <si>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</si>
  <si>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</si>
  <si>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</si>
  <si>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</si>
  <si>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</si>
  <si>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</si>
  <si>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</si>
  <si>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</si>
  <si>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</si>
  <si>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</si>
  <si>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</si>
  <si>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</si>
  <si>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</si>
  <si>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</si>
  <si>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</si>
  <si>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</si>
  <si>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</si>
  <si>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</si>
  <si>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</si>
  <si>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</si>
  <si>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</si>
  <si>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</si>
  <si>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</si>
  <si>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</si>
  <si>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</si>
  <si>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</si>
  <si>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</si>
  <si>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</si>
  <si>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</si>
  <si>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</si>
  <si>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</si>
  <si>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</si>
  <si>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</si>
  <si>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</si>
  <si>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</si>
  <si>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</si>
  <si>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</si>
  <si>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</si>
  <si>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</si>
  <si>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</si>
  <si>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</si>
  <si>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</si>
  <si>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</si>
  <si>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</si>
  <si>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</si>
  <si>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</si>
  <si>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</si>
  <si>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</si>
  <si>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</si>
  <si>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</si>
  <si>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</si>
  <si>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</si>
  <si>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</si>
  <si>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</si>
  <si>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</si>
  <si>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</si>
  <si>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</si>
  <si>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</si>
  <si>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</si>
  <si>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</si>
  <si>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</si>
  <si>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</si>
  <si>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</si>
  <si>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</si>
  <si>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</si>
  <si>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</si>
  <si>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</si>
  <si>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</si>
  <si>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</si>
  <si>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</si>
  <si>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</si>
  <si>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</si>
  <si>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</si>
  <si>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</si>
  <si>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</si>
  <si>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</si>
  <si>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</si>
  <si>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</si>
  <si>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</si>
  <si>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</si>
  <si>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</si>
  <si>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</si>
  <si>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</si>
  <si>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</si>
  <si>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</si>
  <si>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</si>
  <si>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</si>
  <si>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</si>
  <si>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</si>
  <si>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</si>
  <si>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</si>
  <si>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</si>
  <si>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</si>
  <si>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</si>
  <si>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</si>
  <si>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</si>
  <si>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</si>
  <si>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</si>
  <si>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</si>
  <si>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</si>
  <si>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</si>
  <si>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</si>
  <si>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</si>
  <si>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</si>
  <si>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</si>
  <si>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</si>
  <si>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</si>
  <si>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</si>
  <si>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</si>
  <si>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</si>
  <si>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</si>
  <si>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</si>
  <si>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</si>
  <si>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</si>
  <si>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</si>
  <si>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</si>
  <si>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</si>
  <si>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</si>
  <si>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</si>
  <si>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</si>
  <si>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</si>
  <si>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</si>
  <si>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</si>
  <si>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</si>
  <si>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</si>
  <si>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</si>
  <si>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</si>
  <si>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</si>
  <si>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</si>
  <si>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</si>
  <si>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</si>
  <si>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</si>
  <si>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</si>
  <si>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</si>
  <si>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</si>
  <si>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</si>
  <si>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</si>
  <si>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</si>
  <si>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</si>
  <si>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</si>
  <si>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</si>
  <si>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</si>
  <si>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</si>
  <si>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</si>
  <si>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</si>
  <si>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</si>
  <si>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</si>
  <si>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</si>
  <si>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</si>
  <si>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</si>
  <si>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</si>
  <si>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</si>
  <si>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</si>
  <si>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</si>
  <si>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</si>
  <si>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</si>
  <si>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</si>
  <si>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</si>
  <si>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</si>
  <si>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</si>
  <si>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</si>
  <si>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</si>
  <si>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</si>
  <si>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</si>
  <si>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</si>
  <si>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</si>
  <si>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</si>
  <si>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</si>
  <si>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</si>
  <si>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</si>
  <si>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</si>
  <si>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</si>
  <si>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</si>
  <si>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</si>
  <si>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</si>
  <si>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</si>
  <si>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</si>
  <si>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</si>
  <si>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</si>
  <si>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</si>
  <si>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</si>
  <si>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</si>
  <si>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</si>
  <si>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</si>
  <si>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</si>
  <si>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</si>
  <si>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</si>
  <si>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</si>
  <si>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</si>
  <si>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</si>
  <si>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</si>
  <si>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</si>
  <si>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</si>
  <si>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</si>
  <si>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</si>
  <si>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</si>
  <si>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</si>
  <si>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</si>
  <si>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</si>
  <si>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</si>
  <si>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</si>
  <si>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</si>
  <si>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</si>
  <si>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</si>
  <si>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</si>
  <si>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</si>
  <si>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</si>
  <si>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</si>
  <si>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</si>
  <si>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</si>
  <si>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</si>
  <si>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</si>
  <si>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</si>
  <si>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</si>
  <si>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</si>
  <si>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</si>
  <si>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</si>
  <si>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</si>
  <si>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</si>
  <si>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</si>
  <si>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</si>
  <si>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</si>
  <si>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</si>
  <si>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</si>
  <si>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</si>
  <si>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</si>
  <si>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</si>
  <si>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</si>
  <si>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</si>
  <si>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</si>
  <si>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</si>
  <si>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</si>
  <si>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</si>
  <si>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</si>
  <si>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</si>
  <si>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</si>
  <si>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</si>
  <si>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</si>
  <si>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</si>
  <si>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</si>
  <si>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</si>
  <si>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</si>
  <si>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</si>
  <si>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</si>
  <si>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</si>
  <si>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</si>
  <si>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</si>
  <si>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</si>
  <si>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</si>
  <si>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</si>
  <si>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</si>
  <si>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</si>
  <si>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</si>
  <si>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</si>
  <si>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</si>
  <si>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</si>
  <si>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</si>
  <si>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</si>
  <si>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</si>
  <si>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</si>
  <si>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</si>
  <si>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</si>
  <si>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</si>
  <si>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</si>
  <si>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</si>
  <si>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</si>
  <si>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</si>
  <si>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</si>
  <si>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</si>
  <si>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</si>
  <si>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</si>
  <si>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</si>
  <si>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</si>
  <si>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</si>
  <si>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</si>
  <si>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</si>
  <si>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</si>
  <si>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</si>
  <si>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</si>
  <si>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</si>
  <si>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</si>
  <si>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</si>
  <si>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</si>
  <si>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</si>
  <si>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</si>
  <si>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</si>
  <si>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</si>
  <si>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</si>
  <si>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</si>
  <si>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</si>
  <si>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</si>
  <si>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</si>
  <si>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</si>
  <si>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</si>
  <si>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</si>
  <si>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</si>
  <si>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</si>
  <si>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</si>
  <si>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</si>
  <si>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</si>
  <si>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</si>
  <si>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</si>
  <si>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</si>
  <si>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</si>
  <si>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</si>
  <si>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</si>
  <si>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</si>
  <si>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</si>
  <si>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</si>
  <si>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</si>
  <si>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</si>
  <si>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</si>
  <si>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</si>
  <si>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</si>
  <si>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</si>
  <si>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</si>
  <si>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</si>
  <si>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</si>
  <si>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</si>
  <si>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</si>
  <si>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</si>
  <si>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</si>
  <si>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</si>
  <si>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</si>
  <si>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</si>
  <si>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</si>
  <si>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</si>
  <si>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</si>
  <si>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</si>
  <si>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</si>
  <si>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</si>
  <si>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</si>
  <si>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</si>
  <si>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</si>
  <si>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</si>
  <si>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</si>
  <si>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</si>
  <si>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</si>
  <si>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</si>
  <si>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</si>
  <si>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</si>
  <si>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</si>
  <si>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</si>
  <si>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</si>
  <si>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</si>
  <si>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</si>
  <si>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</si>
  <si>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</si>
  <si>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</si>
  <si>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</si>
  <si>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</si>
  <si>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</si>
  <si>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</si>
  <si>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</si>
  <si>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</si>
  <si>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</si>
  <si>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</si>
  <si>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</si>
  <si>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</si>
  <si>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</si>
  <si>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</si>
  <si>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</si>
  <si>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</si>
  <si>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</si>
  <si>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</si>
  <si>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</si>
  <si>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</si>
  <si>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</si>
  <si>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</si>
  <si>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</si>
  <si>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</si>
  <si>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</si>
  <si>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</si>
  <si>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</si>
  <si>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</si>
  <si>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</si>
  <si>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</si>
  <si>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</si>
  <si>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</si>
  <si>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</si>
  <si>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</si>
  <si>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</si>
  <si>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</si>
  <si>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</si>
  <si>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</si>
  <si>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</si>
  <si>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</si>
  <si>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</si>
  <si>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</si>
  <si>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</si>
  <si>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</si>
  <si>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</si>
  <si>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</si>
  <si>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</si>
  <si>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</si>
  <si>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</si>
  <si>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</si>
  <si>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</si>
  <si>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</si>
  <si>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</si>
  <si>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</si>
  <si>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</si>
  <si>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</si>
  <si>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</si>
  <si>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</si>
  <si>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</si>
  <si>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</si>
  <si>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</si>
  <si>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</si>
  <si>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</si>
  <si>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</si>
  <si>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</si>
  <si>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</si>
  <si>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</si>
  <si>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</si>
  <si>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</si>
  <si>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</si>
  <si>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</si>
  <si>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</si>
  <si>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</si>
  <si>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</si>
  <si>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</si>
  <si>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</si>
  <si>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</si>
  <si>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</si>
  <si>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</si>
  <si>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</si>
  <si>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</si>
  <si>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</si>
  <si>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</si>
  <si>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</si>
  <si>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</si>
  <si>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</si>
  <si>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</si>
  <si>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</si>
  <si>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</si>
  <si>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</si>
  <si>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</si>
  <si>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</si>
  <si>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</si>
  <si>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</si>
  <si>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</si>
  <si>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</si>
  <si>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</si>
  <si>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</si>
  <si>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</si>
  <si>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</si>
  <si>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</si>
  <si>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</si>
  <si>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</si>
  <si>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</si>
  <si>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</si>
  <si>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</si>
  <si>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</si>
  <si>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</si>
  <si>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</si>
  <si>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</si>
  <si>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</si>
  <si>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</si>
  <si>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</si>
  <si>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</si>
  <si>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</si>
  <si>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</si>
  <si>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</si>
  <si>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</si>
  <si>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</si>
  <si>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</si>
  <si>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</si>
  <si>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</si>
  <si>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</si>
  <si>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</si>
  <si>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</si>
  <si>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</si>
  <si>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</si>
  <si>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</si>
  <si>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</si>
  <si>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</si>
  <si>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</si>
  <si>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</si>
  <si>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</si>
  <si>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</si>
  <si>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</si>
  <si>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</si>
  <si>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</si>
  <si>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</si>
  <si>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</si>
  <si>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</si>
  <si>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</si>
  <si>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</si>
  <si>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</si>
  <si>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</si>
  <si>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</si>
  <si>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</si>
  <si>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</si>
  <si>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</si>
  <si>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</si>
  <si>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</si>
  <si>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</si>
  <si>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</si>
  <si>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</si>
  <si>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</si>
  <si>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</si>
  <si>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</si>
  <si>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</si>
  <si>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</si>
  <si>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</si>
  <si>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</si>
  <si>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</si>
  <si>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</si>
  <si>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</si>
  <si>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</si>
  <si>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</si>
  <si>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</si>
  <si>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</si>
  <si>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</si>
  <si>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</si>
  <si>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</si>
  <si>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</si>
  <si>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</si>
  <si>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</si>
  <si>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</si>
  <si>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</si>
  <si>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</si>
  <si>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</si>
  <si>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</si>
  <si>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</si>
  <si>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</si>
  <si>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</si>
  <si>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</si>
  <si>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</si>
  <si>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</si>
  <si>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</si>
  <si>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</si>
  <si>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</si>
  <si>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</si>
  <si>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</si>
  <si>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</si>
  <si>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</si>
  <si>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</si>
  <si>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</si>
  <si>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</si>
  <si>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</si>
  <si>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</si>
  <si>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</si>
  <si>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</si>
  <si>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</si>
  <si>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</si>
  <si>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</si>
  <si>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</si>
  <si>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</si>
  <si>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</si>
  <si>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</si>
  <si>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</si>
  <si>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</si>
  <si>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</si>
  <si>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</si>
  <si>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</si>
  <si>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</si>
  <si>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</si>
  <si>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</si>
  <si>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</si>
  <si>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</si>
  <si>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</si>
  <si>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</si>
  <si>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</si>
  <si>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</si>
  <si>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</si>
  <si>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</si>
  <si>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</si>
  <si>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</si>
  <si>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</si>
  <si>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</si>
  <si>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</si>
  <si>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</si>
  <si>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</si>
  <si>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</si>
  <si>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</si>
  <si>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</si>
  <si>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</si>
  <si>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</si>
  <si>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</si>
  <si>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</si>
  <si>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</si>
  <si>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</si>
  <si>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</si>
  <si>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</si>
  <si>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</si>
  <si>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</si>
  <si>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</si>
  <si>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</si>
  <si>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</si>
  <si>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</si>
  <si>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</si>
  <si>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</si>
  <si>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</si>
  <si>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</si>
  <si>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</si>
  <si>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</si>
  <si>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</si>
  <si>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</si>
  <si>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</si>
  <si>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</si>
  <si>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</si>
  <si>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</si>
  <si>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</si>
  <si>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</si>
  <si>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</si>
  <si>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</si>
  <si>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</si>
  <si>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</si>
  <si>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</si>
  <si>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</si>
  <si>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</si>
  <si>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</si>
  <si>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</si>
  <si>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</si>
  <si>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</si>
  <si>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</si>
  <si>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</si>
  <si>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</si>
  <si>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</si>
  <si>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</si>
  <si>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</si>
  <si>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</si>
  <si>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</si>
  <si>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</si>
  <si>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</si>
  <si>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</si>
  <si>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</si>
  <si>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</si>
  <si>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</si>
  <si>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</si>
  <si>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</si>
  <si>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</si>
  <si>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</si>
  <si>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</si>
  <si>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</si>
  <si>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</si>
  <si>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</si>
  <si>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</si>
  <si>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</si>
  <si>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</si>
  <si>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</si>
  <si>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</si>
  <si>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</si>
  <si>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</si>
  <si>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</si>
  <si>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</si>
  <si>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</si>
  <si>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</si>
  <si>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</si>
  <si>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</si>
  <si>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</si>
  <si>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</si>
  <si>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</si>
  <si>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</si>
  <si>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</si>
  <si>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</si>
  <si>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</si>
  <si>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</si>
  <si>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</si>
  <si>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</si>
  <si>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</si>
  <si>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</si>
  <si>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</si>
  <si>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</si>
  <si>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</si>
  <si>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</si>
  <si>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</si>
  <si>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</si>
  <si>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</si>
  <si>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</si>
  <si>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</si>
  <si>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</si>
  <si>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</si>
  <si>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</si>
  <si>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</si>
  <si>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</si>
  <si>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</si>
  <si>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</si>
  <si>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</si>
  <si>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</si>
  <si>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</si>
  <si>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</si>
  <si>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</si>
  <si>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</si>
  <si>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</si>
  <si>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</si>
  <si>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</si>
  <si>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</si>
  <si>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</si>
  <si>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</si>
  <si>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</si>
  <si>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</si>
  <si>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</si>
  <si>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</si>
  <si>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</si>
  <si>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</si>
  <si>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</si>
  <si>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</si>
  <si>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</si>
  <si>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</si>
  <si>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</si>
  <si>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</si>
  <si>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</si>
  <si>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</si>
  <si>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</si>
  <si>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</si>
  <si>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</si>
  <si>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</si>
  <si>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</si>
  <si>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</si>
  <si>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</si>
  <si>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</si>
  <si>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</si>
  <si>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</si>
  <si>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</si>
  <si>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</si>
  <si>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</si>
  <si>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</si>
  <si>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</si>
  <si>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</si>
  <si>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</si>
  <si>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</si>
  <si>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</si>
  <si>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</si>
  <si>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</si>
  <si>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</si>
  <si>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</si>
  <si>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</si>
  <si>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</si>
  <si>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</si>
  <si>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</si>
  <si>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</si>
  <si>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</si>
  <si>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</si>
  <si>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</si>
  <si>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</si>
  <si>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</si>
  <si>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</si>
  <si>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</si>
  <si>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</si>
  <si>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</si>
  <si>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</si>
  <si>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</si>
  <si>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</si>
  <si>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</si>
  <si>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</si>
  <si>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</si>
  <si>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</si>
  <si>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</si>
  <si>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</si>
  <si>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</si>
  <si>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</si>
  <si>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</si>
  <si>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</si>
  <si>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</si>
  <si>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</si>
  <si>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</si>
  <si>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</si>
  <si>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</si>
  <si>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</si>
  <si>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</si>
  <si>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</si>
  <si>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</si>
  <si>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</si>
  <si>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</si>
  <si>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</si>
  <si>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</si>
  <si>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</si>
  <si>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</si>
  <si>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</si>
  <si>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</si>
  <si>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</si>
  <si>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</si>
  <si>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</si>
  <si>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</si>
  <si>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</si>
  <si>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</si>
  <si>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</si>
  <si>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</si>
  <si>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</si>
  <si>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</si>
  <si>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</si>
  <si>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</si>
  <si>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</si>
  <si>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</si>
  <si>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</si>
  <si>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</si>
  <si>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</si>
  <si>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</si>
  <si>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</si>
  <si>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</si>
  <si>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</si>
  <si>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</si>
  <si>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</si>
  <si>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</si>
  <si>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</si>
  <si>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</si>
  <si>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</si>
  <si>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</si>
  <si>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</si>
  <si>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</si>
  <si>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</si>
  <si>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</si>
  <si>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</si>
  <si>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</si>
  <si>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</si>
  <si>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</si>
  <si>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</si>
  <si>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</si>
  <si>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</si>
  <si>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</si>
  <si>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</si>
  <si>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</si>
  <si>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</si>
  <si>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</si>
  <si>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</si>
  <si>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</si>
  <si>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</si>
  <si>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</si>
  <si>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</si>
  <si>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</si>
  <si>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</si>
  <si>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</si>
  <si>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</si>
  <si>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</si>
  <si>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</si>
  <si>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</si>
  <si>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</si>
  <si>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</si>
  <si>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</si>
  <si>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</si>
  <si>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</si>
  <si>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</si>
  <si>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</si>
  <si>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</si>
  <si>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</si>
  <si>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</si>
  <si>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</si>
  <si>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</si>
  <si>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</si>
  <si>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</si>
  <si>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</si>
  <si>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</si>
  <si>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</si>
  <si>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</si>
  <si>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</si>
  <si>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</si>
  <si>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</si>
  <si>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</si>
  <si>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</si>
  <si>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</si>
  <si>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</si>
  <si>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</si>
  <si>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</si>
  <si>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</si>
  <si>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</si>
  <si>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</si>
  <si>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</si>
  <si>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</si>
  <si>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</si>
  <si>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</si>
  <si>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</si>
  <si>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</si>
  <si>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</si>
  <si>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</si>
  <si>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</si>
  <si>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</si>
  <si>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</si>
  <si>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</si>
  <si>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</si>
  <si>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</si>
  <si>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</si>
  <si>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</si>
  <si>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</si>
  <si>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</si>
  <si>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</si>
  <si>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</si>
  <si>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</si>
  <si>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</si>
  <si>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</si>
  <si>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</si>
  <si>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</si>
  <si>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</si>
  <si>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</si>
  <si>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</si>
  <si>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</si>
  <si>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</si>
  <si>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</si>
  <si>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</si>
  <si>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</si>
  <si>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</si>
  <si>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</si>
  <si>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</si>
  <si>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</si>
  <si>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</si>
  <si>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</si>
  <si>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</si>
  <si>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</si>
  <si>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</si>
  <si>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</si>
  <si>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</si>
  <si>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</si>
  <si>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</si>
  <si>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</si>
  <si>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</si>
  <si>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</si>
  <si>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</si>
  <si>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</si>
  <si>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</si>
  <si>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</si>
  <si>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</si>
  <si>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</si>
  <si>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</si>
  <si>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</si>
  <si>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</si>
  <si>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</si>
  <si>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</si>
  <si>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</si>
  <si>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</si>
  <si>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</si>
  <si>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</si>
  <si>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</si>
  <si>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</si>
  <si>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</si>
  <si>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</si>
  <si>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</si>
  <si>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</si>
  <si>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</si>
  <si>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</si>
  <si>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</si>
  <si>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</si>
  <si>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</si>
  <si>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</si>
  <si>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</si>
  <si>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</si>
  <si>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</si>
  <si>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</si>
  <si>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</si>
  <si>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</si>
  <si>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</si>
  <si>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</si>
  <si>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</si>
  <si>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</si>
  <si>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</si>
  <si>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</si>
  <si>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</si>
  <si>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</si>
  <si>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</si>
  <si>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</si>
  <si>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</si>
  <si>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</si>
  <si>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</si>
  <si>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</si>
  <si>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</si>
  <si>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</si>
  <si>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</si>
  <si>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</si>
  <si>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</si>
  <si>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</si>
  <si>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</si>
  <si>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</si>
  <si>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</si>
  <si>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</si>
  <si>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</si>
  <si>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</si>
  <si>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</si>
  <si>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</si>
  <si>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</si>
  <si>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</si>
  <si>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</si>
  <si>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</si>
  <si>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</si>
  <si>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</si>
  <si>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</si>
  <si>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</si>
  <si>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</si>
  <si>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</si>
  <si>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</si>
  <si>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</si>
  <si>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</si>
  <si>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</si>
  <si>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</si>
  <si>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</si>
  <si>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</si>
  <si>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</si>
  <si>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</si>
  <si>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</si>
  <si>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</si>
  <si>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</si>
  <si>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</si>
  <si>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</si>
  <si>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</si>
  <si>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</si>
  <si>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</si>
  <si>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</si>
  <si>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</si>
  <si>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</si>
  <si>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</si>
  <si>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</si>
  <si>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</si>
  <si>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</si>
  <si>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</si>
  <si>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</si>
  <si>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</si>
  <si>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</si>
  <si>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</si>
  <si>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</si>
  <si>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</si>
  <si>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</si>
  <si>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</si>
  <si>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</si>
  <si>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</si>
  <si>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</si>
  <si>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</si>
  <si>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</si>
  <si>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</si>
  <si>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</si>
  <si>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</si>
  <si>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</si>
  <si>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</si>
  <si>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</si>
  <si>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</si>
  <si>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</si>
  <si>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</si>
  <si>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</si>
  <si>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</si>
  <si>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</si>
  <si>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</si>
  <si>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</si>
  <si>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</si>
  <si>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</si>
  <si>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</si>
  <si>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</si>
  <si>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</si>
  <si>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</si>
  <si>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</si>
  <si>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</si>
  <si>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</si>
  <si>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</si>
  <si>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</si>
  <si>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</si>
  <si>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</si>
  <si>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</si>
  <si>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</si>
  <si>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</si>
  <si>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</si>
  <si>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</si>
  <si>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</si>
  <si>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</si>
  <si>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</si>
  <si>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</si>
  <si>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</si>
  <si>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</si>
  <si>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</si>
  <si>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</si>
  <si>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</si>
  <si>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</si>
  <si>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</si>
  <si>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</si>
  <si>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</si>
  <si>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</si>
  <si>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</si>
  <si>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</si>
  <si>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</si>
  <si>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</si>
  <si>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</si>
  <si>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</si>
  <si>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</si>
  <si>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</si>
  <si>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</si>
  <si>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</si>
  <si>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</si>
  <si>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</si>
  <si>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</si>
  <si>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</si>
  <si>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</si>
  <si>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</si>
  <si>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</si>
  <si>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</si>
  <si>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</si>
  <si>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</si>
  <si>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</si>
  <si>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</si>
  <si>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</si>
  <si>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</si>
  <si>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</si>
  <si>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</si>
  <si>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</si>
  <si>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</si>
  <si>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</si>
  <si>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</si>
  <si>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</si>
  <si>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</si>
  <si>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</si>
  <si>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</si>
  <si>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</si>
  <si>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</si>
  <si>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</si>
  <si>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</si>
  <si>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</si>
  <si>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</si>
  <si>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</si>
  <si>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</si>
  <si>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</si>
  <si>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</si>
  <si>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</si>
  <si>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</si>
  <si>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</si>
  <si>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</si>
  <si>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</si>
  <si>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</si>
  <si>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</si>
  <si>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</si>
  <si>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</si>
  <si>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</si>
  <si>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</si>
  <si>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</si>
  <si>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</si>
  <si>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</si>
  <si>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</si>
  <si>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</si>
  <si>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</si>
  <si>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</si>
  <si>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</si>
  <si>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</si>
  <si>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</si>
  <si>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</si>
  <si>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</si>
  <si>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</si>
  <si>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</si>
  <si>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</si>
  <si>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</si>
  <si>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</si>
  <si>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</si>
  <si>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</si>
  <si>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</si>
  <si>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</si>
  <si>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</si>
  <si>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</si>
  <si>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</si>
  <si>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</si>
  <si>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</si>
  <si>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</si>
  <si>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</si>
  <si>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</si>
  <si>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</si>
  <si>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</si>
  <si>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</si>
  <si>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</si>
  <si>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</si>
  <si>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</si>
  <si>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</si>
  <si>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</si>
  <si>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</si>
  <si>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</si>
  <si>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</si>
  <si>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</si>
  <si>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</si>
  <si>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</si>
  <si>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</si>
  <si>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</si>
  <si>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</si>
  <si>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</si>
  <si>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</si>
  <si>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</si>
  <si>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</si>
  <si>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</si>
  <si>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</si>
  <si>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</si>
  <si>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</si>
  <si>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</si>
  <si>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</si>
  <si>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</si>
  <si>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</si>
  <si>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</si>
  <si>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</si>
  <si>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</si>
  <si>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</si>
  <si>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</si>
  <si>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</si>
  <si>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</si>
  <si>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</si>
  <si>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</si>
  <si>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</si>
  <si>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</si>
  <si>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</si>
  <si>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</si>
  <si>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</si>
  <si>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</si>
  <si>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</si>
  <si>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</si>
  <si>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</si>
  <si>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</si>
  <si>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</si>
  <si>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</si>
  <si>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</si>
  <si>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</si>
  <si>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</si>
  <si>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</si>
  <si>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</si>
  <si>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</si>
  <si>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</si>
  <si>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</si>
  <si>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</si>
  <si>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</si>
  <si>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</si>
  <si>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</si>
  <si>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</si>
  <si>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</si>
  <si>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</si>
  <si>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</si>
  <si>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</si>
  <si>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</si>
  <si>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</si>
  <si>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</si>
  <si>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</si>
  <si>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</si>
  <si>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</si>
  <si>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</si>
  <si>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</si>
  <si>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</si>
  <si>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</si>
  <si>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</si>
  <si>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</si>
  <si>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</si>
  <si>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</si>
  <si>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</si>
  <si>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</si>
  <si>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</si>
  <si>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</si>
  <si>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</si>
  <si>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</si>
  <si>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</si>
  <si>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</si>
  <si>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</si>
  <si>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</si>
  <si>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</si>
  <si>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</si>
  <si>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</si>
  <si>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</si>
  <si>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</si>
  <si>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</si>
  <si>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</si>
  <si>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</si>
  <si>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</si>
  <si>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</si>
  <si>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</si>
  <si>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</si>
  <si>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</si>
  <si>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</si>
  <si>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</si>
  <si>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</si>
  <si>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</si>
  <si>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</si>
  <si>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</si>
  <si>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</si>
  <si>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</si>
  <si>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</si>
  <si>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</si>
  <si>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</si>
  <si>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</si>
  <si>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</si>
  <si>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</si>
  <si>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</si>
  <si>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</si>
  <si>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</si>
  <si>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</si>
  <si>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</si>
  <si>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</si>
  <si>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</si>
  <si>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</si>
  <si>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</si>
  <si>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</si>
  <si>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</si>
  <si>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</si>
  <si>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</si>
  <si>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</si>
  <si>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</si>
  <si>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</si>
  <si>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</si>
  <si>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</si>
  <si>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</si>
  <si>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</si>
  <si>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</si>
  <si>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</si>
  <si>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</si>
  <si>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</si>
  <si>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</si>
  <si>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</si>
  <si>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</si>
  <si>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</si>
  <si>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</si>
  <si>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</si>
  <si>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</si>
  <si>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</si>
  <si>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</si>
  <si>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</si>
  <si>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</si>
  <si>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</si>
  <si>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</si>
  <si>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</si>
  <si>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</si>
  <si>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</si>
  <si>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</si>
  <si>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</si>
  <si>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</si>
  <si>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</si>
  <si>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</si>
  <si>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</si>
  <si>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</si>
  <si>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</si>
  <si>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</si>
  <si>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</si>
  <si>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</si>
  <si>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</si>
  <si>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</si>
  <si>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</si>
  <si>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</si>
  <si>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</si>
  <si>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</si>
  <si>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</si>
  <si>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</si>
  <si>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</si>
  <si>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</si>
  <si>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</si>
  <si>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</si>
  <si>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</si>
  <si>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</si>
  <si>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</si>
  <si>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</si>
  <si>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</si>
  <si>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</si>
  <si>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</si>
  <si>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</si>
  <si>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</si>
  <si>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</si>
  <si>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</si>
  <si>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</si>
  <si>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</si>
  <si>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</si>
  <si>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</si>
  <si>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</si>
  <si>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</si>
  <si>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</si>
  <si>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</si>
  <si>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</si>
  <si>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</si>
  <si>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</si>
  <si>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</si>
  <si>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</si>
  <si>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</si>
  <si>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</si>
  <si>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</si>
  <si>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</si>
  <si>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</si>
  <si>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</si>
  <si>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</si>
  <si>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</si>
  <si>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</si>
  <si>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</si>
  <si>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</si>
  <si>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</si>
  <si>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</si>
  <si>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</si>
  <si>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</si>
  <si>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</si>
  <si>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</si>
  <si>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</si>
  <si>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</si>
  <si>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</si>
  <si>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</si>
  <si>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</si>
  <si>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</si>
  <si>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</si>
  <si>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</si>
  <si>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</si>
  <si>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</si>
  <si>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</si>
  <si>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</si>
  <si>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</si>
  <si>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</si>
  <si>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</si>
  <si>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</si>
  <si>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</si>
  <si>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</si>
  <si>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</si>
  <si>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</si>
  <si>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</si>
  <si>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</si>
  <si>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</si>
  <si>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</si>
  <si>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</si>
  <si>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</si>
  <si>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</si>
  <si>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</si>
  <si>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</si>
  <si>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</si>
  <si>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</si>
  <si>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</si>
  <si>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</si>
  <si>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</si>
  <si>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</si>
  <si>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</si>
  <si>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</si>
  <si>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</si>
  <si>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</si>
  <si>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</si>
  <si>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</si>
  <si>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</si>
  <si>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</si>
  <si>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</si>
  <si>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</si>
  <si>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</si>
  <si>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</si>
  <si>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</si>
  <si>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</si>
  <si>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</si>
  <si>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</si>
  <si>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</si>
  <si>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</si>
  <si>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</si>
  <si>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</si>
  <si>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</si>
  <si>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</si>
  <si>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</si>
  <si>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</si>
  <si>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</si>
  <si>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</si>
  <si>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</si>
  <si>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</si>
  <si>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</si>
  <si>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</si>
  <si>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</si>
  <si>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</si>
  <si>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</si>
  <si>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</si>
  <si>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</si>
  <si>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</si>
  <si>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</si>
  <si>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</si>
  <si>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</si>
  <si>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</si>
  <si>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</si>
  <si>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</si>
  <si>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</si>
  <si>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</si>
  <si>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</si>
  <si>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</si>
  <si>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</si>
  <si>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</si>
  <si>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</si>
  <si>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</si>
  <si>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</si>
  <si>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</si>
  <si>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</si>
  <si>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</si>
  <si>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</si>
  <si>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</si>
  <si>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</si>
  <si>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</si>
  <si>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</si>
  <si>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</si>
  <si>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</si>
  <si>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</si>
  <si>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</si>
  <si>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</si>
  <si>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</si>
  <si>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</si>
  <si>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</si>
  <si>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</si>
  <si>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</si>
  <si>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</si>
  <si>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</si>
  <si>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</si>
  <si>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</si>
  <si>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</si>
  <si>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</si>
  <si>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</si>
  <si>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</si>
  <si>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</si>
  <si>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</si>
  <si>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</si>
  <si>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</si>
  <si>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</si>
  <si>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</si>
  <si>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</si>
  <si>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</si>
  <si>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</si>
  <si>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</si>
  <si>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</si>
  <si>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</si>
  <si>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</si>
  <si>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</si>
  <si>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</si>
  <si>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</si>
  <si>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</si>
  <si>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</si>
  <si>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</si>
  <si>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</si>
  <si>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</si>
  <si>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</si>
  <si>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</si>
  <si>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</si>
  <si>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</si>
  <si>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</si>
  <si>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</si>
  <si>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</si>
  <si>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</si>
  <si>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</si>
  <si>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</si>
  <si>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</si>
  <si>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</si>
  <si>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</si>
  <si>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</si>
  <si>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</si>
  <si>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</si>
  <si>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</si>
  <si>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</si>
  <si>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</si>
  <si>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</si>
  <si>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</si>
  <si>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</si>
  <si>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</si>
  <si>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</si>
  <si>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</si>
  <si>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</si>
  <si>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</si>
  <si>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</si>
  <si>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</si>
  <si>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</si>
  <si>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</si>
  <si>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</si>
  <si>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</si>
  <si>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</si>
  <si>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</si>
  <si>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</si>
  <si>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</si>
  <si>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</si>
  <si>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</si>
  <si>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</si>
  <si>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</si>
  <si>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</si>
  <si>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</si>
  <si>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</si>
  <si>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</si>
  <si>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</si>
  <si>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</si>
  <si>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</si>
  <si>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</si>
  <si>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</si>
  <si>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</si>
  <si>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</si>
  <si>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</si>
  <si>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</si>
  <si>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</si>
  <si>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</si>
  <si>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</si>
  <si>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</si>
  <si>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</si>
  <si>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</si>
  <si>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</si>
  <si>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</si>
  <si>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</si>
  <si>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</si>
  <si>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</si>
  <si>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</si>
  <si>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</si>
  <si>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</si>
  <si>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</si>
  <si>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</si>
  <si>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</si>
  <si>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</si>
  <si>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</si>
  <si>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</si>
  <si>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</si>
  <si>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</si>
  <si>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</si>
  <si>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</si>
  <si>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</si>
  <si>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</si>
  <si>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</si>
  <si>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</si>
  <si>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</si>
  <si>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</si>
  <si>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</si>
  <si>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</si>
  <si>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</si>
  <si>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</si>
  <si>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</si>
  <si>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</si>
  <si>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</si>
  <si>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</si>
  <si>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</si>
  <si>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</si>
  <si>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</si>
  <si>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</si>
  <si>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</si>
  <si>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</si>
  <si>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</si>
  <si>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</si>
  <si>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</si>
  <si>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</si>
  <si>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</si>
  <si>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</si>
  <si>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</si>
  <si>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</si>
  <si>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</si>
  <si>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</si>
  <si>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</si>
  <si>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</si>
  <si>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</si>
  <si>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</si>
  <si>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</si>
  <si>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</si>
  <si>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</si>
  <si>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</si>
  <si>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</si>
  <si>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</si>
  <si>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</si>
  <si>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</si>
  <si>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</si>
  <si>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</si>
  <si>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</si>
  <si>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</si>
  <si>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</si>
  <si>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</si>
  <si>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</si>
  <si>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</si>
  <si>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</si>
  <si>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</si>
  <si>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</si>
  <si>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</si>
  <si>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</si>
  <si>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</si>
  <si>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</si>
  <si>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</si>
  <si>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</si>
  <si>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</si>
  <si>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</si>
  <si>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</si>
  <si>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</si>
  <si>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</si>
  <si>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</si>
  <si>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</si>
  <si>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</si>
  <si>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</si>
  <si>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</si>
  <si>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</si>
  <si>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</si>
  <si>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</si>
  <si>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</si>
  <si>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</si>
  <si>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</si>
  <si>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</si>
  <si>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</si>
  <si>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</si>
  <si>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</si>
  <si>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</si>
  <si>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</si>
  <si>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</si>
  <si>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</si>
  <si>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</si>
  <si>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</si>
  <si>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</si>
  <si>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</si>
  <si>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</si>
  <si>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</si>
  <si>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</si>
  <si>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</si>
  <si>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</si>
  <si>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</si>
  <si>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</si>
  <si>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</si>
  <si>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</si>
  <si>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</si>
  <si>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</si>
  <si>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</si>
  <si>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</si>
  <si>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</si>
  <si>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</si>
  <si>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</si>
  <si>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</si>
  <si>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</si>
  <si>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</si>
  <si>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</si>
  <si>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</si>
  <si>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</si>
  <si>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</si>
  <si>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</si>
  <si>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</si>
  <si>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</si>
  <si>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</si>
  <si>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</si>
  <si>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</si>
  <si>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</si>
  <si>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</si>
  <si>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</si>
  <si>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</si>
  <si>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</si>
  <si>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</si>
  <si>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</si>
  <si>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</si>
  <si>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</si>
  <si>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</si>
  <si>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</si>
  <si>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</si>
  <si>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</si>
  <si>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</si>
  <si>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</si>
  <si>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</si>
  <si>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</si>
  <si>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</si>
  <si>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</si>
  <si>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</si>
  <si>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</si>
  <si>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</si>
  <si>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</si>
  <si>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</si>
  <si>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</si>
  <si>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</si>
  <si>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</si>
  <si>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</si>
  <si>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</si>
  <si>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</si>
  <si>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</si>
  <si>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</si>
  <si>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</si>
  <si>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</si>
  <si>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</si>
  <si>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</si>
  <si>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</si>
  <si>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</si>
  <si>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</si>
  <si>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</si>
  <si>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</si>
  <si>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</si>
  <si>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</si>
  <si>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</si>
  <si>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</si>
  <si>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</si>
  <si>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</si>
  <si>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</si>
  <si>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</si>
  <si>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</si>
  <si>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</si>
  <si>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</si>
  <si>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</si>
  <si>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</si>
  <si>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</si>
  <si>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</si>
  <si>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</si>
  <si>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</si>
  <si>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</si>
  <si>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</si>
  <si>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</si>
  <si>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</si>
  <si>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</si>
  <si>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</si>
  <si>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</si>
  <si>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</si>
  <si>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</si>
  <si>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</si>
  <si>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</si>
  <si>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</si>
  <si>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</si>
  <si>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</si>
  <si>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</si>
  <si>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</si>
  <si>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</si>
  <si>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</si>
  <si>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</si>
  <si>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</si>
  <si>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</si>
  <si>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</si>
  <si>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</si>
  <si>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</si>
  <si>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</si>
  <si>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</si>
  <si>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</si>
  <si>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</si>
  <si>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</si>
  <si>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</si>
  <si>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</si>
  <si>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</si>
  <si>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</si>
  <si>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</si>
  <si>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</si>
  <si>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</si>
  <si>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</si>
  <si>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</si>
  <si>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</si>
  <si>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</si>
  <si>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</si>
  <si>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</si>
  <si>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</si>
  <si>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</si>
  <si>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</si>
  <si>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</si>
  <si>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</si>
  <si>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</si>
  <si>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</si>
  <si>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</si>
  <si>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</si>
  <si>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</si>
  <si>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</si>
  <si>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</si>
  <si>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</si>
  <si>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</si>
  <si>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</si>
  <si>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</si>
  <si>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</si>
  <si>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</si>
  <si>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</si>
  <si>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</si>
  <si>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</si>
  <si>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</si>
  <si>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</si>
  <si>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</si>
  <si>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</si>
  <si>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</si>
  <si>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</si>
  <si>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</si>
  <si>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</si>
  <si>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</si>
  <si>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</si>
  <si>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</si>
  <si>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</si>
  <si>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</si>
  <si>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</si>
  <si>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</si>
  <si>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</si>
  <si>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</si>
  <si>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</si>
  <si>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</si>
  <si>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</si>
  <si>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</si>
  <si>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</si>
  <si>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</si>
  <si>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</si>
  <si>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</si>
  <si>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</si>
  <si>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</si>
  <si>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</si>
  <si>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</si>
  <si>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</si>
  <si>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</si>
  <si>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</si>
  <si>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</si>
  <si>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</si>
  <si>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</si>
  <si>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</si>
  <si>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</si>
  <si>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</si>
  <si>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</si>
  <si>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</si>
  <si>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</si>
  <si>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</si>
  <si>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</si>
  <si>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</si>
  <si>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</si>
  <si>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</si>
  <si>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</si>
  <si>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</si>
  <si>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</si>
  <si>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</si>
  <si>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</si>
  <si>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</si>
  <si>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</si>
  <si>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</si>
  <si>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</si>
  <si>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</si>
  <si>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</si>
  <si>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</si>
  <si>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</si>
  <si>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</si>
  <si>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</si>
  <si>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</si>
  <si>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</si>
  <si>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</si>
  <si>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</si>
  <si>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</si>
  <si>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</si>
  <si>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</si>
  <si>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</si>
  <si>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</si>
  <si>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</si>
  <si>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</si>
  <si>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</si>
  <si>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</si>
  <si>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</si>
  <si>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</si>
  <si>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</si>
  <si>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</si>
  <si>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</si>
  <si>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</si>
  <si>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</si>
  <si>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</si>
  <si>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</si>
  <si>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</si>
  <si>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</si>
  <si>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</si>
  <si>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</si>
  <si>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</si>
  <si>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</si>
  <si>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</si>
  <si>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</si>
  <si>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</si>
  <si>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</si>
  <si>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</si>
  <si>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</si>
  <si>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</si>
  <si>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</si>
  <si>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</si>
  <si>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</si>
  <si>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</si>
  <si>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</si>
  <si>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</si>
  <si>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</si>
  <si>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</si>
  <si>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</si>
  <si>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</si>
  <si>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</si>
  <si>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</si>
  <si>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</si>
  <si>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</si>
  <si>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</si>
  <si>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</si>
  <si>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</si>
  <si>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</si>
  <si>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</si>
  <si>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</si>
  <si>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</si>
  <si>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</si>
  <si>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</si>
  <si>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</si>
  <si>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</si>
  <si>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</si>
  <si>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</si>
  <si>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</si>
  <si>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</si>
  <si>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</si>
  <si>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</si>
  <si>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</si>
  <si>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</si>
  <si>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</si>
  <si>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</si>
  <si>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</si>
  <si>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</si>
  <si>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</si>
  <si>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</si>
  <si>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</si>
  <si>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</si>
  <si>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</si>
  <si>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</si>
  <si>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</si>
  <si>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</si>
  <si>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</si>
  <si>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</si>
  <si>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</si>
  <si>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</si>
  <si>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</si>
  <si>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</si>
  <si>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</si>
  <si>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</si>
  <si>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</si>
  <si>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</si>
  <si>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</si>
  <si>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</si>
  <si>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</si>
  <si>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</si>
  <si>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</si>
  <si>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</si>
  <si>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</si>
  <si>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</si>
  <si>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</si>
  <si>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</si>
  <si>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</si>
  <si>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</si>
  <si>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</si>
  <si>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</si>
  <si>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</si>
  <si>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</si>
  <si>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</si>
  <si>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</si>
  <si>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</si>
  <si>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</si>
  <si>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</si>
  <si>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</si>
  <si>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</si>
  <si>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</si>
  <si>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</si>
  <si>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</si>
  <si>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</si>
  <si>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</si>
  <si>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</si>
  <si>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</si>
  <si>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</si>
  <si>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</si>
  <si>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</si>
  <si>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</si>
  <si>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</si>
  <si>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</si>
  <si>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</si>
  <si>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</si>
  <si>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</si>
  <si>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</si>
  <si>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</si>
  <si>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</si>
  <si>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</si>
  <si>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</si>
  <si>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</si>
  <si>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</si>
  <si>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</si>
  <si>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</si>
  <si>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</si>
  <si>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</si>
  <si>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</si>
  <si>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</si>
  <si>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</si>
  <si>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</si>
  <si>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</si>
  <si>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</si>
  <si>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</si>
  <si>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</si>
  <si>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</si>
  <si>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</si>
  <si>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</si>
  <si>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</si>
  <si>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</si>
  <si>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</si>
  <si>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</si>
  <si>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</si>
  <si>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</si>
  <si>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</si>
  <si>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</si>
  <si>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</si>
  <si>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</si>
  <si>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</si>
  <si>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</si>
  <si>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</si>
  <si>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</si>
  <si>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</si>
  <si>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</si>
  <si>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</si>
  <si>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</si>
  <si>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</si>
  <si>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</si>
  <si>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</si>
  <si>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</si>
  <si>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</si>
  <si>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</si>
  <si>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</si>
  <si>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</si>
  <si>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</si>
  <si>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</si>
  <si>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</si>
  <si>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</si>
  <si>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</si>
  <si>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</si>
  <si>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通路</t>
  </si>
  <si>
    <t>通电</t>
  </si>
  <si>
    <t>通讯</t>
  </si>
  <si>
    <t>通上水</t>
  </si>
  <si>
    <t>通下水</t>
  </si>
  <si>
    <t>平整</t>
  </si>
  <si>
    <t>燃气</t>
  </si>
  <si>
    <t>序号</t>
    <phoneticPr fontId="134" type="noConversion"/>
  </si>
  <si>
    <t>证号</t>
    <phoneticPr fontId="134" type="noConversion"/>
  </si>
  <si>
    <t>权利人</t>
    <phoneticPr fontId="134" type="noConversion"/>
  </si>
  <si>
    <t>坐落</t>
    <phoneticPr fontId="134" type="noConversion"/>
  </si>
  <si>
    <t>建筑面积</t>
    <phoneticPr fontId="134" type="noConversion"/>
  </si>
  <si>
    <t>所在层数</t>
    <phoneticPr fontId="134" type="noConversion"/>
  </si>
  <si>
    <t>北京开元和安投资管理有限公司</t>
    <phoneticPr fontId="134" type="noConversion"/>
  </si>
  <si>
    <t>丰台区丽泽路16号院1号楼1至5层101</t>
  </si>
  <si>
    <t>商业</t>
    <phoneticPr fontId="134" type="noConversion"/>
  </si>
  <si>
    <r>
      <t>1</t>
    </r>
    <r>
      <rPr>
        <sz val="11"/>
        <color theme="1"/>
        <rFont val="宋体"/>
        <family val="3"/>
        <charset val="134"/>
        <scheme val="minor"/>
      </rPr>
      <t>-5</t>
    </r>
    <phoneticPr fontId="134" type="noConversion"/>
  </si>
  <si>
    <t>丰台区丽泽路16号院1号楼3至5层404</t>
  </si>
  <si>
    <r>
      <t>3</t>
    </r>
    <r>
      <rPr>
        <sz val="11"/>
        <color theme="1"/>
        <rFont val="宋体"/>
        <family val="3"/>
        <charset val="134"/>
        <scheme val="minor"/>
      </rPr>
      <t>-5</t>
    </r>
    <phoneticPr fontId="134" type="noConversion"/>
  </si>
  <si>
    <t>丰台区丽泽路16号院1号楼4层402</t>
  </si>
  <si>
    <t>4</t>
    <phoneticPr fontId="134" type="noConversion"/>
  </si>
  <si>
    <t>丰台区丽泽路16号院1号楼-1层-102</t>
  </si>
  <si>
    <r>
      <t>-</t>
    </r>
    <r>
      <rPr>
        <sz val="11"/>
        <color theme="1"/>
        <rFont val="宋体"/>
        <family val="3"/>
        <charset val="134"/>
        <scheme val="minor"/>
      </rPr>
      <t>1</t>
    </r>
    <phoneticPr fontId="134" type="noConversion"/>
  </si>
  <si>
    <t>丰台区丽泽路16号院1号楼1层104</t>
  </si>
  <si>
    <t>1</t>
    <phoneticPr fontId="134" type="noConversion"/>
  </si>
  <si>
    <t>丰台区丽泽路16号院1号楼-1层-103</t>
  </si>
  <si>
    <t>丰台区丽泽路16号院1号楼2层201</t>
  </si>
  <si>
    <t>2</t>
    <phoneticPr fontId="134" type="noConversion"/>
  </si>
  <si>
    <t>丰台区丽泽路16号院1号楼-2层-202</t>
  </si>
  <si>
    <r>
      <t>-</t>
    </r>
    <r>
      <rPr>
        <sz val="11"/>
        <color theme="1"/>
        <rFont val="宋体"/>
        <family val="3"/>
        <charset val="134"/>
        <scheme val="minor"/>
      </rPr>
      <t>2</t>
    </r>
    <phoneticPr fontId="134" type="noConversion"/>
  </si>
  <si>
    <t>丰台区丽泽路16号院1号楼1至5层105</t>
  </si>
  <si>
    <t>丰台区丽泽路16号院1号楼1层102</t>
  </si>
  <si>
    <t>丰台区丽泽路16号院1号楼-1层-104</t>
  </si>
  <si>
    <t>丰台区丽泽路16号院1号楼-2至-1层-105</t>
  </si>
  <si>
    <r>
      <t>-</t>
    </r>
    <r>
      <rPr>
        <sz val="11"/>
        <color theme="1"/>
        <rFont val="宋体"/>
        <family val="3"/>
        <charset val="134"/>
        <scheme val="minor"/>
      </rPr>
      <t>2-1</t>
    </r>
    <phoneticPr fontId="134" type="noConversion"/>
  </si>
  <si>
    <t>丰台区丽泽路16号院1号楼5层501</t>
  </si>
  <si>
    <t>5</t>
    <phoneticPr fontId="134" type="noConversion"/>
  </si>
  <si>
    <t>丰台区丽泽路16号院1号楼-2层-201</t>
  </si>
  <si>
    <t>丰台区丽泽路16号院1号楼5层502</t>
  </si>
  <si>
    <t>丰台区丽泽路16号院1号楼4层403</t>
  </si>
  <si>
    <t>丰台区丽泽路16号院1号楼4层401</t>
  </si>
  <si>
    <t>丰台区丽泽路16号院1号楼-2至-1层-101</t>
  </si>
  <si>
    <t>丰台区丽泽路16号院1号楼3层301</t>
  </si>
  <si>
    <t>3</t>
    <phoneticPr fontId="134" type="noConversion"/>
  </si>
  <si>
    <t>丰台区丽泽路16号院1号楼3层303</t>
  </si>
  <si>
    <t>丰台区丽泽路16号院1号楼3层302</t>
  </si>
  <si>
    <t>丰台区丽泽路16号院1号楼2层202</t>
  </si>
  <si>
    <t>丰台区丽泽路16号院1号楼2层203</t>
  </si>
  <si>
    <t>丰台区丽泽路16号院1号楼2层204</t>
  </si>
  <si>
    <t>丰台区丽泽路16号院1号楼1层103</t>
  </si>
  <si>
    <t>车位</t>
    <phoneticPr fontId="134" type="noConversion"/>
  </si>
  <si>
    <t>丰台区丽泽路16号院1号楼-1层1007</t>
  </si>
  <si>
    <t>丰台区丽泽路16号院1号楼-1层1008</t>
  </si>
  <si>
    <t>丰台区丽泽路16号院1号楼-1层1009</t>
  </si>
  <si>
    <t>丰台区丽泽路16号院1号楼-1层1010</t>
  </si>
  <si>
    <t>丰台区丽泽路16号院1号楼-1层1011</t>
  </si>
  <si>
    <t>丰台区丽泽路16号院1号楼-1层1012</t>
  </si>
  <si>
    <t>机械车位</t>
    <phoneticPr fontId="134" type="noConversion"/>
  </si>
  <si>
    <t>丰台区丽泽路16号院1号楼-1层1013</t>
  </si>
  <si>
    <t>丰台区丽泽路16号院1号楼-1层1014</t>
  </si>
  <si>
    <t>丰台区丽泽路16号院1号楼-1层1015</t>
  </si>
  <si>
    <t>丰台区丽泽路16号院1号楼-1层1016</t>
  </si>
  <si>
    <t>丰台区丽泽路16号院1号楼-1层1043</t>
  </si>
  <si>
    <t>丰台区丽泽路16号院1号楼-1层1044</t>
  </si>
  <si>
    <t>丰台区丽泽路16号院1号楼-1层1045</t>
  </si>
  <si>
    <t>丰台区丽泽路16号院1号楼-1层1047</t>
  </si>
  <si>
    <t>丰台区丽泽路16号院1号楼-2层2001</t>
  </si>
  <si>
    <t>丰台区丽泽路16号院1号楼-3层3186</t>
  </si>
  <si>
    <t>丰台区丽泽路16号院1号楼-3层3187</t>
  </si>
  <si>
    <t>丰台区丽泽路16号院1号楼-3层3188</t>
  </si>
  <si>
    <t>丰台区丽泽路16号院1号楼-3层3189</t>
  </si>
  <si>
    <t>丰台区丽泽路16号院1号楼-3层3190</t>
  </si>
  <si>
    <t>丰台区丽泽路16号院1号楼-3层3191</t>
  </si>
  <si>
    <t>丰台区丽泽路16号院1号楼-3层3192</t>
  </si>
  <si>
    <t>丰台区丽泽路16号院1号楼-3层3193</t>
  </si>
  <si>
    <t>丰台区丽泽路16号院1号楼-3层3197</t>
  </si>
  <si>
    <t>丰台区丽泽路16号院1号楼-3层3198</t>
  </si>
  <si>
    <t>丰台区丽泽路16号院1号楼-3层3207</t>
  </si>
  <si>
    <t>丰台区丽泽路16号院1号楼-3层3208</t>
  </si>
  <si>
    <t>丰台区丽泽路16号院1号楼-3层3209</t>
  </si>
  <si>
    <t>丰台区丽泽路16号院1号楼-3层3210</t>
  </si>
  <si>
    <t>丰台区丽泽路16号院1号楼-3层3211</t>
  </si>
  <si>
    <t>丰台区丽泽路16号院1号楼-3层3212</t>
  </si>
  <si>
    <t>丰台区丽泽路16号院1号楼-3层3213</t>
  </si>
  <si>
    <t>丰台区丽泽路16号院1号楼-3层3214</t>
  </si>
  <si>
    <t>丰台区丽泽路16号院1号楼-3层3215</t>
  </si>
  <si>
    <t>丰台区丽泽路16号院1号楼-3层3216</t>
  </si>
  <si>
    <t>丰台区丽泽路16号院1号楼-3层3217</t>
  </si>
  <si>
    <t>丰台区丽泽路16号院1号楼-1层1019</t>
  </si>
  <si>
    <t>丰台区丽泽路16号院1号楼-1层1017</t>
  </si>
  <si>
    <t>丰台区丽泽路16号院1号楼-1层1018</t>
  </si>
  <si>
    <t>丰台区丽泽路16号院1号楼-1层1020</t>
  </si>
  <si>
    <t>丰台区丽泽路16号院1号楼-1层1021</t>
  </si>
  <si>
    <t>丰台区丽泽路16号院1号楼-1层1022</t>
  </si>
  <si>
    <t>丰台区丽泽路16号院1号楼-1层1023</t>
  </si>
  <si>
    <t>丰台区丽泽路16号院1号楼-1层1024</t>
  </si>
  <si>
    <t>丰台区丽泽路16号院1号楼-1层1025</t>
  </si>
  <si>
    <t>丰台区丽泽路16号院1号楼-1层1026</t>
  </si>
  <si>
    <t>丰台区丽泽路16号院1号楼-1层1027</t>
  </si>
  <si>
    <t>丰台区丽泽路16号院1号楼-1层1028</t>
  </si>
  <si>
    <t>丰台区丽泽路16号院1号楼-1层1029</t>
  </si>
  <si>
    <t>丰台区丽泽路16号院1号楼-1层1030</t>
  </si>
  <si>
    <t>丰台区丽泽路16号院1号楼-1层1031</t>
  </si>
  <si>
    <t>丰台区丽泽路16号院1号楼-1层1032</t>
  </si>
  <si>
    <t>丰台区丽泽路16号院1号楼-1层1033</t>
  </si>
  <si>
    <t>丰台区丽泽路16号院1号楼-1层1034</t>
  </si>
  <si>
    <t>丰台区丽泽路16号院1号楼-1层1035</t>
  </si>
  <si>
    <t>丰台区丽泽路16号院1号楼-1层1037</t>
  </si>
  <si>
    <t>丰台区丽泽路16号院1号楼-1层1038</t>
  </si>
  <si>
    <t>丰台区丽泽路16号院1号楼-1层1046</t>
  </si>
  <si>
    <t>丰台区丽泽路16号院1号楼-2层2002</t>
  </si>
  <si>
    <t>楼层</t>
    <phoneticPr fontId="134" type="noConversion"/>
  </si>
  <si>
    <t>地上</t>
  </si>
  <si>
    <t>地下</t>
  </si>
  <si>
    <t>车库—商业</t>
  </si>
  <si>
    <t>是</t>
  </si>
  <si>
    <t>龙湖天街</t>
  </si>
  <si>
    <t>龙湖天街</t>
    <phoneticPr fontId="3" type="noConversion"/>
  </si>
  <si>
    <t>成新度</t>
  </si>
  <si>
    <t>收益法</t>
  </si>
  <si>
    <t>自定义容积率</t>
  </si>
  <si>
    <t>丽泽路</t>
  </si>
  <si>
    <t>楼层修正</t>
  </si>
  <si>
    <t>较好</t>
  </si>
  <si>
    <t>一般</t>
  </si>
  <si>
    <t>未包含在土地购买价格中</t>
  </si>
  <si>
    <t>全部缴纳</t>
  </si>
  <si>
    <t>已包含在土地取得成本中</t>
  </si>
  <si>
    <t>成本法</t>
  </si>
  <si>
    <t>现房</t>
  </si>
  <si>
    <t>项目局部</t>
  </si>
  <si>
    <t>押一</t>
  </si>
  <si>
    <t>钢混</t>
  </si>
  <si>
    <t>非生产用房</t>
  </si>
  <si>
    <t>否</t>
  </si>
  <si>
    <t>项目模式</t>
  </si>
  <si>
    <t>售价</t>
  </si>
  <si>
    <t>正常</t>
  </si>
  <si>
    <t>10-20</t>
  </si>
  <si>
    <t>股权交易</t>
  </si>
  <si>
    <t>酒店</t>
  </si>
  <si>
    <t>七通</t>
  </si>
  <si>
    <t>较大</t>
  </si>
  <si>
    <t>综合体</t>
  </si>
  <si>
    <t>精装修</t>
  </si>
  <si>
    <t>0-10%</t>
  </si>
  <si>
    <t>商业、办公</t>
  </si>
  <si>
    <t>30-40</t>
  </si>
  <si>
    <t>10-20%</t>
  </si>
  <si>
    <t>购物中心</t>
  </si>
  <si>
    <t>1999建成烂尾，2009年盘活</t>
  </si>
  <si>
    <t>光彩国际中心A座</t>
    <phoneticPr fontId="3" type="noConversion"/>
  </si>
  <si>
    <t>望京华樾中心B座</t>
    <phoneticPr fontId="3" type="noConversion"/>
  </si>
  <si>
    <t>光耀东方中心</t>
  </si>
  <si>
    <t>首创龙湖北京丽泽天街</t>
    <phoneticPr fontId="3" type="noConversion"/>
  </si>
  <si>
    <t>20-30</t>
  </si>
  <si>
    <t>20-30</t>
    <phoneticPr fontId="30" type="noConversion"/>
  </si>
  <si>
    <t>商业</t>
    <phoneticPr fontId="30" type="noConversion"/>
  </si>
  <si>
    <t>大</t>
  </si>
  <si>
    <t>较小</t>
  </si>
  <si>
    <t>小</t>
  </si>
  <si>
    <t>商业街</t>
  </si>
  <si>
    <t>20-30%</t>
  </si>
  <si>
    <t>30-40%</t>
  </si>
  <si>
    <t>地下占比</t>
    <phoneticPr fontId="30" type="noConversion"/>
  </si>
  <si>
    <t>总价</t>
  </si>
  <si>
    <t>成本比率</t>
  </si>
  <si>
    <t>系数</t>
    <phoneticPr fontId="134" type="noConversion"/>
  </si>
  <si>
    <t>情况4</t>
  </si>
  <si>
    <t>转让取得</t>
  </si>
  <si>
    <t>非个人房产</t>
  </si>
  <si>
    <t>建面租金</t>
    <phoneticPr fontId="134" type="noConversion"/>
  </si>
  <si>
    <t>年收入</t>
    <phoneticPr fontId="134" type="noConversion"/>
  </si>
  <si>
    <t>京(2019)丰不动产权第0017458号</t>
  </si>
  <si>
    <t>京(2019)丰不动产权第0017288号</t>
  </si>
  <si>
    <t>京(2019)丰不动产权第0017456号</t>
  </si>
  <si>
    <t>京(2019)丰不动产权第0017286号</t>
  </si>
  <si>
    <t>京(2019)丰不动产权第0017285号</t>
  </si>
  <si>
    <t>京(2019)丰不动产权第0017287号</t>
  </si>
  <si>
    <t>京(2019)丰不动产权第0017439号</t>
  </si>
  <si>
    <t>京(2019)丰不动产权第0017438号</t>
    <phoneticPr fontId="134" type="noConversion"/>
  </si>
  <si>
    <t>京(2019)丰不动产权第0017440号</t>
    <phoneticPr fontId="134" type="noConversion"/>
  </si>
  <si>
    <t>京(2019)丰不动产权第0017434号</t>
    <phoneticPr fontId="134" type="noConversion"/>
  </si>
  <si>
    <t>京(2019)丰不动产权第0017436号</t>
    <phoneticPr fontId="134" type="noConversion"/>
  </si>
  <si>
    <t>京(2019)丰不动产权第0017433号</t>
    <phoneticPr fontId="134" type="noConversion"/>
  </si>
  <si>
    <t>京(2019)丰不动产权第0017435号</t>
    <phoneticPr fontId="134" type="noConversion"/>
  </si>
  <si>
    <t>京(2019)丰不动产权第0017293号</t>
    <phoneticPr fontId="134" type="noConversion"/>
  </si>
  <si>
    <t>京(2019)丰不动产权第0017601号</t>
    <phoneticPr fontId="134" type="noConversion"/>
  </si>
  <si>
    <t>京(2019)丰不动产权第0017292号</t>
    <phoneticPr fontId="134" type="noConversion"/>
  </si>
  <si>
    <t>京(2019)丰不动产权第0017291号</t>
    <phoneticPr fontId="134" type="noConversion"/>
  </si>
  <si>
    <t>京(2019)丰不动产权第0017289号</t>
    <phoneticPr fontId="134" type="noConversion"/>
  </si>
  <si>
    <t>京(2019)丰不动产权第0017592号</t>
    <phoneticPr fontId="134" type="noConversion"/>
  </si>
  <si>
    <t>京(2019)丰不动产权第0017594号</t>
    <phoneticPr fontId="134" type="noConversion"/>
  </si>
  <si>
    <t>京(2019)丰不动产权第0017284号</t>
    <phoneticPr fontId="134" type="noConversion"/>
  </si>
  <si>
    <t>京(2019)丰不动产权第0017283号</t>
    <phoneticPr fontId="134" type="noConversion"/>
  </si>
  <si>
    <t>京(2019)丰不动产权第0017432号</t>
    <phoneticPr fontId="134" type="noConversion"/>
  </si>
  <si>
    <t>京(2019)丰不动产权第0017596号</t>
    <phoneticPr fontId="134" type="noConversion"/>
  </si>
  <si>
    <t>京(2019)丰不动产权第0017431号</t>
    <phoneticPr fontId="134" type="noConversion"/>
  </si>
  <si>
    <t>丰台区丽泽路16号院1号楼-1层1006</t>
    <phoneticPr fontId="134" type="noConversion"/>
  </si>
  <si>
    <t>京(2020)丰不动产权第0040748号</t>
  </si>
  <si>
    <t>京(2020)丰不动产权第0040738号</t>
    <phoneticPr fontId="134" type="noConversion"/>
  </si>
  <si>
    <t>京(2020)丰不动产权第0040803号</t>
    <phoneticPr fontId="134" type="noConversion"/>
  </si>
  <si>
    <t>京(2020)丰不动产权第0040816号</t>
    <phoneticPr fontId="134" type="noConversion"/>
  </si>
  <si>
    <t>京(2020)丰不动产权第0040813号</t>
    <phoneticPr fontId="134" type="noConversion"/>
  </si>
  <si>
    <t>京(2020)丰不动产权第0040804号</t>
    <phoneticPr fontId="134" type="noConversion"/>
  </si>
  <si>
    <t>京(2020)丰不动产权第0040817号</t>
    <phoneticPr fontId="134" type="noConversion"/>
  </si>
  <si>
    <t>京(2020)丰不动产权第0040780号</t>
    <phoneticPr fontId="134" type="noConversion"/>
  </si>
  <si>
    <t>京(2020)丰不动产权第0040763号</t>
    <phoneticPr fontId="134" type="noConversion"/>
  </si>
  <si>
    <t>京(2020)丰不动产权第0040767号</t>
    <phoneticPr fontId="134" type="noConversion"/>
  </si>
  <si>
    <t>京(2020)丰不动产权第0040766号</t>
    <phoneticPr fontId="134" type="noConversion"/>
  </si>
  <si>
    <t>京(2020)丰不动产权第0040772号</t>
    <phoneticPr fontId="134" type="noConversion"/>
  </si>
  <si>
    <t>京(2020)丰不动产权第0049834号</t>
    <phoneticPr fontId="134" type="noConversion"/>
  </si>
  <si>
    <t>京(2020)丰不动产权第0049824号</t>
    <phoneticPr fontId="134" type="noConversion"/>
  </si>
  <si>
    <t>京(2020)丰不动产权第0049956号</t>
    <phoneticPr fontId="134" type="noConversion"/>
  </si>
  <si>
    <t>京(2020)丰不动产权第0049983号</t>
    <phoneticPr fontId="134" type="noConversion"/>
  </si>
  <si>
    <t>京(2020)丰不动产权第0049980号</t>
    <phoneticPr fontId="134" type="noConversion"/>
  </si>
  <si>
    <t>京(2020)丰不动产权第0049979号</t>
    <phoneticPr fontId="134" type="noConversion"/>
  </si>
  <si>
    <t>京(2020)丰不动产权第0049976号</t>
    <phoneticPr fontId="134" type="noConversion"/>
  </si>
  <si>
    <t>京(2020)丰不动产权第0049886号</t>
    <phoneticPr fontId="134" type="noConversion"/>
  </si>
  <si>
    <t>京(2020)丰不动产权第0049884号</t>
    <phoneticPr fontId="134" type="noConversion"/>
  </si>
  <si>
    <t>京(2020)丰不动产权第0049877号</t>
    <phoneticPr fontId="134" type="noConversion"/>
  </si>
  <si>
    <t>京(2020)丰不动产权第0049876号</t>
    <phoneticPr fontId="134" type="noConversion"/>
  </si>
  <si>
    <t>京(2020)丰不动产权第0049874号</t>
    <phoneticPr fontId="134" type="noConversion"/>
  </si>
  <si>
    <t>京(2020)丰不动产权第0049857号</t>
    <phoneticPr fontId="134" type="noConversion"/>
  </si>
  <si>
    <t>京(2020)丰不动产权第0049849号</t>
    <phoneticPr fontId="134" type="noConversion"/>
  </si>
  <si>
    <t>京(2020)丰不动产权第0049840号</t>
    <phoneticPr fontId="134" type="noConversion"/>
  </si>
  <si>
    <t>京(2020)丰不动产权第0049970号</t>
    <phoneticPr fontId="134" type="noConversion"/>
  </si>
  <si>
    <t>京(2020)丰不动产权第0049966号</t>
    <phoneticPr fontId="134" type="noConversion"/>
  </si>
  <si>
    <t>京(2020)丰不动产权第0049963号</t>
    <phoneticPr fontId="134" type="noConversion"/>
  </si>
  <si>
    <t>京(2020)丰不动产权第0049961号</t>
    <phoneticPr fontId="134" type="noConversion"/>
  </si>
  <si>
    <t>京(2020)丰不动产权第0049959号</t>
    <phoneticPr fontId="134" type="noConversion"/>
  </si>
  <si>
    <t>京(2020)丰不动产权第0050117号</t>
    <phoneticPr fontId="134" type="noConversion"/>
  </si>
  <si>
    <t>京(2020)丰不动产权第0040782号</t>
    <phoneticPr fontId="134" type="noConversion"/>
  </si>
  <si>
    <t>京(2020)丰不动产权第0040764号</t>
    <phoneticPr fontId="134" type="noConversion"/>
  </si>
  <si>
    <t>京(2020)丰不动产权第0040769号</t>
    <phoneticPr fontId="134" type="noConversion"/>
  </si>
  <si>
    <t>京(2020)丰不动产权第0050125号</t>
    <phoneticPr fontId="134" type="noConversion"/>
  </si>
  <si>
    <t>京(2020)丰不动产权第0040783号</t>
    <phoneticPr fontId="134" type="noConversion"/>
  </si>
  <si>
    <t>京(2020)丰不动产权第0040770号</t>
    <phoneticPr fontId="134" type="noConversion"/>
  </si>
  <si>
    <t>京(2020)丰不动产权第0050137号</t>
    <phoneticPr fontId="134" type="noConversion"/>
  </si>
  <si>
    <t>京(2020)丰不动产权第0040774号</t>
    <phoneticPr fontId="134" type="noConversion"/>
  </si>
  <si>
    <t>京(2020)丰不动产权第0040775号</t>
    <phoneticPr fontId="134" type="noConversion"/>
  </si>
  <si>
    <t>京(2020)丰不动产权第0040776号</t>
    <phoneticPr fontId="134" type="noConversion"/>
  </si>
  <si>
    <t>京(2020)丰不动产权第0040777号</t>
    <phoneticPr fontId="134" type="noConversion"/>
  </si>
  <si>
    <t>京(2020)丰不动产权第0040778号</t>
    <phoneticPr fontId="134" type="noConversion"/>
  </si>
  <si>
    <t>京(2020)丰不动产权第0040779号</t>
    <phoneticPr fontId="134" type="noConversion"/>
  </si>
  <si>
    <t>京(2020)丰不动产权第0040773号</t>
    <phoneticPr fontId="134" type="noConversion"/>
  </si>
  <si>
    <t>京(2020)丰不动产权第0040752号</t>
    <phoneticPr fontId="134" type="noConversion"/>
  </si>
  <si>
    <t>京(2020)丰不动产权第0040740号</t>
    <phoneticPr fontId="134" type="noConversion"/>
  </si>
  <si>
    <t>京(2020)丰不动产权第0040741号</t>
    <phoneticPr fontId="134" type="noConversion"/>
  </si>
  <si>
    <t>京(2020)丰不动产权第0040747号</t>
    <phoneticPr fontId="134" type="noConversion"/>
  </si>
  <si>
    <t>京(2020)丰不动产权第0040749号</t>
    <phoneticPr fontId="134" type="noConversion"/>
  </si>
  <si>
    <t>京(2020)丰不动产权第0040750号</t>
    <phoneticPr fontId="134" type="noConversion"/>
  </si>
  <si>
    <t>京(2020)丰不动产权第0040746号</t>
    <phoneticPr fontId="134" type="noConversion"/>
  </si>
  <si>
    <t>京(2020)丰不动产权第0040745号</t>
    <phoneticPr fontId="134" type="noConversion"/>
  </si>
  <si>
    <t>京(2020)丰不动产权第0040744号</t>
    <phoneticPr fontId="134" type="noConversion"/>
  </si>
  <si>
    <t>京(2020)丰不动产权第0040743号</t>
    <phoneticPr fontId="134" type="noConversion"/>
  </si>
  <si>
    <t>京(2020)丰不动产权第0040742号</t>
    <phoneticPr fontId="134" type="noConversion"/>
  </si>
  <si>
    <t>京(2020)丰不动产权第0041573号</t>
    <phoneticPr fontId="134" type="noConversion"/>
  </si>
  <si>
    <t>京(2020)丰不动产权第0041572号</t>
    <phoneticPr fontId="134" type="noConversion"/>
  </si>
  <si>
    <t>丽泽天街2024年出租率及营业额</t>
    <phoneticPr fontId="247" type="noConversion"/>
  </si>
  <si>
    <t>月份</t>
  </si>
  <si>
    <t>1月</t>
  </si>
  <si>
    <t>2月</t>
  </si>
  <si>
    <t>3月</t>
  </si>
  <si>
    <t>4月</t>
  </si>
  <si>
    <t>5月</t>
  </si>
  <si>
    <t>6月</t>
  </si>
  <si>
    <t>7月</t>
  </si>
  <si>
    <t>8月</t>
  </si>
  <si>
    <t>9月</t>
  </si>
  <si>
    <t>10月</t>
  </si>
  <si>
    <t>11月</t>
  </si>
  <si>
    <t>12月</t>
  </si>
  <si>
    <t>合计</t>
    <phoneticPr fontId="247" type="noConversion"/>
  </si>
  <si>
    <t>出租率</t>
  </si>
  <si>
    <t>营业额-不含车(万元）</t>
    <phoneticPr fontId="247" type="noConversion"/>
  </si>
  <si>
    <t>丽泽天街品牌明细</t>
    <phoneticPr fontId="247" type="noConversion"/>
  </si>
  <si>
    <t>序号</t>
  </si>
  <si>
    <t>合同类型</t>
  </si>
  <si>
    <t>品牌名称</t>
  </si>
  <si>
    <t>租赁面积</t>
  </si>
  <si>
    <t>开始日期</t>
  </si>
  <si>
    <t>计划结束日期</t>
  </si>
  <si>
    <t>主力店租赁合同</t>
  </si>
  <si>
    <t>万象影城</t>
  </si>
  <si>
    <t>盒马鲜生</t>
  </si>
  <si>
    <t>次主力店租赁合同</t>
  </si>
  <si>
    <t>UNIQLO</t>
  </si>
  <si>
    <t>无印良品</t>
  </si>
  <si>
    <t>专卖店租赁合同</t>
  </si>
  <si>
    <t>不可思议运动街区</t>
  </si>
  <si>
    <t>ANOTHER ONE</t>
  </si>
  <si>
    <t>番茄口袋</t>
  </si>
  <si>
    <t>湖里春风四季淮扬</t>
  </si>
  <si>
    <t>KKV</t>
  </si>
  <si>
    <t>巴奴毛肚火锅</t>
  </si>
  <si>
    <t>力禾</t>
  </si>
  <si>
    <t>西西弗</t>
  </si>
  <si>
    <t>行运打边炉</t>
  </si>
  <si>
    <t>新氧</t>
  </si>
  <si>
    <t>华为</t>
  </si>
  <si>
    <t>吃乐眉</t>
  </si>
  <si>
    <t>露露乐蒙</t>
  </si>
  <si>
    <t>龍人居</t>
  </si>
  <si>
    <t>小大董</t>
  </si>
  <si>
    <t>全棉时代</t>
  </si>
  <si>
    <t>星际传奇</t>
  </si>
  <si>
    <t>麻六记</t>
  </si>
  <si>
    <t>源氏木语</t>
  </si>
  <si>
    <t>KONG</t>
  </si>
  <si>
    <t>牛排家</t>
  </si>
  <si>
    <t>大树</t>
  </si>
  <si>
    <t>小吊梨汤</t>
  </si>
  <si>
    <t>南京大牌档</t>
  </si>
  <si>
    <t>九本居酒屋</t>
  </si>
  <si>
    <t>善品家</t>
  </si>
  <si>
    <t>蔡澜港式点心专门店</t>
  </si>
  <si>
    <t>PUTIEN</t>
  </si>
  <si>
    <t>安踏</t>
  </si>
  <si>
    <t>丝芙兰</t>
  </si>
  <si>
    <t>美丽田园</t>
  </si>
  <si>
    <t>杨梅红</t>
  </si>
  <si>
    <t>G-STEPS</t>
  </si>
  <si>
    <t>客语</t>
  </si>
  <si>
    <t>泡泡玛特</t>
  </si>
  <si>
    <t>必胜客</t>
  </si>
  <si>
    <t>矢量咖啡</t>
  </si>
  <si>
    <t>THE SEA LIFE</t>
  </si>
  <si>
    <t>盛世雅歌</t>
  </si>
  <si>
    <t>星巴克</t>
  </si>
  <si>
    <t>THEWOODS</t>
  </si>
  <si>
    <t>汲度补水</t>
  </si>
  <si>
    <t>探鱼</t>
  </si>
  <si>
    <t>湘辣辣</t>
  </si>
  <si>
    <t>鲜牛记</t>
  </si>
  <si>
    <t>日月泰</t>
  </si>
  <si>
    <t>内研瑜伽</t>
  </si>
  <si>
    <t>费大厨</t>
  </si>
  <si>
    <t>匠人牛品</t>
  </si>
  <si>
    <t>太二</t>
  </si>
  <si>
    <t>百丽</t>
  </si>
  <si>
    <t>维沙曼</t>
  </si>
  <si>
    <t>Cannondale</t>
  </si>
  <si>
    <t>肉問屋</t>
  </si>
  <si>
    <t>三泉</t>
  </si>
  <si>
    <t>常乐</t>
  </si>
  <si>
    <t>美善品,福维克</t>
  </si>
  <si>
    <t>LINING YOUNG</t>
  </si>
  <si>
    <t>花盐街</t>
  </si>
  <si>
    <t>杰克琼斯</t>
  </si>
  <si>
    <t>嗨特购</t>
  </si>
  <si>
    <t>海馬体 | 大师店</t>
  </si>
  <si>
    <t>牛角烧肉食堂</t>
  </si>
  <si>
    <t>哈里小屋</t>
  </si>
  <si>
    <t>二哈勿扰</t>
  </si>
  <si>
    <t>新元素</t>
  </si>
  <si>
    <t>MJ²LAB HAIR SALON</t>
  </si>
  <si>
    <t>SALOMON</t>
  </si>
  <si>
    <t>蕉下</t>
  </si>
  <si>
    <t>王繁星</t>
  </si>
  <si>
    <t>翡翠拉面小笼包</t>
  </si>
  <si>
    <t>打川川</t>
  </si>
  <si>
    <t>悦指间</t>
  </si>
  <si>
    <t>Rookie</t>
  </si>
  <si>
    <t>汤尼英盖</t>
  </si>
  <si>
    <t>THE SHOES BAR</t>
  </si>
  <si>
    <t>麦檬</t>
  </si>
  <si>
    <t>九割</t>
  </si>
  <si>
    <t>标记</t>
  </si>
  <si>
    <t>炉角</t>
  </si>
  <si>
    <t>Marc O'Polo</t>
  </si>
  <si>
    <t>达尼罗叔叔</t>
  </si>
  <si>
    <t>兀兰</t>
  </si>
  <si>
    <t>Famecoco</t>
  </si>
  <si>
    <t>CARA BLUE</t>
  </si>
  <si>
    <t>福万粉</t>
  </si>
  <si>
    <t>村上一屋</t>
  </si>
  <si>
    <t>OKEY BAKERY</t>
  </si>
  <si>
    <t>潮粥荟</t>
  </si>
  <si>
    <t>New Balance Kids</t>
  </si>
  <si>
    <t>喜茶</t>
  </si>
  <si>
    <t>喜家德</t>
  </si>
  <si>
    <t>saucony</t>
  </si>
  <si>
    <t>Dream Room</t>
  </si>
  <si>
    <t>周生生</t>
  </si>
  <si>
    <t>RE-BLUE</t>
  </si>
  <si>
    <t>崎本的店</t>
  </si>
  <si>
    <t>广场服务合同</t>
  </si>
  <si>
    <t>null</t>
  </si>
  <si>
    <t>moussy</t>
  </si>
  <si>
    <t>Blue Erdos</t>
  </si>
  <si>
    <t>mont-bell</t>
  </si>
  <si>
    <t>丝域养发</t>
  </si>
  <si>
    <t>小满手工粉</t>
  </si>
  <si>
    <t>Her Rhythm</t>
  </si>
  <si>
    <t>DR PARK</t>
  </si>
  <si>
    <t>吾号车酷</t>
  </si>
  <si>
    <t>NEW BALANCE 1906</t>
  </si>
  <si>
    <t>kidsland</t>
  </si>
  <si>
    <t>味千拉面</t>
  </si>
  <si>
    <t>周大福</t>
  </si>
  <si>
    <t>茶话弄</t>
  </si>
  <si>
    <t>Skechers Kids</t>
  </si>
  <si>
    <t>廖春花</t>
  </si>
  <si>
    <t>他 她</t>
  </si>
  <si>
    <t>米村</t>
  </si>
  <si>
    <t>中国黄金</t>
  </si>
  <si>
    <t>一麻一辣</t>
  </si>
  <si>
    <t>Snow Peak</t>
  </si>
  <si>
    <t>TRIP&amp;CO</t>
  </si>
  <si>
    <t>茉莉奶白</t>
  </si>
  <si>
    <t>哈根达斯</t>
  </si>
  <si>
    <t>好利来</t>
  </si>
  <si>
    <t>奔跑的小象</t>
  </si>
  <si>
    <t>特斯拉</t>
  </si>
  <si>
    <t>美天灵</t>
  </si>
  <si>
    <t>肉肉大米</t>
  </si>
  <si>
    <t>牛汤哥</t>
  </si>
  <si>
    <t>艾诺丝雅诗</t>
  </si>
  <si>
    <t>BLUEGLASS</t>
  </si>
  <si>
    <t>J!NS</t>
  </si>
  <si>
    <t>陈八两</t>
  </si>
  <si>
    <t>洗个头发</t>
  </si>
  <si>
    <t>泰兰尼斯</t>
  </si>
  <si>
    <t>酥侯</t>
  </si>
  <si>
    <t>九木杂物社</t>
  </si>
  <si>
    <t>Mcake</t>
  </si>
  <si>
    <t>思加图</t>
  </si>
  <si>
    <t>SALOOD</t>
  </si>
  <si>
    <t>极氪</t>
  </si>
  <si>
    <t>鲜芋仙</t>
  </si>
  <si>
    <t>ubras</t>
  </si>
  <si>
    <t>PANDORA</t>
  </si>
  <si>
    <t>ECCO</t>
  </si>
  <si>
    <t>瑞幸咖啡</t>
  </si>
  <si>
    <t>NESPRESSO</t>
  </si>
  <si>
    <t>Hush Puppies</t>
  </si>
  <si>
    <t>蓉京玖格格</t>
  </si>
  <si>
    <t>asics</t>
  </si>
  <si>
    <t>CALZEDONIA</t>
  </si>
  <si>
    <t>猪角</t>
  </si>
  <si>
    <t>K22.酸奶草莓</t>
  </si>
  <si>
    <t>MovieBox</t>
  </si>
  <si>
    <t>海鸥</t>
  </si>
  <si>
    <t>菜百传世</t>
  </si>
  <si>
    <t>Lady Sybil</t>
  </si>
  <si>
    <t>燕之屋·碗燕</t>
  </si>
  <si>
    <t>子固路拌粉</t>
  </si>
  <si>
    <t>THE MATCHA TOKYO</t>
  </si>
  <si>
    <t>cococean</t>
  </si>
  <si>
    <t>manner</t>
  </si>
  <si>
    <t>竹叶青</t>
  </si>
  <si>
    <t>蔚来</t>
  </si>
  <si>
    <t>福奈特</t>
  </si>
  <si>
    <t>库房租赁合同</t>
  </si>
  <si>
    <t>爱回收</t>
  </si>
  <si>
    <t>Lecire Chocolatier</t>
  </si>
  <si>
    <t>东阳光</t>
  </si>
  <si>
    <t>布歌</t>
  </si>
  <si>
    <t>乐道</t>
  </si>
  <si>
    <t>派悦坊</t>
  </si>
  <si>
    <t>爷爷不泡茶</t>
  </si>
  <si>
    <t>淡马茶坊</t>
  </si>
  <si>
    <t>宝珠奶酪</t>
  </si>
  <si>
    <t>LINLEE</t>
  </si>
  <si>
    <t>Dairy Queen</t>
  </si>
  <si>
    <t>清筑自然</t>
  </si>
  <si>
    <t>薛记炒货</t>
  </si>
  <si>
    <t>乐客VR</t>
  </si>
  <si>
    <t>单柜机合同/外摆协议</t>
  </si>
  <si>
    <t>本楼汉堡</t>
  </si>
  <si>
    <t>科大讯飞</t>
  </si>
  <si>
    <t>结绳记</t>
  </si>
  <si>
    <t>果栗园</t>
  </si>
  <si>
    <t>咏巷</t>
  </si>
  <si>
    <t>鹿野制菓</t>
  </si>
  <si>
    <t>小罐茶</t>
  </si>
  <si>
    <t>PINKE GAME</t>
  </si>
  <si>
    <t>广汽传祺</t>
  </si>
  <si>
    <t>阿甘锅盔</t>
  </si>
  <si>
    <t>都士竟成</t>
  </si>
  <si>
    <t>埃安</t>
  </si>
  <si>
    <t>野人牧坊</t>
  </si>
  <si>
    <t>戴森</t>
  </si>
  <si>
    <t>富贵开心果</t>
  </si>
  <si>
    <t>倍轻松</t>
  </si>
  <si>
    <t>乐摩吧</t>
  </si>
  <si>
    <t>多多甜水晶宫</t>
  </si>
  <si>
    <t>MONOLOGUE</t>
  </si>
  <si>
    <t>北鼎</t>
  </si>
  <si>
    <t>谭木匠</t>
  </si>
  <si>
    <t>艾特里里</t>
  </si>
  <si>
    <t>诗碧曼</t>
  </si>
  <si>
    <t>小天才</t>
  </si>
  <si>
    <t>招商银行</t>
  </si>
  <si>
    <t>携程</t>
  </si>
  <si>
    <t>花点时间</t>
  </si>
  <si>
    <t>绒绒森林</t>
  </si>
  <si>
    <t>和序</t>
  </si>
  <si>
    <t>BLUEO</t>
  </si>
  <si>
    <t>小雨点名品</t>
  </si>
  <si>
    <t>珚仓</t>
  </si>
  <si>
    <t>翰皇</t>
  </si>
  <si>
    <t>小电</t>
  </si>
  <si>
    <t>爸爸糖手工吐司</t>
  </si>
  <si>
    <t>中国体育彩票</t>
  </si>
  <si>
    <t>喜桃家</t>
  </si>
  <si>
    <t>小天才,步步高</t>
  </si>
  <si>
    <t>极狐</t>
  </si>
  <si>
    <t>克拉时光机</t>
  </si>
  <si>
    <t>广告位租赁合同</t>
  </si>
  <si>
    <t>丽泽天街全年收入达成(万元）</t>
    <phoneticPr fontId="134" type="noConversion"/>
  </si>
  <si>
    <t>合同号</t>
  </si>
  <si>
    <t>面积</t>
    <phoneticPr fontId="247" type="noConversion"/>
  </si>
  <si>
    <t>2025年1-12月</t>
    <phoneticPr fontId="134" type="noConversion"/>
  </si>
  <si>
    <t>日单价</t>
    <phoneticPr fontId="247" type="noConversion"/>
  </si>
  <si>
    <t>2019100910636</t>
  </si>
  <si>
    <t>2019101010675</t>
  </si>
  <si>
    <t>2019102310923</t>
  </si>
  <si>
    <t>2019102410950</t>
  </si>
  <si>
    <t>2019103011122</t>
  </si>
  <si>
    <t>2019110411188</t>
  </si>
  <si>
    <t>2019110611245</t>
  </si>
  <si>
    <t>2019111411381</t>
  </si>
  <si>
    <t>2019112211491</t>
  </si>
  <si>
    <t>2019120311672</t>
  </si>
  <si>
    <t>2019120511718</t>
  </si>
  <si>
    <t>2019121811942</t>
  </si>
  <si>
    <t>2020010812159</t>
  </si>
  <si>
    <t>2020010812166</t>
  </si>
  <si>
    <t>2020010912183</t>
  </si>
  <si>
    <t>2020021712589</t>
  </si>
  <si>
    <t>2020042013131</t>
  </si>
  <si>
    <t>2020043013342</t>
  </si>
  <si>
    <t>202005180024</t>
  </si>
  <si>
    <t>202006010074</t>
  </si>
  <si>
    <t>202007160095</t>
  </si>
  <si>
    <t>202007200030</t>
  </si>
  <si>
    <t>202007210059</t>
  </si>
  <si>
    <t>202008050034</t>
  </si>
  <si>
    <t>202008100039</t>
  </si>
  <si>
    <t>202008200039</t>
  </si>
  <si>
    <t>202008310041</t>
  </si>
  <si>
    <t>202009030019</t>
  </si>
  <si>
    <t>202009040031</t>
  </si>
  <si>
    <t>202009150049</t>
  </si>
  <si>
    <t>202010090009</t>
  </si>
  <si>
    <t>202010190116</t>
  </si>
  <si>
    <t>202010200081</t>
  </si>
  <si>
    <t>202010300067</t>
  </si>
  <si>
    <t>202011100078</t>
  </si>
  <si>
    <t>202011190010</t>
  </si>
  <si>
    <t>202011190094</t>
  </si>
  <si>
    <t>202011230090</t>
  </si>
  <si>
    <t>202011230166</t>
  </si>
  <si>
    <t>202011230176</t>
  </si>
  <si>
    <t>202012030128</t>
  </si>
  <si>
    <t>202012080085</t>
  </si>
  <si>
    <t>202012100135</t>
  </si>
  <si>
    <t>202012150025</t>
  </si>
  <si>
    <t>202012160048</t>
  </si>
  <si>
    <t>202012230039</t>
  </si>
  <si>
    <t>202101070044</t>
  </si>
  <si>
    <t>202102040006</t>
  </si>
  <si>
    <t>202201190054</t>
  </si>
  <si>
    <t>202203040024</t>
  </si>
  <si>
    <t>202206070007</t>
  </si>
  <si>
    <t>202207060061</t>
  </si>
  <si>
    <t>202207160016</t>
  </si>
  <si>
    <t>202207160017</t>
  </si>
  <si>
    <t>202207200068</t>
  </si>
  <si>
    <t>202207210064</t>
  </si>
  <si>
    <t>202208080027</t>
  </si>
  <si>
    <t>202209010010</t>
  </si>
  <si>
    <t>202209160074</t>
  </si>
  <si>
    <t>202209230044</t>
  </si>
  <si>
    <t>202209300032</t>
  </si>
  <si>
    <t>202209300045</t>
  </si>
  <si>
    <t>202210110069</t>
  </si>
  <si>
    <t>202210130011</t>
  </si>
  <si>
    <t>202210270018</t>
  </si>
  <si>
    <t>202211080021</t>
  </si>
  <si>
    <t>202212120036</t>
  </si>
  <si>
    <t>202301060027</t>
  </si>
  <si>
    <t>202302220055</t>
  </si>
  <si>
    <t>202302230037</t>
  </si>
  <si>
    <t>202302280055</t>
  </si>
  <si>
    <t>202303220024</t>
  </si>
  <si>
    <t>202303230059</t>
  </si>
  <si>
    <t>GC2022080810097</t>
  </si>
  <si>
    <t>GC2023062110029</t>
  </si>
  <si>
    <t>GC2023090110154</t>
  </si>
  <si>
    <t>GC2024031310304</t>
  </si>
  <si>
    <t>GC2024100910080</t>
  </si>
  <si>
    <t>GC2024100910154</t>
  </si>
  <si>
    <t>GC2024111910168</t>
  </si>
  <si>
    <t>GC2024112710182</t>
  </si>
  <si>
    <t>GC2024113010008</t>
  </si>
  <si>
    <t>GC2024123010207</t>
  </si>
  <si>
    <t>GC2025010610104</t>
  </si>
  <si>
    <t>GC2025012110015</t>
  </si>
  <si>
    <t>GC2025021110054</t>
  </si>
  <si>
    <t>GC2025021410174</t>
  </si>
  <si>
    <t>GC2025021710214</t>
  </si>
  <si>
    <t>GC2025021910161</t>
  </si>
  <si>
    <t>GC2025021910164</t>
  </si>
  <si>
    <t>GC2025022010169</t>
  </si>
  <si>
    <t>GC2025022510183</t>
  </si>
  <si>
    <t>GC2025022610139</t>
  </si>
  <si>
    <t>GC2025030410051</t>
  </si>
  <si>
    <t>GC2025031210051</t>
  </si>
  <si>
    <t>GC2025031310161</t>
  </si>
  <si>
    <t>GC2025031510063</t>
  </si>
  <si>
    <t>GC2025031910003</t>
  </si>
  <si>
    <t>GC2025032010006</t>
  </si>
  <si>
    <t>GG2023121910247</t>
  </si>
  <si>
    <t>GG2023122710204</t>
  </si>
  <si>
    <t>GG2023122810116</t>
  </si>
  <si>
    <t>GG2024010710011</t>
  </si>
  <si>
    <t>GG2024012510135</t>
  </si>
  <si>
    <t>GG2024032710148</t>
  </si>
  <si>
    <t>GG2024032910004</t>
  </si>
  <si>
    <t>GG2024032910171</t>
  </si>
  <si>
    <t>GG2024042310260</t>
  </si>
  <si>
    <t>GG2024042310305</t>
  </si>
  <si>
    <t>GG2024042610124</t>
  </si>
  <si>
    <t>GG2024042910062</t>
  </si>
  <si>
    <t>GG2024043010006</t>
  </si>
  <si>
    <t>GG2024043010009</t>
  </si>
  <si>
    <t>GG2024051710078</t>
  </si>
  <si>
    <t>GG2024052710151</t>
  </si>
  <si>
    <t>GG2024060310071</t>
  </si>
  <si>
    <t>GG2024062010072</t>
  </si>
  <si>
    <t>GG2024062010280</t>
  </si>
  <si>
    <t>GG2024062410217</t>
  </si>
  <si>
    <t>GG2024062710076</t>
  </si>
  <si>
    <t>GG2024080810108</t>
  </si>
  <si>
    <t>GG2024080910051</t>
  </si>
  <si>
    <t>GG2024081010029</t>
  </si>
  <si>
    <t>GG2024081510065</t>
  </si>
  <si>
    <t>GG2024082710012</t>
  </si>
  <si>
    <t>GG2024091210206</t>
  </si>
  <si>
    <t>GG2024091310005</t>
  </si>
  <si>
    <t>GG2024091810175</t>
  </si>
  <si>
    <t>GG2024092710112</t>
  </si>
  <si>
    <t>GG2024101610079</t>
  </si>
  <si>
    <t>GG2024101710163</t>
  </si>
  <si>
    <t>GG2024102210009</t>
  </si>
  <si>
    <t>GG2024102210142</t>
  </si>
  <si>
    <t>GG2024110410009</t>
  </si>
  <si>
    <t>GG2024110510007</t>
  </si>
  <si>
    <t>GG2024110510010</t>
  </si>
  <si>
    <t>GG2024111110066</t>
  </si>
  <si>
    <t>GG2024111510119</t>
  </si>
  <si>
    <t>GG2024112010172</t>
  </si>
  <si>
    <t>GG2024120910174</t>
  </si>
  <si>
    <t>GG2024121710256</t>
  </si>
  <si>
    <t>GG2024121910155</t>
  </si>
  <si>
    <t>GG2024122110087</t>
  </si>
  <si>
    <t>GG2024122610056</t>
  </si>
  <si>
    <t>GG2024123010094</t>
  </si>
  <si>
    <t>GG2025010610183</t>
  </si>
  <si>
    <t>GG2025010710067</t>
  </si>
  <si>
    <t>GG2025011410134</t>
  </si>
  <si>
    <t>GG2025011510060</t>
  </si>
  <si>
    <t>GG2025011510092</t>
  </si>
  <si>
    <t>GG2025011710149</t>
  </si>
  <si>
    <t>GG2025012110044</t>
  </si>
  <si>
    <t>GG2025012110193</t>
  </si>
  <si>
    <t>GG2025012110215</t>
  </si>
  <si>
    <t>GG2025021210070</t>
  </si>
  <si>
    <t>GG2025021210085</t>
  </si>
  <si>
    <t>GG2025022010021</t>
  </si>
  <si>
    <t>GG2025022010181</t>
  </si>
  <si>
    <t>GG2025030310056</t>
  </si>
  <si>
    <t>GG2025031110024</t>
  </si>
  <si>
    <t>GG2025031210081</t>
  </si>
  <si>
    <t>GG2025031610001</t>
  </si>
  <si>
    <t>GG2025031610002</t>
  </si>
  <si>
    <t>GG2025031910240</t>
  </si>
  <si>
    <t>GG2025032110199</t>
  </si>
  <si>
    <t>GG2025032610115</t>
  </si>
  <si>
    <t>GG2025032710072</t>
  </si>
  <si>
    <t>GG2025040110059</t>
  </si>
  <si>
    <t>PT2022070710079</t>
  </si>
  <si>
    <t>PT2023091410009</t>
  </si>
  <si>
    <t>PT2023112010084</t>
  </si>
  <si>
    <t>PT2024012110004</t>
  </si>
  <si>
    <t>PT2024022110164</t>
  </si>
  <si>
    <t>PT2024022610068</t>
  </si>
  <si>
    <t>PT2024031910196</t>
  </si>
  <si>
    <t>PT2024040310072</t>
  </si>
  <si>
    <t>PT2024040710015</t>
  </si>
  <si>
    <t>PT2024040810113</t>
  </si>
  <si>
    <t>PT2024041610197</t>
  </si>
  <si>
    <t>PT2024041610237</t>
  </si>
  <si>
    <t>PT2024042610018</t>
  </si>
  <si>
    <t>PT2024042810106</t>
  </si>
  <si>
    <t>PT2024043010164</t>
  </si>
  <si>
    <t>PT2024050110011</t>
  </si>
  <si>
    <t>PT2024052210094</t>
  </si>
  <si>
    <t>PT2024052710196</t>
  </si>
  <si>
    <t>PT2024070110009</t>
  </si>
  <si>
    <t>PT2024071510142</t>
  </si>
  <si>
    <t>PT2024081910020</t>
  </si>
  <si>
    <t>PT2024082810126</t>
  </si>
  <si>
    <t>PT2024091910152</t>
  </si>
  <si>
    <t>PT2024102110082</t>
  </si>
  <si>
    <t>PT2024102110222</t>
  </si>
  <si>
    <t>PT2024102110247</t>
  </si>
  <si>
    <t>PT2024102310243</t>
  </si>
  <si>
    <t>PT2024102810227</t>
  </si>
  <si>
    <t>PT2024112010070</t>
  </si>
  <si>
    <t>PT2024121910148</t>
  </si>
  <si>
    <t>PT2024122410217</t>
  </si>
  <si>
    <t>PT2024122510133</t>
  </si>
  <si>
    <t>PT2024122510187</t>
  </si>
  <si>
    <t>PT2024122610121</t>
  </si>
  <si>
    <t>PT2025010710105</t>
  </si>
  <si>
    <t>PT2025030310211</t>
  </si>
  <si>
    <t>PT2025030410037</t>
  </si>
  <si>
    <t>PT2025030610060</t>
  </si>
  <si>
    <t>PT2025031010158</t>
  </si>
  <si>
    <t>PT2025031910006</t>
  </si>
  <si>
    <t>PT2025032010145</t>
  </si>
  <si>
    <t>PT2025032110059</t>
  </si>
  <si>
    <t>ZS2023051710185</t>
  </si>
  <si>
    <t>ZS2023052910113</t>
  </si>
  <si>
    <t>ZS2023062110037</t>
  </si>
  <si>
    <t>ZS2023070310014</t>
  </si>
  <si>
    <t>ZS2023081510132</t>
  </si>
  <si>
    <t>ZS2023081510148</t>
  </si>
  <si>
    <t>ZS2023092610031</t>
  </si>
  <si>
    <t>ZS2023102710014</t>
  </si>
  <si>
    <t>ZS2023111310075</t>
  </si>
  <si>
    <t>ZS2023111410059</t>
  </si>
  <si>
    <t>ZS2023112010171</t>
  </si>
  <si>
    <t>ZS2023120410071</t>
  </si>
  <si>
    <t>ZS2023120410119</t>
  </si>
  <si>
    <t>ZS2023120610116</t>
  </si>
  <si>
    <t>ZS2023120710069</t>
  </si>
  <si>
    <t>ZS2023121210089</t>
  </si>
  <si>
    <t>ZS2023121810146</t>
  </si>
  <si>
    <t>ZS2023121910017</t>
  </si>
  <si>
    <t>ZS2023122010151</t>
  </si>
  <si>
    <t>ZS2023122010212</t>
  </si>
  <si>
    <t>ZS2023122610067</t>
  </si>
  <si>
    <t>ZS2023122610196</t>
  </si>
  <si>
    <t>ZS2024011510068</t>
  </si>
  <si>
    <t>ZS2024011610031</t>
  </si>
  <si>
    <t>ZS2024011610052</t>
  </si>
  <si>
    <t>ZS2024011710096</t>
  </si>
  <si>
    <t>ZS2024011910017</t>
  </si>
  <si>
    <t>ZS2024011910082</t>
  </si>
  <si>
    <t>ZS2024011910113</t>
  </si>
  <si>
    <t>ZS2024012410022</t>
  </si>
  <si>
    <t>ZS2024012510050</t>
  </si>
  <si>
    <t>ZS2024012610121</t>
  </si>
  <si>
    <t>ZS2024012910015</t>
  </si>
  <si>
    <t>ZS2024020110120</t>
  </si>
  <si>
    <t>ZS2024020210060</t>
  </si>
  <si>
    <t>ZS2024022710093</t>
  </si>
  <si>
    <t>ZS2024022910099</t>
  </si>
  <si>
    <t>ZS2024030410111</t>
  </si>
  <si>
    <t>ZS2024031310117</t>
  </si>
  <si>
    <t>ZS2024031310160</t>
  </si>
  <si>
    <t>ZS2024032010030</t>
  </si>
  <si>
    <t>ZS2024032610164</t>
  </si>
  <si>
    <t>ZS2024032810156</t>
  </si>
  <si>
    <t>ZS2024032910065</t>
  </si>
  <si>
    <t>ZS2024041210113</t>
  </si>
  <si>
    <t>ZS2024041510059</t>
  </si>
  <si>
    <t>ZS2024041510108</t>
  </si>
  <si>
    <t>ZS2024041510129</t>
  </si>
  <si>
    <t>ZS2024041510138</t>
  </si>
  <si>
    <t>ZS2024041810033</t>
  </si>
  <si>
    <t>ZS2024041910056</t>
  </si>
  <si>
    <t>ZS2024042210043</t>
  </si>
  <si>
    <t>ZS2024042410073</t>
  </si>
  <si>
    <t>ZS2024050710162</t>
  </si>
  <si>
    <t>ZS2024051310013</t>
  </si>
  <si>
    <t>ZS2024051310014</t>
  </si>
  <si>
    <t>ZS2024052010233</t>
  </si>
  <si>
    <t>ZS2024052710263</t>
  </si>
  <si>
    <t>ZS2024052710264</t>
  </si>
  <si>
    <t>ZS2024052910062</t>
  </si>
  <si>
    <t>ZS2024053010114</t>
  </si>
  <si>
    <t>ZS2024061110164</t>
  </si>
  <si>
    <t>ZS2024061210032</t>
  </si>
  <si>
    <t>ZS2024061310150</t>
  </si>
  <si>
    <t>ZS2024061910181</t>
  </si>
  <si>
    <t>ZS2024062410244</t>
  </si>
  <si>
    <t>ZS2024062410253</t>
  </si>
  <si>
    <t>ZS2024062410309</t>
  </si>
  <si>
    <t>ZS2024062710139</t>
  </si>
  <si>
    <t>ZS2024062710336</t>
  </si>
  <si>
    <t>ZS2024070410029</t>
  </si>
  <si>
    <t>ZS2024070410083</t>
  </si>
  <si>
    <t>ZS2024070510030</t>
  </si>
  <si>
    <t>ZS2024070810066</t>
  </si>
  <si>
    <t>ZS2024070910106</t>
  </si>
  <si>
    <t>ZS2024071010120</t>
  </si>
  <si>
    <t>ZS2024071610202</t>
  </si>
  <si>
    <t>ZS2024071910163</t>
  </si>
  <si>
    <t>ZS2024072310085</t>
  </si>
  <si>
    <t>ZS2024080110101</t>
  </si>
  <si>
    <t>ZS2024080210162</t>
  </si>
  <si>
    <t>ZS2024080610027</t>
  </si>
  <si>
    <t>ZS2024080610193</t>
  </si>
  <si>
    <t>ZS2024080810051</t>
  </si>
  <si>
    <t>ZS2024081410201</t>
  </si>
  <si>
    <t>ZS2024082710224</t>
  </si>
  <si>
    <t>ZS2024083010021</t>
  </si>
  <si>
    <t>ZS2024091110135</t>
  </si>
  <si>
    <t>ZS2024091110144</t>
  </si>
  <si>
    <t>ZS2024091210162</t>
  </si>
  <si>
    <t>ZS2024092010116</t>
  </si>
  <si>
    <t>ZS2024092010162</t>
  </si>
  <si>
    <t>ZS2024092410219</t>
  </si>
  <si>
    <t>ZS2024092510186</t>
  </si>
  <si>
    <t>ZS2024092610208</t>
  </si>
  <si>
    <t>ZS2024092910216</t>
  </si>
  <si>
    <t>ZS2024093010093</t>
  </si>
  <si>
    <t>ZS2024101210121</t>
  </si>
  <si>
    <t>ZS2024101710212</t>
  </si>
  <si>
    <t>ZS2024102210181</t>
  </si>
  <si>
    <t>ZS2024102410053</t>
  </si>
  <si>
    <t>ZS2024102410072</t>
  </si>
  <si>
    <t>ZS2024102410174</t>
  </si>
  <si>
    <t>ZS2024102810223</t>
  </si>
  <si>
    <t>ZS2024102910027</t>
  </si>
  <si>
    <t>ZS2024102910161</t>
  </si>
  <si>
    <t>ZS2024103010187</t>
  </si>
  <si>
    <t>ZS2024110110071</t>
  </si>
  <si>
    <t>ZS2024110410107</t>
  </si>
  <si>
    <t>ZS2024110810107</t>
  </si>
  <si>
    <t>ZS2024111210025</t>
  </si>
  <si>
    <t>ZS2024111210031</t>
  </si>
  <si>
    <t>ZS2024111510177</t>
  </si>
  <si>
    <t>ZS2024111910205</t>
  </si>
  <si>
    <t>ZS2024112110179</t>
  </si>
  <si>
    <t>ZS2024112110205</t>
  </si>
  <si>
    <t>ZS2024112110216</t>
  </si>
  <si>
    <t>ZS2024112910036</t>
  </si>
  <si>
    <t>ZS2024120210220</t>
  </si>
  <si>
    <t>ZS2024120310088</t>
  </si>
  <si>
    <t>ZS2024120410157</t>
  </si>
  <si>
    <t>ZS2024120410162</t>
  </si>
  <si>
    <t>ZS2024120510092</t>
  </si>
  <si>
    <t>ZS2024121010121</t>
  </si>
  <si>
    <t>ZS2024121110197</t>
  </si>
  <si>
    <t>ZS2024121610196</t>
  </si>
  <si>
    <t>ZS2024121710169</t>
  </si>
  <si>
    <t>ZS2024121810138</t>
  </si>
  <si>
    <t>ZS2024121810151</t>
  </si>
  <si>
    <t>ZS2024121810165</t>
  </si>
  <si>
    <t>ZS2024121910046</t>
  </si>
  <si>
    <t>ZS2024122010106</t>
  </si>
  <si>
    <t>ZS2024122410111</t>
  </si>
  <si>
    <t>ZS2024122610106</t>
  </si>
  <si>
    <t>ZS2024123010125</t>
  </si>
  <si>
    <t>ZS2025012010133</t>
  </si>
  <si>
    <t>ZS2025012310045</t>
  </si>
  <si>
    <t>ZS2025021110016</t>
  </si>
  <si>
    <t>ZS2025022010092</t>
  </si>
  <si>
    <t>ZS2025022010158</t>
  </si>
  <si>
    <t>ZS2025022010192</t>
  </si>
  <si>
    <t>ZS2025022110045</t>
  </si>
  <si>
    <t>ZS2025022110061</t>
  </si>
  <si>
    <t>ZS2025022110216</t>
  </si>
  <si>
    <t>ZS2025022610135</t>
  </si>
  <si>
    <t>ZS2025022610161</t>
  </si>
  <si>
    <t>ZS2025022610166</t>
  </si>
  <si>
    <t>ZS2025022710016</t>
  </si>
  <si>
    <t>ZS2025022710232</t>
  </si>
  <si>
    <t>ZS2025030410042</t>
  </si>
  <si>
    <t>ZS2025031010064</t>
  </si>
  <si>
    <t>ZS2025031110155</t>
  </si>
  <si>
    <t>ZS2025031210075</t>
  </si>
  <si>
    <t>ZS2025031310169</t>
  </si>
  <si>
    <t>ZS2025031710056</t>
  </si>
  <si>
    <t>ZS2025031710103</t>
  </si>
  <si>
    <t>ZS2025031710116</t>
  </si>
  <si>
    <t>ZS2025031810080</t>
  </si>
  <si>
    <t>ZS2025032110190</t>
  </si>
  <si>
    <t>ZS2025032610094</t>
  </si>
  <si>
    <t>ZS2025032710082</t>
  </si>
  <si>
    <t>ZS2025032710101</t>
  </si>
  <si>
    <t>ZS2025032710254</t>
  </si>
  <si>
    <t>ZS2025032810150</t>
  </si>
  <si>
    <t>ZS2025032810151</t>
  </si>
  <si>
    <t>ZS2025040810043</t>
  </si>
  <si>
    <t>抽成预估收入</t>
    <phoneticPr fontId="247" type="noConversion"/>
  </si>
  <si>
    <t>停车场收入</t>
    <phoneticPr fontId="247" type="noConversion"/>
  </si>
  <si>
    <t>B端创新收入</t>
    <phoneticPr fontId="247" type="noConversion"/>
  </si>
  <si>
    <t>P01中行</t>
    <phoneticPr fontId="134" type="noConversion"/>
  </si>
  <si>
    <r>
      <t>P0</t>
    </r>
    <r>
      <rPr>
        <sz val="11"/>
        <color theme="1"/>
        <rFont val="宋体"/>
        <family val="3"/>
        <charset val="134"/>
        <scheme val="minor"/>
      </rPr>
      <t>2建行</t>
    </r>
    <phoneticPr fontId="134" type="noConversion"/>
  </si>
  <si>
    <t>与级别开发程度一致</t>
  </si>
  <si>
    <r>
      <t>2022</t>
    </r>
    <r>
      <rPr>
        <sz val="11"/>
        <color theme="1"/>
        <rFont val="宋体"/>
        <family val="3"/>
        <charset val="134"/>
        <scheme val="minor"/>
      </rPr>
      <t>年</t>
    </r>
    <phoneticPr fontId="134" type="noConversion"/>
  </si>
  <si>
    <t>2023年</t>
    <phoneticPr fontId="134" type="noConversion"/>
  </si>
  <si>
    <t>2024年</t>
    <phoneticPr fontId="134" type="noConversion"/>
  </si>
  <si>
    <t>平均</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</si>
</sst>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 numFmtId="198" formatCode="_ * #,##0.0_ ;_ * \-#,##0.0_ ;_ * &quot;-&quot;??_ ;_ @_ "/>
    <numFmt numFmtId="199" formatCode="_ * #,##0_ ;_ * \-#,##0_ ;_ * &quot;-&quot;??_ ;_ @_ "/>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1"/>
      <color theme="1"/>
      <name val="宋体"/>
      <family val="2"/>
      <charset val="134"/>
      <scheme val="minor"/>
    </font>
    <font>
      <b/>
      <sz val="16"/>
      <color theme="0"/>
      <name val="微软雅黑"/>
      <family val="2"/>
      <charset val="134"/>
    </font>
    <font>
      <b/>
      <sz val="11"/>
      <color theme="0"/>
      <name val="微软雅黑"/>
      <family val="2"/>
      <charset val="134"/>
    </font>
    <font>
      <sz val="11"/>
      <color theme="0"/>
      <name val="微软雅黑"/>
      <family val="2"/>
      <charset val="134"/>
    </font>
    <font>
      <sz val="11"/>
      <color theme="1"/>
      <name val="微软雅黑"/>
      <family val="2"/>
      <charset val="134"/>
    </font>
    <font>
      <b/>
      <sz val="14"/>
      <color theme="0"/>
      <name val="微软雅黑"/>
      <family val="2"/>
      <charset val="134"/>
    </font>
    <font>
      <b/>
      <sz val="11"/>
      <color theme="1"/>
      <name val="微软雅黑"/>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249977111117893"/>
        <bgColor indexed="64"/>
      </patternFill>
    </fill>
    <fill>
      <patternFill patternType="solid">
        <fgColor theme="9" tint="0.59999389629810485"/>
        <bgColor indexed="64"/>
      </patternFill>
    </fill>
    <fill>
      <patternFill patternType="solid">
        <fgColor rgb="FF00B0F0"/>
        <bgColor indexed="64"/>
      </patternFill>
    </fill>
  </fills>
  <borders count="17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34998626667073579"/>
      </bottom>
      <diagonal/>
    </border>
  </borders>
  <cellStyleXfs count="23">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43" fontId="95" fillId="0" borderId="0" applyFont="0" applyFill="0" applyBorder="0" applyAlignment="0" applyProtection="0">
      <alignment vertical="center"/>
    </xf>
    <xf numFmtId="0" fontId="271" fillId="0" borderId="0">
      <alignment vertical="center"/>
    </xf>
    <xf numFmtId="43" fontId="271" fillId="0" borderId="0" applyFont="0" applyFill="0" applyBorder="0" applyAlignment="0" applyProtection="0">
      <alignment vertical="center"/>
    </xf>
  </cellStyleXfs>
  <cellXfs count="355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1" xfId="0" applyFont="1" applyBorder="1">
      <alignment vertical="center"/>
    </xf>
    <xf numFmtId="49" fontId="95" fillId="0" borderId="1" xfId="0" applyNumberFormat="1" applyFont="1" applyBorder="1">
      <alignment vertical="center"/>
    </xf>
    <xf numFmtId="0" fontId="0" fillId="0" borderId="1" xfId="0" applyBorder="1">
      <alignment vertical="center"/>
    </xf>
    <xf numFmtId="0" fontId="95" fillId="0" borderId="1" xfId="0" applyFont="1" applyBorder="1" applyAlignment="1">
      <alignment horizontal="center" vertical="center"/>
    </xf>
    <xf numFmtId="197" fontId="0" fillId="0" borderId="0" xfId="0" applyNumberFormat="1">
      <alignment vertical="center"/>
    </xf>
    <xf numFmtId="0" fontId="77" fillId="0" borderId="1"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10" fontId="47" fillId="12" borderId="0" xfId="17" applyNumberFormat="1" applyFont="1" applyFill="1" applyProtection="1">
      <alignment vertical="center"/>
      <protection locked="0"/>
    </xf>
    <xf numFmtId="2" fontId="0" fillId="0" borderId="0" xfId="0" applyNumberFormat="1">
      <alignment vertical="center"/>
    </xf>
    <xf numFmtId="0" fontId="95" fillId="0" borderId="0" xfId="1">
      <alignment vertical="center"/>
    </xf>
    <xf numFmtId="0" fontId="273" fillId="22" borderId="176" xfId="1" applyFont="1" applyFill="1" applyBorder="1" applyAlignment="1">
      <alignment horizontal="center" vertical="center"/>
    </xf>
    <xf numFmtId="0" fontId="274" fillId="22" borderId="176" xfId="1" applyFont="1" applyFill="1" applyBorder="1" applyAlignment="1">
      <alignment horizontal="center" vertical="center"/>
    </xf>
    <xf numFmtId="0" fontId="275" fillId="0" borderId="176" xfId="1" applyFont="1" applyBorder="1" applyAlignment="1">
      <alignment horizontal="center" vertical="center"/>
    </xf>
    <xf numFmtId="181" fontId="275" fillId="0" borderId="176" xfId="19" applyNumberFormat="1" applyFont="1" applyBorder="1" applyAlignment="1">
      <alignment horizontal="center" vertical="center"/>
    </xf>
    <xf numFmtId="43" fontId="275" fillId="0" borderId="176" xfId="20" applyFont="1" applyBorder="1" applyAlignment="1">
      <alignment horizontal="center" vertical="center"/>
    </xf>
    <xf numFmtId="0" fontId="275" fillId="0" borderId="0" xfId="1" applyFont="1">
      <alignment vertical="center"/>
    </xf>
    <xf numFmtId="0" fontId="273" fillId="22" borderId="0" xfId="1" applyFont="1" applyFill="1" applyAlignment="1">
      <alignment horizontal="center" vertical="center"/>
    </xf>
    <xf numFmtId="43" fontId="273" fillId="22" borderId="0" xfId="20" applyFont="1" applyFill="1" applyAlignment="1">
      <alignment horizontal="center" vertical="center"/>
    </xf>
    <xf numFmtId="14" fontId="273" fillId="22" borderId="0" xfId="1" applyNumberFormat="1" applyFont="1" applyFill="1" applyAlignment="1">
      <alignment horizontal="center" vertical="center"/>
    </xf>
    <xf numFmtId="0" fontId="275" fillId="0" borderId="1" xfId="1" applyFont="1" applyBorder="1" applyAlignment="1">
      <alignment horizontal="center" vertical="center"/>
    </xf>
    <xf numFmtId="0" fontId="271" fillId="0" borderId="1" xfId="21" applyBorder="1">
      <alignment vertical="center"/>
    </xf>
    <xf numFmtId="14" fontId="271" fillId="0" borderId="1" xfId="21" applyNumberFormat="1" applyBorder="1">
      <alignment vertical="center"/>
    </xf>
    <xf numFmtId="49" fontId="273" fillId="22" borderId="176" xfId="1" applyNumberFormat="1" applyFont="1" applyFill="1" applyBorder="1" applyAlignment="1">
      <alignment horizontal="center" vertical="center"/>
    </xf>
    <xf numFmtId="43" fontId="273" fillId="22" borderId="176" xfId="20" applyFont="1" applyFill="1" applyBorder="1" applyAlignment="1">
      <alignment horizontal="center" vertical="center"/>
    </xf>
    <xf numFmtId="0" fontId="275" fillId="0" borderId="0" xfId="1" applyFont="1" applyAlignment="1">
      <alignment horizontal="center" vertical="center"/>
    </xf>
    <xf numFmtId="0" fontId="275" fillId="0" borderId="0" xfId="1" quotePrefix="1" applyFont="1" applyAlignment="1">
      <alignment vertical="center" wrapText="1"/>
    </xf>
    <xf numFmtId="43" fontId="275" fillId="0" borderId="0" xfId="22" applyFont="1">
      <alignment vertical="center"/>
    </xf>
    <xf numFmtId="43" fontId="275" fillId="0" borderId="0" xfId="1" applyNumberFormat="1" applyFont="1">
      <alignment vertical="center"/>
    </xf>
    <xf numFmtId="0" fontId="275" fillId="0" borderId="0" xfId="1" quotePrefix="1" applyFont="1">
      <alignment vertical="center"/>
    </xf>
    <xf numFmtId="178" fontId="275" fillId="0" borderId="0" xfId="1" applyNumberFormat="1" applyFont="1">
      <alignment vertical="center"/>
    </xf>
    <xf numFmtId="0" fontId="275" fillId="0" borderId="0" xfId="21" applyFont="1" applyAlignment="1">
      <alignment horizontal="center" vertical="center"/>
    </xf>
    <xf numFmtId="198" fontId="275" fillId="0" borderId="0" xfId="22" applyNumberFormat="1" applyFont="1" applyAlignment="1">
      <alignment horizontal="center" vertical="center"/>
    </xf>
    <xf numFmtId="0" fontId="277" fillId="0" borderId="0" xfId="1" applyFont="1" applyAlignment="1">
      <alignment horizontal="center" vertical="center"/>
    </xf>
    <xf numFmtId="198" fontId="277" fillId="0" borderId="0" xfId="20" applyNumberFormat="1" applyFont="1" applyAlignment="1">
      <alignment horizontal="center" vertical="center"/>
    </xf>
    <xf numFmtId="199" fontId="277" fillId="0" borderId="0" xfId="20" applyNumberFormat="1" applyFont="1" applyAlignment="1">
      <alignment horizontal="center" vertical="center"/>
    </xf>
    <xf numFmtId="0" fontId="277" fillId="23" borderId="0" xfId="1" applyFont="1" applyFill="1" applyAlignment="1">
      <alignment horizontal="center" vertical="center"/>
    </xf>
    <xf numFmtId="199" fontId="277" fillId="23" borderId="0" xfId="20" applyNumberFormat="1" applyFont="1" applyFill="1" applyAlignment="1">
      <alignment horizontal="center" vertical="center"/>
    </xf>
    <xf numFmtId="197" fontId="53" fillId="7" borderId="0" xfId="0" applyNumberFormat="1" applyFont="1" applyFill="1" applyProtection="1">
      <alignment vertical="center"/>
      <protection locked="0"/>
    </xf>
    <xf numFmtId="1" fontId="47" fillId="6" borderId="0" xfId="0" applyNumberFormat="1" applyFont="1" applyFill="1" applyProtection="1">
      <alignment vertical="center"/>
      <protection locked="0"/>
    </xf>
    <xf numFmtId="181" fontId="99" fillId="24" borderId="1" xfId="0" applyNumberFormat="1" applyFont="1" applyFill="1" applyBorder="1" applyAlignment="1" applyProtection="1">
      <alignment horizontal="center" vertical="center"/>
      <protection locked="0"/>
    </xf>
    <xf numFmtId="179" fontId="44" fillId="24" borderId="23" xfId="0" applyNumberFormat="1" applyFont="1" applyFill="1" applyBorder="1" applyAlignment="1" applyProtection="1">
      <alignment horizontal="center" vertical="center"/>
      <protection locked="0"/>
    </xf>
    <xf numFmtId="10" fontId="44" fillId="24" borderId="1" xfId="0" applyNumberFormat="1" applyFont="1" applyFill="1" applyBorder="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95" fillId="0" borderId="1" xfId="0" applyFont="1" applyBorder="1" applyAlignment="1">
      <alignment horizontal="center" vertical="center"/>
    </xf>
    <xf numFmtId="0" fontId="95" fillId="0" borderId="13" xfId="0" applyFont="1" applyBorder="1" applyAlignment="1">
      <alignment horizontal="center" vertical="center"/>
    </xf>
    <xf numFmtId="0" fontId="95" fillId="0" borderId="15" xfId="0" applyFont="1" applyBorder="1" applyAlignment="1">
      <alignment horizontal="center" vertical="center"/>
    </xf>
    <xf numFmtId="0" fontId="95" fillId="0" borderId="2" xfId="0" applyFont="1" applyBorder="1" applyAlignment="1">
      <alignment horizontal="center"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208" fillId="0" borderId="23"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272" fillId="22" borderId="0" xfId="1" applyFont="1" applyFill="1" applyAlignment="1">
      <alignment horizontal="center" vertical="center"/>
    </xf>
    <xf numFmtId="0" fontId="276" fillId="22" borderId="0" xfId="1" applyFont="1" applyFill="1" applyAlignment="1">
      <alignment horizontal="center" vertical="center" wrapText="1"/>
    </xf>
    <xf numFmtId="0" fontId="276" fillId="22" borderId="177" xfId="1"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181" fontId="44" fillId="9" borderId="24" xfId="0" applyNumberFormat="1" applyFont="1" applyFill="1" applyBorder="1" applyAlignment="1" applyProtection="1">
      <alignment horizontal="center" vertical="center"/>
      <protection locked="0"/>
    </xf>
  </cellXfs>
  <cellStyles count="23">
    <cellStyle name="百分比" xfId="17" builtinId="5"/>
    <cellStyle name="百分比 2" xfId="14" xr:uid="{00000000-0005-0000-0000-000001000000}"/>
    <cellStyle name="百分比 2 2" xfId="19" xr:uid="{00000000-0005-0000-0000-000002000000}"/>
    <cellStyle name="常规" xfId="0" builtinId="0"/>
    <cellStyle name="常规 10" xfId="21"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千位分隔 2" xfId="20" xr:uid="{00000000-0005-0000-0000-000015000000}"/>
    <cellStyle name="千位分隔 3" xfId="22" xr:uid="{00000000-0005-0000-0000-000016000000}"/>
  </cellStyles>
  <dxfs count="166">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solid">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2028521</xdr:colOff>
      <xdr:row>17</xdr:row>
      <xdr:rowOff>94874</xdr:rowOff>
    </xdr:to>
    <xdr:pic>
      <xdr:nvPicPr>
        <xdr:cNvPr id="2" name="图片 1">
          <a:extLst>
            <a:ext uri="{FF2B5EF4-FFF2-40B4-BE49-F238E27FC236}">
              <a16:creationId xmlns:a16="http://schemas.microsoft.com/office/drawing/2014/main" id="{9722D9FB-A402-755A-10F9-773B88AD1D48}"/>
            </a:ext>
          </a:extLst>
        </xdr:cNvPr>
        <xdr:cNvPicPr>
          <a:picLocks noChangeAspect="1"/>
        </xdr:cNvPicPr>
      </xdr:nvPicPr>
      <xdr:blipFill>
        <a:blip xmlns:r="http://schemas.openxmlformats.org/officeDocument/2006/relationships" r:embed="rId1"/>
        <a:stretch>
          <a:fillRect/>
        </a:stretch>
      </xdr:blipFill>
      <xdr:spPr>
        <a:xfrm>
          <a:off x="0" y="0"/>
          <a:ext cx="2428571" cy="3009524"/>
        </a:xfrm>
        <a:prstGeom prst="rect">
          <a:avLst/>
        </a:prstGeom>
      </xdr:spPr>
    </xdr:pic>
    <xdr:clientData/>
  </xdr:twoCellAnchor>
  <xdr:twoCellAnchor editAs="oneCell">
    <xdr:from>
      <xdr:col>0</xdr:col>
      <xdr:colOff>285749</xdr:colOff>
      <xdr:row>47</xdr:row>
      <xdr:rowOff>66675</xdr:rowOff>
    </xdr:from>
    <xdr:to>
      <xdr:col>4</xdr:col>
      <xdr:colOff>193783</xdr:colOff>
      <xdr:row>68</xdr:row>
      <xdr:rowOff>85725</xdr:rowOff>
    </xdr:to>
    <xdr:pic>
      <xdr:nvPicPr>
        <xdr:cNvPr id="3" name="图片 2">
          <a:extLst>
            <a:ext uri="{FF2B5EF4-FFF2-40B4-BE49-F238E27FC236}">
              <a16:creationId xmlns:a16="http://schemas.microsoft.com/office/drawing/2014/main" id="{D8FF7578-62F7-4BA6-E757-79C57A38C993}"/>
            </a:ext>
          </a:extLst>
        </xdr:cNvPr>
        <xdr:cNvPicPr>
          <a:picLocks noChangeAspect="1"/>
        </xdr:cNvPicPr>
      </xdr:nvPicPr>
      <xdr:blipFill>
        <a:blip xmlns:r="http://schemas.openxmlformats.org/officeDocument/2006/relationships" r:embed="rId2"/>
        <a:stretch>
          <a:fillRect/>
        </a:stretch>
      </xdr:blipFill>
      <xdr:spPr>
        <a:xfrm>
          <a:off x="285749" y="8124825"/>
          <a:ext cx="6146909" cy="3619500"/>
        </a:xfrm>
        <a:prstGeom prst="rect">
          <a:avLst/>
        </a:prstGeom>
      </xdr:spPr>
    </xdr:pic>
    <xdr:clientData/>
  </xdr:twoCellAnchor>
  <xdr:twoCellAnchor editAs="oneCell">
    <xdr:from>
      <xdr:col>0</xdr:col>
      <xdr:colOff>285749</xdr:colOff>
      <xdr:row>70</xdr:row>
      <xdr:rowOff>104775</xdr:rowOff>
    </xdr:from>
    <xdr:to>
      <xdr:col>3</xdr:col>
      <xdr:colOff>342899</xdr:colOff>
      <xdr:row>94</xdr:row>
      <xdr:rowOff>26146</xdr:rowOff>
    </xdr:to>
    <xdr:pic>
      <xdr:nvPicPr>
        <xdr:cNvPr id="4" name="图片 3">
          <a:extLst>
            <a:ext uri="{FF2B5EF4-FFF2-40B4-BE49-F238E27FC236}">
              <a16:creationId xmlns:a16="http://schemas.microsoft.com/office/drawing/2014/main" id="{351785BD-0D09-D6EA-7A39-94DC5D014284}"/>
            </a:ext>
          </a:extLst>
        </xdr:cNvPr>
        <xdr:cNvPicPr>
          <a:picLocks noChangeAspect="1"/>
        </xdr:cNvPicPr>
      </xdr:nvPicPr>
      <xdr:blipFill>
        <a:blip xmlns:r="http://schemas.openxmlformats.org/officeDocument/2006/relationships" r:embed="rId3"/>
        <a:stretch>
          <a:fillRect/>
        </a:stretch>
      </xdr:blipFill>
      <xdr:spPr>
        <a:xfrm>
          <a:off x="285749" y="12106275"/>
          <a:ext cx="5895975" cy="403617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638174</xdr:colOff>
      <xdr:row>0</xdr:row>
      <xdr:rowOff>0</xdr:rowOff>
    </xdr:from>
    <xdr:to>
      <xdr:col>21</xdr:col>
      <xdr:colOff>38099</xdr:colOff>
      <xdr:row>10</xdr:row>
      <xdr:rowOff>10756</xdr:rowOff>
    </xdr:to>
    <xdr:pic>
      <xdr:nvPicPr>
        <xdr:cNvPr id="3" name="图片 2">
          <a:extLst>
            <a:ext uri="{FF2B5EF4-FFF2-40B4-BE49-F238E27FC236}">
              <a16:creationId xmlns:a16="http://schemas.microsoft.com/office/drawing/2014/main" id="{FA8694E7-A956-0C64-1478-0D8C5B0D6D1D}"/>
            </a:ext>
          </a:extLst>
        </xdr:cNvPr>
        <xdr:cNvPicPr>
          <a:picLocks noChangeAspect="1"/>
        </xdr:cNvPicPr>
      </xdr:nvPicPr>
      <xdr:blipFill>
        <a:blip xmlns:r="http://schemas.openxmlformats.org/officeDocument/2006/relationships" r:embed="rId1"/>
        <a:stretch>
          <a:fillRect/>
        </a:stretch>
      </xdr:blipFill>
      <xdr:spPr>
        <a:xfrm>
          <a:off x="7496174" y="0"/>
          <a:ext cx="6943725" cy="1725256"/>
        </a:xfrm>
        <a:prstGeom prst="rect">
          <a:avLst/>
        </a:prstGeom>
      </xdr:spPr>
    </xdr:pic>
    <xdr:clientData/>
  </xdr:twoCellAnchor>
  <xdr:twoCellAnchor editAs="oneCell">
    <xdr:from>
      <xdr:col>0</xdr:col>
      <xdr:colOff>0</xdr:colOff>
      <xdr:row>0</xdr:row>
      <xdr:rowOff>0</xdr:rowOff>
    </xdr:from>
    <xdr:to>
      <xdr:col>10</xdr:col>
      <xdr:colOff>608667</xdr:colOff>
      <xdr:row>9</xdr:row>
      <xdr:rowOff>142664</xdr:rowOff>
    </xdr:to>
    <xdr:pic>
      <xdr:nvPicPr>
        <xdr:cNvPr id="4" name="图片 3">
          <a:extLst>
            <a:ext uri="{FF2B5EF4-FFF2-40B4-BE49-F238E27FC236}">
              <a16:creationId xmlns:a16="http://schemas.microsoft.com/office/drawing/2014/main" id="{FD57F5CE-B71B-588C-BCB9-747FEA65516C}"/>
            </a:ext>
          </a:extLst>
        </xdr:cNvPr>
        <xdr:cNvPicPr>
          <a:picLocks noChangeAspect="1"/>
        </xdr:cNvPicPr>
      </xdr:nvPicPr>
      <xdr:blipFill>
        <a:blip xmlns:r="http://schemas.openxmlformats.org/officeDocument/2006/relationships" r:embed="rId2"/>
        <a:stretch>
          <a:fillRect/>
        </a:stretch>
      </xdr:blipFill>
      <xdr:spPr>
        <a:xfrm>
          <a:off x="0" y="0"/>
          <a:ext cx="7466667" cy="1685714"/>
        </a:xfrm>
        <a:prstGeom prst="rect">
          <a:avLst/>
        </a:prstGeom>
      </xdr:spPr>
    </xdr:pic>
    <xdr:clientData/>
  </xdr:twoCellAnchor>
  <xdr:twoCellAnchor editAs="oneCell">
    <xdr:from>
      <xdr:col>0</xdr:col>
      <xdr:colOff>66675</xdr:colOff>
      <xdr:row>9</xdr:row>
      <xdr:rowOff>114300</xdr:rowOff>
    </xdr:from>
    <xdr:to>
      <xdr:col>10</xdr:col>
      <xdr:colOff>599151</xdr:colOff>
      <xdr:row>11</xdr:row>
      <xdr:rowOff>171400</xdr:rowOff>
    </xdr:to>
    <xdr:pic>
      <xdr:nvPicPr>
        <xdr:cNvPr id="5" name="图片 4">
          <a:extLst>
            <a:ext uri="{FF2B5EF4-FFF2-40B4-BE49-F238E27FC236}">
              <a16:creationId xmlns:a16="http://schemas.microsoft.com/office/drawing/2014/main" id="{E3F10BEA-E812-EC9A-0E02-5209D2D4776B}"/>
            </a:ext>
          </a:extLst>
        </xdr:cNvPr>
        <xdr:cNvPicPr>
          <a:picLocks noChangeAspect="1"/>
        </xdr:cNvPicPr>
      </xdr:nvPicPr>
      <xdr:blipFill>
        <a:blip xmlns:r="http://schemas.openxmlformats.org/officeDocument/2006/relationships" r:embed="rId3"/>
        <a:stretch>
          <a:fillRect/>
        </a:stretch>
      </xdr:blipFill>
      <xdr:spPr>
        <a:xfrm>
          <a:off x="66675" y="1657350"/>
          <a:ext cx="7390476" cy="400000"/>
        </a:xfrm>
        <a:prstGeom prst="rect">
          <a:avLst/>
        </a:prstGeom>
      </xdr:spPr>
    </xdr:pic>
    <xdr:clientData/>
  </xdr:twoCellAnchor>
  <xdr:twoCellAnchor editAs="oneCell">
    <xdr:from>
      <xdr:col>10</xdr:col>
      <xdr:colOff>609601</xdr:colOff>
      <xdr:row>10</xdr:row>
      <xdr:rowOff>38100</xdr:rowOff>
    </xdr:from>
    <xdr:to>
      <xdr:col>21</xdr:col>
      <xdr:colOff>94383</xdr:colOff>
      <xdr:row>12</xdr:row>
      <xdr:rowOff>32649</xdr:rowOff>
    </xdr:to>
    <xdr:pic>
      <xdr:nvPicPr>
        <xdr:cNvPr id="6" name="图片 5">
          <a:extLst>
            <a:ext uri="{FF2B5EF4-FFF2-40B4-BE49-F238E27FC236}">
              <a16:creationId xmlns:a16="http://schemas.microsoft.com/office/drawing/2014/main" id="{BDB530B3-784C-C620-C594-07333AAD8032}"/>
            </a:ext>
          </a:extLst>
        </xdr:cNvPr>
        <xdr:cNvPicPr>
          <a:picLocks noChangeAspect="1"/>
        </xdr:cNvPicPr>
      </xdr:nvPicPr>
      <xdr:blipFill>
        <a:blip xmlns:r="http://schemas.openxmlformats.org/officeDocument/2006/relationships" r:embed="rId4"/>
        <a:stretch>
          <a:fillRect/>
        </a:stretch>
      </xdr:blipFill>
      <xdr:spPr>
        <a:xfrm>
          <a:off x="7467601" y="1752600"/>
          <a:ext cx="7028582" cy="3374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估价对象为北京市房地产，为所有。根据《国有土地使用证》[]，估价对象（分摊）出让国有建设用地使用权面积为0平方米，建筑面积为103889.93平方米。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估价对象为北京市房地产,属开发建设的，该项目尚在开发建设中。根据《国有土地使用证》[]，估价对象（分摊）出让国有建设用地使用权面积为0平方米，规划建筑面积为103889.93平方米。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2025年5月8日（评估专业人员实地查勘之日）</v>
      </c>
    </row>
    <row r="13" spans="1:2">
      <c r="A13" s="1119" t="s">
        <v>529</v>
      </c>
      <c r="B13" s="1120" t="str">
        <f>'预评函-1'!A18</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本次评估采用的主估价方法为成本法和收益法。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252404</v>
      </c>
    </row>
    <row r="21" spans="1:2">
      <c r="A21" s="1119" t="s">
        <v>537</v>
      </c>
      <c r="B21" s="1120">
        <f ca="1">'预评函-2'!D7</f>
        <v>24295</v>
      </c>
    </row>
    <row r="22" spans="1:2">
      <c r="A22" s="1119" t="s">
        <v>538</v>
      </c>
      <c r="B22" s="1120" t="str">
        <f ca="1">'预评函-2'!D6</f>
        <v>贰拾伍亿贰仟肆佰零肆万元整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252404</v>
      </c>
    </row>
    <row r="31" spans="1:2">
      <c r="A31" s="1119" t="s">
        <v>576</v>
      </c>
      <c r="B31" s="1120">
        <f ca="1">'预评函-2'!D15</f>
        <v>24295</v>
      </c>
    </row>
    <row r="32" spans="1:2">
      <c r="A32" s="1119" t="s">
        <v>543</v>
      </c>
      <c r="B32" s="1120" t="str">
        <f ca="1">'预评函-2'!D14</f>
        <v>贰拾伍亿贰仟肆佰零肆万元整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103889.93000000002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186527</v>
      </c>
    </row>
    <row r="48" spans="1:2">
      <c r="A48" s="1119" t="s">
        <v>549</v>
      </c>
      <c r="B48" s="1120">
        <f ca="1">'预评函-3'!E4</f>
        <v>17954</v>
      </c>
    </row>
    <row r="49" spans="1:2">
      <c r="A49" s="1119" t="s">
        <v>550</v>
      </c>
      <c r="B49" s="1120" t="str">
        <f ca="1">'预评函-3'!D5</f>
        <v>壹拾捌亿陆仟伍佰贰拾柒万元整</v>
      </c>
    </row>
    <row r="50" spans="1:2">
      <c r="A50" s="1119" t="s">
        <v>574</v>
      </c>
      <c r="B50" s="1120" t="str">
        <f>'预评函-3'!F2</f>
        <v>在建建筑物价值</v>
      </c>
    </row>
    <row r="51" spans="1:2">
      <c r="A51" s="1119" t="s">
        <v>551</v>
      </c>
      <c r="B51" s="1120">
        <f ca="1">'预评函-3'!F4</f>
        <v>65877</v>
      </c>
    </row>
    <row r="52" spans="1:2">
      <c r="A52" s="1119" t="s">
        <v>552</v>
      </c>
      <c r="B52" s="1120">
        <f ca="1">'预评函-3'!G4</f>
        <v>6341</v>
      </c>
    </row>
    <row r="53" spans="1:2">
      <c r="A53" s="1119" t="s">
        <v>580</v>
      </c>
      <c r="B53" s="1120" t="str">
        <f ca="1">'预评函-3'!F5</f>
        <v>陆亿伍仟捌佰柒拾柒万元整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4" sqref="G24:G2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3327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3328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3329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3332</v>
      </c>
    </row>
    <row r="8" spans="1:23">
      <c r="A8" s="1441" t="s">
        <v>1026</v>
      </c>
      <c r="B8" s="1441" t="s">
        <v>1027</v>
      </c>
      <c r="C8" s="1442" t="s">
        <v>319</v>
      </c>
      <c r="F8" s="1443" t="s">
        <v>1028</v>
      </c>
      <c r="H8" s="1443" t="s">
        <v>2568</v>
      </c>
      <c r="I8" s="1443" t="s">
        <v>3333</v>
      </c>
    </row>
    <row r="9" spans="1:23">
      <c r="A9" s="1441" t="s">
        <v>1029</v>
      </c>
      <c r="B9" s="1441" t="s">
        <v>1030</v>
      </c>
      <c r="C9" s="1442" t="s">
        <v>320</v>
      </c>
      <c r="F9" s="1443" t="s">
        <v>1031</v>
      </c>
      <c r="H9" s="1443"/>
      <c r="I9" s="1445" t="s">
        <v>3334</v>
      </c>
    </row>
    <row r="10" spans="1:23">
      <c r="A10" s="1441" t="s">
        <v>1032</v>
      </c>
      <c r="B10" s="1441" t="s">
        <v>1033</v>
      </c>
      <c r="C10" s="1442" t="s">
        <v>321</v>
      </c>
      <c r="F10" s="1443" t="s">
        <v>2569</v>
      </c>
      <c r="I10" s="1445" t="s">
        <v>3335</v>
      </c>
    </row>
    <row r="11" spans="1:23">
      <c r="A11" s="1441" t="s">
        <v>1034</v>
      </c>
      <c r="B11" s="1441" t="s">
        <v>1035</v>
      </c>
      <c r="C11" s="1442" t="s">
        <v>322</v>
      </c>
      <c r="F11" s="1443" t="s">
        <v>13</v>
      </c>
      <c r="I11" s="1445" t="s">
        <v>3336</v>
      </c>
    </row>
    <row r="12" spans="1:23">
      <c r="A12" s="1441" t="s">
        <v>1036</v>
      </c>
      <c r="B12" s="1441" t="s">
        <v>1037</v>
      </c>
      <c r="C12" s="1442" t="s">
        <v>323</v>
      </c>
      <c r="I12" s="1445" t="s">
        <v>3337</v>
      </c>
    </row>
    <row r="13" spans="1:23">
      <c r="A13" s="1441" t="s">
        <v>1038</v>
      </c>
      <c r="B13" s="1441" t="s">
        <v>1039</v>
      </c>
      <c r="C13" s="1442" t="s">
        <v>324</v>
      </c>
      <c r="I13" s="1445" t="s">
        <v>3338</v>
      </c>
    </row>
    <row r="14" spans="1:23">
      <c r="A14" s="1441" t="s">
        <v>1040</v>
      </c>
      <c r="B14" s="1441" t="s">
        <v>1041</v>
      </c>
      <c r="C14" s="1443" t="s">
        <v>13</v>
      </c>
      <c r="I14" s="1445" t="s">
        <v>3339</v>
      </c>
    </row>
    <row r="15" spans="1:23">
      <c r="A15" s="1441" t="s">
        <v>1042</v>
      </c>
      <c r="B15" s="1441" t="s">
        <v>1043</v>
      </c>
      <c r="C15" s="1442"/>
      <c r="I15" s="1445" t="s">
        <v>3340</v>
      </c>
    </row>
    <row r="16" spans="1:23">
      <c r="A16" s="1441" t="s">
        <v>1044</v>
      </c>
      <c r="B16" s="1441" t="s">
        <v>312</v>
      </c>
      <c r="C16" s="1442"/>
    </row>
    <row r="17" spans="1:3">
      <c r="A17" s="1441" t="s">
        <v>1045</v>
      </c>
      <c r="B17" s="1441" t="s">
        <v>2284</v>
      </c>
      <c r="C17" s="1442"/>
    </row>
    <row r="18" spans="1:3">
      <c r="A18" s="1441" t="s">
        <v>1046</v>
      </c>
      <c r="B18" s="1441" t="s">
        <v>2424</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47"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47"/>
      <c r="B54" s="1447" t="s">
        <v>385</v>
      </c>
      <c r="C54" s="1445" t="s">
        <v>583</v>
      </c>
    </row>
    <row r="55" spans="1:4">
      <c r="A55" s="3247"/>
      <c r="B55" s="1447" t="s">
        <v>386</v>
      </c>
      <c r="C55" s="1445" t="s">
        <v>584</v>
      </c>
    </row>
    <row r="56" spans="1:4">
      <c r="A56" s="3247"/>
      <c r="B56" s="1447" t="s">
        <v>387</v>
      </c>
      <c r="C56" s="1445" t="s">
        <v>588</v>
      </c>
    </row>
    <row r="57" spans="1:4">
      <c r="A57" s="3247"/>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2491</v>
      </c>
      <c r="B1" s="2756"/>
      <c r="C1" s="2756"/>
      <c r="D1" s="2756"/>
      <c r="E1" s="2756"/>
      <c r="F1" s="2757"/>
      <c r="I1" s="3134" t="s">
        <v>2584</v>
      </c>
      <c r="J1" s="2782"/>
      <c r="K1" s="2782"/>
      <c r="L1" s="2782"/>
      <c r="M1" s="2782"/>
      <c r="N1" s="2967"/>
      <c r="O1" s="2967"/>
      <c r="P1" s="2967"/>
      <c r="Q1" s="2967"/>
      <c r="R1" s="2967"/>
    </row>
    <row r="2" spans="1:18">
      <c r="A2" s="2759"/>
      <c r="B2" s="2760"/>
      <c r="C2" s="2760"/>
      <c r="D2" s="2760"/>
      <c r="E2" s="2760"/>
      <c r="F2" s="2761"/>
      <c r="I2" s="3248" t="s">
        <v>2571</v>
      </c>
      <c r="J2" s="3248"/>
      <c r="K2" s="3248"/>
      <c r="L2" s="3248"/>
      <c r="M2" s="3248"/>
      <c r="N2" s="3248"/>
      <c r="O2" s="3248"/>
      <c r="P2" s="3248"/>
      <c r="Q2" s="3248"/>
      <c r="R2" s="3248"/>
    </row>
    <row r="3" spans="1:18">
      <c r="A3" s="2762" t="s">
        <v>2492</v>
      </c>
      <c r="B3" s="2763">
        <f>项目基本情况!D3</f>
        <v>45785</v>
      </c>
      <c r="C3" s="2765"/>
      <c r="D3" s="2765"/>
      <c r="E3" s="2765"/>
      <c r="F3" s="2761"/>
      <c r="I3" s="2777"/>
      <c r="J3" s="2777" t="s">
        <v>2575</v>
      </c>
      <c r="K3" s="2777" t="s">
        <v>2576</v>
      </c>
      <c r="L3" s="2777" t="s">
        <v>2577</v>
      </c>
      <c r="M3" s="2777" t="s">
        <v>2578</v>
      </c>
      <c r="N3" s="3135" t="s">
        <v>2579</v>
      </c>
      <c r="O3" s="3135" t="s">
        <v>2580</v>
      </c>
      <c r="P3" s="3135" t="s">
        <v>2581</v>
      </c>
      <c r="Q3" s="3135" t="s">
        <v>2582</v>
      </c>
      <c r="R3" s="3135" t="s">
        <v>2583</v>
      </c>
    </row>
    <row r="4" spans="1:18">
      <c r="A4" s="2762" t="s">
        <v>2493</v>
      </c>
      <c r="B4" s="2765" t="s">
        <v>2494</v>
      </c>
      <c r="C4" s="2765" t="s">
        <v>2495</v>
      </c>
      <c r="D4" s="2765" t="s">
        <v>2496</v>
      </c>
      <c r="E4" s="2765" t="s">
        <v>2497</v>
      </c>
      <c r="F4" s="2761"/>
      <c r="I4" s="2777" t="s">
        <v>2572</v>
      </c>
      <c r="J4" s="2777">
        <v>80</v>
      </c>
      <c r="K4" s="2777">
        <v>70</v>
      </c>
      <c r="L4" s="2777">
        <v>20</v>
      </c>
      <c r="M4" s="2777">
        <v>30</v>
      </c>
      <c r="N4" s="2765">
        <v>45</v>
      </c>
      <c r="O4" s="2765">
        <v>60</v>
      </c>
      <c r="P4" s="2765">
        <v>50</v>
      </c>
      <c r="Q4" s="2765">
        <v>20</v>
      </c>
      <c r="R4" s="2765">
        <v>375</v>
      </c>
    </row>
    <row r="5" spans="1:18">
      <c r="A5" s="2766">
        <v>40</v>
      </c>
      <c r="B5" s="2763">
        <v>46375</v>
      </c>
      <c r="C5" s="2765">
        <f>ROUNDDOWN(MIN((B5-B3)/365,A5),2)</f>
        <v>1.61</v>
      </c>
      <c r="D5" s="2767">
        <f>IF(ISERROR(ROUND(POWER(1+E5,A5-C5)*(POWER(1+E5,C5)-1)/(POWER(1+E5,A5)-1),3)),0,ROUND(POWER(1+E5,A5-C5)*(POWER(1+E5,C5)-1)/(POWER(1+E5,A5)-1),4))</f>
        <v>7.7299999999999994E-2</v>
      </c>
      <c r="E5" s="2768">
        <v>0.04</v>
      </c>
      <c r="F5" s="2761"/>
      <c r="I5" s="2777" t="s">
        <v>2573</v>
      </c>
      <c r="J5" s="2777">
        <v>70</v>
      </c>
      <c r="K5" s="2777">
        <v>60</v>
      </c>
      <c r="L5" s="2777">
        <v>15</v>
      </c>
      <c r="M5" s="2777">
        <v>25</v>
      </c>
      <c r="N5" s="2765">
        <v>40</v>
      </c>
      <c r="O5" s="2765">
        <v>50</v>
      </c>
      <c r="P5" s="2765">
        <v>40</v>
      </c>
      <c r="Q5" s="2765">
        <v>15</v>
      </c>
      <c r="R5" s="2765">
        <v>315</v>
      </c>
    </row>
    <row r="6" spans="1:18">
      <c r="A6" s="2766">
        <v>50</v>
      </c>
      <c r="B6" s="2763">
        <v>50028</v>
      </c>
      <c r="C6" s="2765">
        <f>ROUNDDOWN(MIN((B6-B3)/365,A6),2)</f>
        <v>11.62</v>
      </c>
      <c r="D6" s="2767">
        <f>IF(ISERROR(ROUND(POWER(1+E6,A6-C6)*(POWER(1+E6,C6)-1)/(POWER(1+E6,A6)-1),3)),0,ROUND(POWER(1+E6,A6-C6)*(POWER(1+E6,C6)-1)/(POWER(1+E6,A6)-1),4))</f>
        <v>0.42599999999999999</v>
      </c>
      <c r="E6" s="2768">
        <v>0.04</v>
      </c>
      <c r="F6" s="2761"/>
      <c r="I6" s="2777" t="s">
        <v>2574</v>
      </c>
      <c r="J6" s="2777">
        <v>60</v>
      </c>
      <c r="K6" s="2777">
        <v>50</v>
      </c>
      <c r="L6" s="2777">
        <v>10</v>
      </c>
      <c r="M6" s="2777">
        <v>20</v>
      </c>
      <c r="N6" s="2765">
        <v>35</v>
      </c>
      <c r="O6" s="2765">
        <v>40</v>
      </c>
      <c r="P6" s="2765">
        <v>30</v>
      </c>
      <c r="Q6" s="2765">
        <v>10</v>
      </c>
      <c r="R6" s="2765">
        <v>255</v>
      </c>
    </row>
    <row r="7" spans="1:18">
      <c r="A7" s="2766">
        <v>70</v>
      </c>
      <c r="B7" s="2763">
        <v>57333</v>
      </c>
      <c r="C7" s="2765">
        <f>ROUNDDOWN(MIN((B7-B3)/365,A7),2)</f>
        <v>31.63</v>
      </c>
      <c r="D7" s="2767">
        <f>IF(ISERROR(ROUND(POWER(1+E7,A7-C7)*(POWER(1+E7,C7)-1)/(POWER(1+E7,A7)-1),3)),0,ROUND(POWER(1+E7,A7-C7)*(POWER(1+E7,C7)-1)/(POWER(1+E7,A7)-1),4))</f>
        <v>0.75960000000000005</v>
      </c>
      <c r="E7" s="2768">
        <v>0.04</v>
      </c>
      <c r="F7" s="2761"/>
    </row>
    <row r="8" spans="1:18">
      <c r="A8" s="2759"/>
      <c r="B8" s="2760"/>
      <c r="C8" s="2760"/>
      <c r="D8" s="2760"/>
      <c r="E8" s="2760"/>
      <c r="F8" s="2761"/>
    </row>
    <row r="9" spans="1:18">
      <c r="A9" s="2762" t="s">
        <v>2498</v>
      </c>
      <c r="B9" s="2765"/>
      <c r="C9" s="2765"/>
      <c r="D9" s="2765"/>
      <c r="E9" s="2765"/>
      <c r="F9" s="2769"/>
    </row>
    <row r="10" spans="1:18">
      <c r="A10" s="2762" t="s">
        <v>2499</v>
      </c>
      <c r="B10" s="2765"/>
      <c r="C10" s="2765"/>
      <c r="D10" s="2765" t="s">
        <v>2497</v>
      </c>
      <c r="E10" s="2765"/>
      <c r="F10" s="2769" t="s">
        <v>2496</v>
      </c>
    </row>
    <row r="11" spans="1:18">
      <c r="A11" s="2762" t="s">
        <v>2500</v>
      </c>
      <c r="B11" s="2770">
        <v>70</v>
      </c>
      <c r="C11" s="2765" t="s">
        <v>2501</v>
      </c>
      <c r="D11" s="2770">
        <v>4.4999999999999998E-2</v>
      </c>
      <c r="E11" s="2765" t="s">
        <v>2502</v>
      </c>
      <c r="F11" s="2771">
        <f>ROUND(1-(1/(POWER(1+D11,B11))),4)</f>
        <v>0.95409999999999995</v>
      </c>
    </row>
    <row r="12" spans="1:18">
      <c r="A12" s="2762" t="s">
        <v>2503</v>
      </c>
      <c r="B12" s="2770">
        <v>40</v>
      </c>
      <c r="C12" s="2765" t="s">
        <v>2504</v>
      </c>
      <c r="D12" s="2770">
        <v>4.4999999999999998E-2</v>
      </c>
      <c r="E12" s="2765" t="s">
        <v>2505</v>
      </c>
      <c r="F12" s="2771">
        <f>ROUND(1-(1/(POWER(1+D12,B12))),4)</f>
        <v>0.82809999999999995</v>
      </c>
    </row>
    <row r="13" spans="1:18">
      <c r="A13" s="2762" t="s">
        <v>2506</v>
      </c>
      <c r="B13" s="2765"/>
      <c r="C13" s="2765"/>
      <c r="D13" s="2760"/>
      <c r="E13" s="2760"/>
      <c r="F13" s="2761"/>
    </row>
    <row r="14" spans="1:18">
      <c r="A14" s="2762" t="s">
        <v>2507</v>
      </c>
      <c r="B14" s="2770">
        <v>5000</v>
      </c>
      <c r="C14" s="2764"/>
      <c r="D14" s="2760"/>
      <c r="E14" s="2760"/>
      <c r="F14" s="2761"/>
    </row>
    <row r="15" spans="1:18">
      <c r="A15" s="2762" t="s">
        <v>2508</v>
      </c>
      <c r="B15" s="2765">
        <f>ROUND(B14*F12/F11,2)</f>
        <v>4339.6899999999996</v>
      </c>
      <c r="C15" s="2765">
        <f>ROUND(F12/F11,4)</f>
        <v>0.8679</v>
      </c>
      <c r="D15" s="2760"/>
      <c r="E15" s="2760"/>
      <c r="F15" s="2761"/>
    </row>
    <row r="16" spans="1:18">
      <c r="A16" s="2762" t="s">
        <v>2509</v>
      </c>
      <c r="B16" s="2765"/>
      <c r="C16" s="2765"/>
      <c r="D16" s="2760"/>
      <c r="E16" s="2760"/>
      <c r="F16" s="2761"/>
    </row>
    <row r="17" spans="1:14">
      <c r="A17" s="2762" t="s">
        <v>2508</v>
      </c>
      <c r="B17" s="2770">
        <v>4810</v>
      </c>
      <c r="C17" s="2764"/>
      <c r="D17" s="2760"/>
      <c r="E17" s="2760"/>
      <c r="F17" s="2761"/>
    </row>
    <row r="18" spans="1:14" ht="14.25" thickBot="1">
      <c r="A18" s="2772" t="s">
        <v>2507</v>
      </c>
      <c r="B18" s="2773">
        <f>ROUND(B17*F11/F12,2)</f>
        <v>5541.87</v>
      </c>
      <c r="C18" s="2773">
        <f>ROUND(F11/F12,4)</f>
        <v>1.1521999999999999</v>
      </c>
      <c r="D18" s="2774"/>
      <c r="E18" s="2774"/>
      <c r="F18" s="2775"/>
    </row>
    <row r="19" spans="1:14" ht="14.25" thickBot="1"/>
    <row r="20" spans="1:14" s="2808" customFormat="1" ht="14.25" thickTop="1">
      <c r="A20" s="2805" t="s">
        <v>2510</v>
      </c>
      <c r="B20" s="2806"/>
      <c r="C20" s="2806"/>
      <c r="D20" s="2806"/>
      <c r="E20" s="2806"/>
      <c r="F20" s="2806"/>
      <c r="G20" s="2807"/>
      <c r="I20" s="2809" t="s">
        <v>2555</v>
      </c>
      <c r="J20" s="2809" t="s">
        <v>2560</v>
      </c>
      <c r="K20" s="2809"/>
      <c r="L20" s="2809"/>
      <c r="M20" s="2809"/>
    </row>
    <row r="21" spans="1:14">
      <c r="A21" s="2776"/>
      <c r="B21" s="2777" t="s">
        <v>2511</v>
      </c>
      <c r="C21" s="2777" t="s">
        <v>2512</v>
      </c>
      <c r="D21" s="2777" t="s">
        <v>2513</v>
      </c>
      <c r="E21" s="2777" t="s">
        <v>2514</v>
      </c>
      <c r="F21" s="2777" t="s">
        <v>2515</v>
      </c>
      <c r="G21" s="2778" t="s">
        <v>2516</v>
      </c>
      <c r="I21" s="2799">
        <v>5</v>
      </c>
      <c r="J21" s="2799">
        <v>54.2</v>
      </c>
    </row>
    <row r="22" spans="1:14">
      <c r="A22" s="2776" t="s">
        <v>2517</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4">
      <c r="A23" s="2776" t="s">
        <v>2518</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2558</v>
      </c>
      <c r="N23" s="3152" t="s">
        <v>2559</v>
      </c>
    </row>
    <row r="24" spans="1:14">
      <c r="A24" s="2776" t="s">
        <v>2519</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2557</v>
      </c>
      <c r="N24" s="3152">
        <v>10</v>
      </c>
    </row>
    <row r="25" spans="1:14">
      <c r="A25" s="2776" t="s">
        <v>2520</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2561</v>
      </c>
      <c r="N25" s="3152">
        <v>8</v>
      </c>
    </row>
    <row r="26" spans="1:14">
      <c r="A26" s="2781"/>
      <c r="B26" s="2782"/>
      <c r="C26" s="2782"/>
      <c r="D26" s="2782"/>
      <c r="E26" s="2782"/>
      <c r="F26" s="2782"/>
      <c r="G26" s="2783"/>
      <c r="I26" s="2799">
        <v>30</v>
      </c>
      <c r="J26" s="2799">
        <v>90.5</v>
      </c>
      <c r="K26" s="2799">
        <f t="shared" si="2"/>
        <v>4.2000000000000028</v>
      </c>
      <c r="L26" s="2799" t="s">
        <v>2562</v>
      </c>
      <c r="N26" s="3152">
        <v>5</v>
      </c>
    </row>
    <row r="27" spans="1:14">
      <c r="A27" s="2781" t="s">
        <v>2521</v>
      </c>
      <c r="B27" s="2782"/>
      <c r="C27" s="2782"/>
      <c r="D27" s="2782"/>
      <c r="E27" s="2782"/>
      <c r="F27" s="2782"/>
      <c r="G27" s="2783"/>
      <c r="I27" s="2799">
        <v>35</v>
      </c>
      <c r="J27" s="2799">
        <v>93.8</v>
      </c>
      <c r="K27" s="2799">
        <f t="shared" si="2"/>
        <v>3.2999999999999972</v>
      </c>
      <c r="L27" s="2799" t="s">
        <v>2563</v>
      </c>
      <c r="N27" s="3152">
        <v>3</v>
      </c>
    </row>
    <row r="28" spans="1:14">
      <c r="A28" s="2781" t="s">
        <v>2522</v>
      </c>
      <c r="B28" s="2782"/>
      <c r="C28" s="2782"/>
      <c r="D28" s="2782"/>
      <c r="E28" s="2782"/>
      <c r="F28" s="2782"/>
      <c r="G28" s="2783"/>
      <c r="I28" s="2799">
        <v>40</v>
      </c>
      <c r="J28" s="2799">
        <v>96.4</v>
      </c>
      <c r="K28" s="2799">
        <f t="shared" si="2"/>
        <v>2.6000000000000085</v>
      </c>
      <c r="L28" s="2799" t="s">
        <v>2564</v>
      </c>
      <c r="N28" s="3152">
        <v>2</v>
      </c>
    </row>
    <row r="29" spans="1:14">
      <c r="A29" s="2781" t="s">
        <v>2523</v>
      </c>
      <c r="B29" s="2782"/>
      <c r="C29" s="2782"/>
      <c r="D29" s="2782"/>
      <c r="E29" s="2782"/>
      <c r="F29" s="2782"/>
      <c r="G29" s="2783"/>
      <c r="I29" s="2799">
        <v>45</v>
      </c>
      <c r="J29" s="2799">
        <v>98.4</v>
      </c>
      <c r="K29" s="2799">
        <f t="shared" si="2"/>
        <v>2</v>
      </c>
    </row>
    <row r="30" spans="1:14">
      <c r="A30" s="2781" t="s">
        <v>2524</v>
      </c>
      <c r="B30" s="2782"/>
      <c r="C30" s="2782"/>
      <c r="D30" s="2782"/>
      <c r="E30" s="2782"/>
      <c r="F30" s="2782"/>
      <c r="G30" s="2783"/>
      <c r="I30" s="2799">
        <v>50</v>
      </c>
      <c r="J30" s="2799">
        <v>100</v>
      </c>
      <c r="K30" s="2799">
        <f t="shared" si="2"/>
        <v>1.5999999999999943</v>
      </c>
    </row>
    <row r="31" spans="1:14">
      <c r="A31" s="2781" t="s">
        <v>2525</v>
      </c>
      <c r="B31" s="2782"/>
      <c r="C31" s="2782"/>
      <c r="D31" s="2782"/>
      <c r="E31" s="2782"/>
      <c r="F31" s="2782"/>
      <c r="G31" s="2783"/>
      <c r="I31" s="2799" t="s">
        <v>2556</v>
      </c>
    </row>
    <row r="32" spans="1:14">
      <c r="A32" s="2781" t="s">
        <v>2526</v>
      </c>
      <c r="B32" s="2782"/>
      <c r="C32" s="2782"/>
      <c r="D32" s="2782"/>
      <c r="E32" s="2782"/>
      <c r="F32" s="2782"/>
      <c r="G32" s="2783"/>
    </row>
    <row r="33" spans="1:14">
      <c r="A33" s="2781" t="s">
        <v>2527</v>
      </c>
      <c r="B33" s="2782"/>
      <c r="C33" s="2782"/>
      <c r="D33" s="2782"/>
      <c r="E33" s="2782"/>
      <c r="F33" s="2782"/>
      <c r="G33" s="2783"/>
      <c r="I33" s="2799" t="s">
        <v>2555</v>
      </c>
      <c r="J33" s="2799" t="s">
        <v>2565</v>
      </c>
    </row>
    <row r="34" spans="1:14">
      <c r="A34" s="2781" t="s">
        <v>2528</v>
      </c>
      <c r="B34" s="2782"/>
      <c r="C34" s="2782"/>
      <c r="D34" s="2782"/>
      <c r="E34" s="2782"/>
      <c r="F34" s="2782"/>
      <c r="G34" s="2783"/>
      <c r="I34" s="2799">
        <v>5</v>
      </c>
      <c r="J34" s="2799">
        <v>55.1</v>
      </c>
    </row>
    <row r="35" spans="1:14">
      <c r="A35" s="2781" t="s">
        <v>2529</v>
      </c>
      <c r="B35" s="2782"/>
      <c r="C35" s="2782"/>
      <c r="D35" s="2782"/>
      <c r="E35" s="2782"/>
      <c r="F35" s="2782"/>
      <c r="G35" s="2783"/>
      <c r="I35" s="2799">
        <v>10</v>
      </c>
      <c r="J35" s="2799">
        <v>67</v>
      </c>
      <c r="K35" s="2799">
        <f>J35-J34</f>
        <v>11.899999999999999</v>
      </c>
    </row>
    <row r="36" spans="1:14">
      <c r="A36" s="2781" t="s">
        <v>2530</v>
      </c>
      <c r="B36" s="2782"/>
      <c r="C36" s="2782"/>
      <c r="D36" s="2782"/>
      <c r="E36" s="2782"/>
      <c r="F36" s="2782"/>
      <c r="G36" s="2783"/>
      <c r="I36" s="2799">
        <v>15</v>
      </c>
      <c r="J36" s="2799">
        <v>76.3</v>
      </c>
      <c r="K36" s="2799">
        <f t="shared" ref="K36:K41" si="3">J36-J35</f>
        <v>9.2999999999999972</v>
      </c>
      <c r="L36" s="2799" t="s">
        <v>2558</v>
      </c>
      <c r="N36" s="3152" t="s">
        <v>2559</v>
      </c>
    </row>
    <row r="37" spans="1:14">
      <c r="A37" s="2781" t="s">
        <v>2531</v>
      </c>
      <c r="B37" s="2782"/>
      <c r="C37" s="2782"/>
      <c r="D37" s="2782"/>
      <c r="E37" s="2782"/>
      <c r="F37" s="2782"/>
      <c r="G37" s="2783"/>
      <c r="I37" s="2799">
        <v>20</v>
      </c>
      <c r="J37" s="2799">
        <v>83.6</v>
      </c>
      <c r="K37" s="2799">
        <f t="shared" si="3"/>
        <v>7.2999999999999972</v>
      </c>
      <c r="L37" s="2799" t="s">
        <v>2557</v>
      </c>
      <c r="N37" s="3152">
        <v>10</v>
      </c>
    </row>
    <row r="38" spans="1:14">
      <c r="A38" s="2781" t="s">
        <v>2532</v>
      </c>
      <c r="B38" s="2782"/>
      <c r="C38" s="2782"/>
      <c r="D38" s="2782"/>
      <c r="E38" s="2782"/>
      <c r="F38" s="2782"/>
      <c r="G38" s="2783"/>
      <c r="I38" s="2799">
        <v>25</v>
      </c>
      <c r="J38" s="2799">
        <v>89.3</v>
      </c>
      <c r="K38" s="2799">
        <f t="shared" si="3"/>
        <v>5.7000000000000028</v>
      </c>
      <c r="L38" s="2799" t="s">
        <v>2561</v>
      </c>
      <c r="N38" s="3152">
        <v>8</v>
      </c>
    </row>
    <row r="39" spans="1:14">
      <c r="A39" s="2781"/>
      <c r="B39" s="2782"/>
      <c r="C39" s="2782"/>
      <c r="D39" s="2782"/>
      <c r="E39" s="2782"/>
      <c r="F39" s="2782"/>
      <c r="G39" s="2783"/>
      <c r="I39" s="2799">
        <v>30</v>
      </c>
      <c r="J39" s="2799">
        <v>93.8</v>
      </c>
      <c r="K39" s="2799">
        <f t="shared" si="3"/>
        <v>4.5</v>
      </c>
      <c r="L39" s="2799" t="s">
        <v>2562</v>
      </c>
      <c r="N39" s="3152">
        <v>6</v>
      </c>
    </row>
    <row r="40" spans="1:14">
      <c r="A40" s="2784" t="s">
        <v>2533</v>
      </c>
      <c r="B40" s="2785"/>
      <c r="C40" s="2785"/>
      <c r="D40" s="2785"/>
      <c r="E40" s="2785"/>
      <c r="F40" s="2785"/>
      <c r="G40" s="2786"/>
      <c r="I40" s="2799">
        <v>35</v>
      </c>
      <c r="J40" s="2799">
        <v>97.2</v>
      </c>
      <c r="K40" s="2799">
        <f t="shared" si="3"/>
        <v>3.4000000000000057</v>
      </c>
      <c r="L40" s="2799" t="s">
        <v>2563</v>
      </c>
      <c r="N40" s="3152">
        <v>3</v>
      </c>
    </row>
    <row r="41" spans="1:14">
      <c r="A41" s="2787" t="s">
        <v>2534</v>
      </c>
      <c r="B41" s="2788" t="s">
        <v>2535</v>
      </c>
      <c r="C41" s="2789" t="s">
        <v>2536</v>
      </c>
      <c r="D41" s="2789" t="s">
        <v>2537</v>
      </c>
      <c r="E41" s="2790"/>
      <c r="F41" s="2791"/>
      <c r="G41" s="2792"/>
      <c r="I41" s="2799">
        <v>40</v>
      </c>
      <c r="J41" s="2799">
        <v>100</v>
      </c>
      <c r="K41" s="2799">
        <f t="shared" si="3"/>
        <v>2.7999999999999972</v>
      </c>
    </row>
    <row r="42" spans="1:14">
      <c r="A42" s="2787" t="s">
        <v>2538</v>
      </c>
      <c r="B42" s="2788" t="s">
        <v>2539</v>
      </c>
      <c r="C42" s="2789" t="s">
        <v>2540</v>
      </c>
      <c r="D42" s="2793" t="s">
        <v>2541</v>
      </c>
      <c r="E42" s="2785" t="s">
        <v>2542</v>
      </c>
      <c r="F42" s="2785"/>
      <c r="G42" s="2786"/>
    </row>
    <row r="43" spans="1:14">
      <c r="A43" s="2787" t="s">
        <v>2543</v>
      </c>
      <c r="B43" s="2788" t="s">
        <v>2544</v>
      </c>
      <c r="C43" s="2789" t="s">
        <v>2545</v>
      </c>
      <c r="D43" s="2789" t="s">
        <v>2546</v>
      </c>
      <c r="E43" s="2790" t="s">
        <v>2547</v>
      </c>
      <c r="F43" s="2791"/>
      <c r="G43" s="2792"/>
      <c r="I43" s="2799" t="s">
        <v>2555</v>
      </c>
      <c r="J43" s="2799" t="s">
        <v>2566</v>
      </c>
    </row>
    <row r="44" spans="1:14">
      <c r="A44" s="2787" t="s">
        <v>2548</v>
      </c>
      <c r="B44" s="2788" t="s">
        <v>2549</v>
      </c>
      <c r="C44" s="2789" t="s">
        <v>2550</v>
      </c>
      <c r="D44" s="2793">
        <v>0.5</v>
      </c>
      <c r="E44" s="2790" t="s">
        <v>2551</v>
      </c>
      <c r="F44" s="2791"/>
      <c r="G44" s="2792"/>
      <c r="I44" s="2799">
        <v>30</v>
      </c>
      <c r="J44" s="2799">
        <v>81.7</v>
      </c>
    </row>
    <row r="45" spans="1:14" ht="14.25" thickBot="1">
      <c r="A45" s="2794" t="s">
        <v>2552</v>
      </c>
      <c r="B45" s="2795" t="s">
        <v>2539</v>
      </c>
      <c r="C45" s="2796" t="s">
        <v>2539</v>
      </c>
      <c r="D45" s="2796" t="s">
        <v>2553</v>
      </c>
      <c r="E45" s="2797" t="s">
        <v>2554</v>
      </c>
      <c r="F45" s="2797"/>
      <c r="G45" s="2798"/>
      <c r="I45" s="2799">
        <v>40</v>
      </c>
      <c r="J45" s="2799">
        <v>89.2</v>
      </c>
      <c r="K45" s="2799">
        <f>J45-J44</f>
        <v>7.5</v>
      </c>
    </row>
    <row r="46" spans="1:14">
      <c r="I46" s="2799">
        <v>50</v>
      </c>
      <c r="J46" s="2799">
        <v>94.3</v>
      </c>
      <c r="K46" s="2799">
        <f t="shared" ref="K46:K47" si="4">J46-J45</f>
        <v>5.0999999999999943</v>
      </c>
    </row>
    <row r="47" spans="1:14">
      <c r="I47" s="2799">
        <v>60</v>
      </c>
      <c r="J47" s="2799">
        <v>97.7</v>
      </c>
      <c r="K47" s="2799">
        <f t="shared" si="4"/>
        <v>3.4000000000000057</v>
      </c>
    </row>
    <row r="48" spans="1:14" ht="14.25" thickBot="1"/>
    <row r="49" spans="1:4">
      <c r="A49" s="2755" t="s">
        <v>3377</v>
      </c>
    </row>
    <row r="50" spans="1:4">
      <c r="A50" s="3144" t="s">
        <v>3378</v>
      </c>
      <c r="B50" s="3144" t="s">
        <v>3379</v>
      </c>
      <c r="C50" s="3144" t="s">
        <v>3380</v>
      </c>
      <c r="D50" s="3144" t="s">
        <v>3381</v>
      </c>
    </row>
    <row r="51" spans="1:4">
      <c r="A51" s="3144" t="s">
        <v>3382</v>
      </c>
      <c r="B51" s="2764">
        <f>B52+B53</f>
        <v>15000</v>
      </c>
      <c r="C51" s="3145">
        <f>D51/B51</f>
        <v>2666.6666666666665</v>
      </c>
      <c r="D51" s="2764">
        <f>D52+D53</f>
        <v>40000000</v>
      </c>
    </row>
    <row r="52" spans="1:4">
      <c r="A52" s="3146" t="s">
        <v>3383</v>
      </c>
      <c r="B52" s="3147">
        <v>10000</v>
      </c>
      <c r="C52" s="3147">
        <v>1500</v>
      </c>
      <c r="D52" s="3148">
        <f>C52*B52</f>
        <v>15000000</v>
      </c>
    </row>
    <row r="53" spans="1:4">
      <c r="A53" s="3146" t="s">
        <v>3384</v>
      </c>
      <c r="B53" s="3147">
        <v>5000</v>
      </c>
      <c r="C53" s="3147">
        <v>5000</v>
      </c>
      <c r="D53" s="3148">
        <f>C53*B53</f>
        <v>25000000</v>
      </c>
    </row>
    <row r="54" spans="1:4">
      <c r="A54" s="3144" t="s">
        <v>3385</v>
      </c>
      <c r="B54" s="2764">
        <f>B51</f>
        <v>15000</v>
      </c>
      <c r="C54" s="2770">
        <v>700</v>
      </c>
      <c r="D54" s="2764">
        <f t="shared" ref="D54:D55" si="5">C54*B54</f>
        <v>10500000</v>
      </c>
    </row>
    <row r="55" spans="1:4">
      <c r="A55" s="3144" t="s">
        <v>3386</v>
      </c>
      <c r="B55" s="2764">
        <f>B51</f>
        <v>15000</v>
      </c>
      <c r="C55" s="2770">
        <v>1500</v>
      </c>
      <c r="D55" s="2764">
        <f t="shared" si="5"/>
        <v>22500000</v>
      </c>
    </row>
    <row r="56" spans="1:4">
      <c r="A56" s="3144" t="s">
        <v>3387</v>
      </c>
      <c r="B56" s="2764">
        <f>B51</f>
        <v>15000</v>
      </c>
      <c r="C56" s="3149">
        <f>C51+C54+C55</f>
        <v>4866.6666666666661</v>
      </c>
      <c r="D56" s="2764">
        <f>D51+D54+D55</f>
        <v>73000000</v>
      </c>
    </row>
    <row r="58" spans="1:4">
      <c r="A58" s="3144" t="s">
        <v>3388</v>
      </c>
      <c r="B58" s="3150">
        <v>0.05</v>
      </c>
      <c r="C58" s="2764">
        <f>C56*(1+B58)</f>
        <v>5110</v>
      </c>
      <c r="D58" s="2764">
        <f>D56*B58</f>
        <v>3650000</v>
      </c>
    </row>
    <row r="60" spans="1:4">
      <c r="A60" s="3144" t="s">
        <v>3389</v>
      </c>
      <c r="B60" s="2770">
        <v>3500</v>
      </c>
      <c r="C60" s="2770">
        <f>C53</f>
        <v>5000</v>
      </c>
      <c r="D60" s="2764">
        <f>C60*B60</f>
        <v>17500000</v>
      </c>
    </row>
    <row r="62" spans="1:4">
      <c r="A62" s="3144" t="s">
        <v>3390</v>
      </c>
      <c r="B62" s="2770">
        <f>B51</f>
        <v>15000</v>
      </c>
      <c r="C62" s="3151">
        <f>D62/B62</f>
        <v>6276.666666666667</v>
      </c>
      <c r="D62" s="2770">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G24" sqref="G24"/>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3" customWidth="1"/>
    <col min="12" max="13" width="10" style="2414"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56" t="str">
        <f>IF(B10="北京市","北京市",C10)&amp;F10&amp;IF(结果表!G1="在建","出让国有建设用地使用权及在建建筑物",IF(结果表!G1="土地","出让国有建设用地使用权",))&amp;B9&amp;"预评估"</f>
        <v>北京市房地产抵押价值预评估</v>
      </c>
      <c r="C1" s="3257"/>
      <c r="D1" s="3257"/>
      <c r="E1" s="3257"/>
      <c r="F1" s="3257"/>
      <c r="G1" s="3257"/>
      <c r="H1" s="3257"/>
      <c r="I1" s="3258"/>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2" t="s">
        <v>2169</v>
      </c>
      <c r="B2" s="122"/>
      <c r="D2" s="2448"/>
      <c r="E2" s="2441"/>
      <c r="F2" s="2441"/>
      <c r="G2" s="2442"/>
      <c r="H2" s="2442"/>
      <c r="I2" s="2442"/>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45785</v>
      </c>
      <c r="C3" s="2186" t="s">
        <v>2171</v>
      </c>
      <c r="D3" s="2185">
        <v>45785</v>
      </c>
      <c r="E3" s="2442"/>
      <c r="F3" s="2442"/>
      <c r="G3" s="2442"/>
      <c r="H3" s="2442"/>
      <c r="I3" s="2442"/>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2"/>
      <c r="F5" s="2442"/>
      <c r="G5" s="2442"/>
      <c r="H5" s="2442"/>
      <c r="I5" s="2442"/>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1"/>
      <c r="F6" s="2442"/>
      <c r="G6" s="2442"/>
      <c r="H6" s="2442"/>
      <c r="I6" s="2442"/>
      <c r="J6" s="2245"/>
      <c r="K6" s="2401" t="str">
        <f>IF(COUNTIF(B6,"*上海银行*"),"上海银行","")</f>
        <v/>
      </c>
      <c r="L6" s="2399"/>
      <c r="M6" s="2399"/>
      <c r="N6" s="2245"/>
      <c r="O6" s="1670"/>
      <c r="P6" s="2245"/>
      <c r="Q6" s="2245"/>
      <c r="R6" s="2245"/>
    </row>
    <row r="7" spans="1:30">
      <c r="A7" s="2194" t="s">
        <v>2175</v>
      </c>
      <c r="B7" s="2198"/>
      <c r="C7" s="2196"/>
      <c r="D7" s="2197"/>
      <c r="E7" s="2441"/>
      <c r="F7" s="2442"/>
      <c r="G7" s="2442"/>
      <c r="H7" s="2442"/>
      <c r="I7" s="2442"/>
      <c r="J7" s="2245"/>
      <c r="K7" s="2402"/>
      <c r="L7" s="2399"/>
      <c r="M7" s="2399"/>
      <c r="N7" s="2245"/>
      <c r="O7" s="1670"/>
      <c r="P7" s="2245"/>
      <c r="Q7" s="2245"/>
      <c r="R7" s="2245"/>
    </row>
    <row r="8" spans="1:30">
      <c r="A8" s="2199" t="s">
        <v>2176</v>
      </c>
      <c r="B8" s="2200" t="s">
        <v>3402</v>
      </c>
      <c r="C8" s="2201"/>
      <c r="D8" s="3259" t="s">
        <v>2177</v>
      </c>
      <c r="E8" s="2202" t="s">
        <v>3403</v>
      </c>
      <c r="F8" s="2203"/>
      <c r="G8" s="2442"/>
      <c r="H8" s="2442"/>
      <c r="I8" s="2442"/>
      <c r="J8" s="2245"/>
      <c r="K8" s="2400"/>
      <c r="L8" s="2399"/>
      <c r="M8" s="2399"/>
      <c r="N8" s="2245"/>
      <c r="O8" s="1670"/>
      <c r="P8" s="2245"/>
      <c r="Q8" s="2245"/>
      <c r="R8" s="2245"/>
    </row>
    <row r="9" spans="1:30" ht="13.5" thickBot="1">
      <c r="A9" s="2204" t="s">
        <v>2178</v>
      </c>
      <c r="B9" s="2205" t="s">
        <v>3403</v>
      </c>
      <c r="C9" s="2206"/>
      <c r="D9" s="3260"/>
      <c r="E9" s="2205" t="s">
        <v>43</v>
      </c>
      <c r="F9" s="2207"/>
      <c r="G9" s="2443"/>
      <c r="H9" s="2443"/>
      <c r="I9" s="2443"/>
      <c r="J9" s="2245"/>
      <c r="K9" s="2402"/>
      <c r="L9" s="2399"/>
      <c r="M9" s="2399"/>
      <c r="N9" s="2245"/>
      <c r="O9" s="1670"/>
      <c r="P9" s="2245"/>
      <c r="Q9" s="2245"/>
      <c r="R9" s="2245"/>
    </row>
    <row r="10" spans="1:30" ht="13.5" thickTop="1">
      <c r="A10" s="2208" t="s">
        <v>2179</v>
      </c>
      <c r="B10" s="2209" t="s">
        <v>3404</v>
      </c>
      <c r="C10" s="2210"/>
      <c r="D10" s="2193"/>
      <c r="E10" s="2211" t="s">
        <v>2180</v>
      </c>
      <c r="F10" s="2444"/>
      <c r="G10" s="2445"/>
      <c r="H10" s="2446"/>
      <c r="I10" s="2447"/>
      <c r="J10" s="2245"/>
      <c r="K10" s="2402"/>
      <c r="L10" s="2399"/>
      <c r="M10" s="2399"/>
      <c r="N10" s="2245"/>
      <c r="O10" s="1670"/>
      <c r="P10" s="2245"/>
      <c r="Q10" s="2245"/>
      <c r="R10" s="2245"/>
    </row>
    <row r="11" spans="1:30">
      <c r="A11" s="2212" t="s">
        <v>2181</v>
      </c>
      <c r="B11" s="2213" t="s">
        <v>3405</v>
      </c>
      <c r="C11" s="2214"/>
      <c r="D11" s="2215"/>
      <c r="E11" s="2182"/>
      <c r="F11" s="2182"/>
      <c r="G11" s="2182"/>
      <c r="H11" s="2182"/>
      <c r="I11" s="2182"/>
      <c r="J11" s="2801"/>
      <c r="K11" s="2399"/>
      <c r="L11" s="2399"/>
      <c r="M11" s="2399"/>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800" t="s">
        <v>2567</v>
      </c>
      <c r="J12" s="2802"/>
      <c r="K12" s="2399"/>
      <c r="L12" s="2399"/>
      <c r="M12" s="2245"/>
      <c r="N12" s="1670"/>
      <c r="O12" s="2245"/>
      <c r="P12" s="2245"/>
      <c r="Q12" s="2245"/>
      <c r="AD12" s="1618"/>
    </row>
    <row r="13" spans="1:30">
      <c r="A13" s="3121" t="s">
        <v>3323</v>
      </c>
      <c r="B13" s="2218" t="s">
        <v>2190</v>
      </c>
      <c r="C13" s="803"/>
      <c r="D13" s="803">
        <v>55957</v>
      </c>
      <c r="E13" s="803">
        <v>59609</v>
      </c>
      <c r="F13" s="803">
        <v>59609</v>
      </c>
      <c r="G13" s="803"/>
      <c r="H13" s="803"/>
      <c r="I13" s="803"/>
      <c r="J13" s="2802"/>
      <c r="K13" s="2399"/>
      <c r="L13" s="2399"/>
      <c r="M13" s="2245"/>
      <c r="N13" s="1670"/>
      <c r="O13" s="2245"/>
      <c r="P13" s="2245"/>
      <c r="Q13" s="2245"/>
      <c r="AD13" s="1618"/>
    </row>
    <row r="14" spans="1:30">
      <c r="A14" s="1018"/>
      <c r="B14" s="2218" t="s">
        <v>2191</v>
      </c>
      <c r="C14" s="2219"/>
      <c r="D14" s="2219">
        <v>40</v>
      </c>
      <c r="E14" s="2219">
        <v>50</v>
      </c>
      <c r="F14" s="2219">
        <v>50</v>
      </c>
      <c r="G14" s="2219"/>
      <c r="H14" s="2219"/>
      <c r="I14" s="2219"/>
      <c r="J14" s="2803"/>
      <c r="K14" s="2399"/>
      <c r="L14" s="2399"/>
      <c r="M14" s="2245"/>
      <c r="N14" s="1670"/>
      <c r="O14" s="2245"/>
      <c r="P14" s="2245"/>
      <c r="Q14" s="2245"/>
      <c r="AD14" s="1618"/>
    </row>
    <row r="15" spans="1:30">
      <c r="A15" s="312"/>
      <c r="B15" s="2220" t="s">
        <v>2192</v>
      </c>
      <c r="C15" s="2221" t="str">
        <f>IF(A13="出让",IF(C13="","",ROUNDDOWN(MIN((C13-$D$3)/365,C14),2)),C14)</f>
        <v/>
      </c>
      <c r="D15" s="2221">
        <f>IF(A13="出让",IF(D13="","",ROUNDDOWN(MIN((D13-$D$3)/365,D14),2)),D14)</f>
        <v>27.86</v>
      </c>
      <c r="E15" s="2221">
        <f>IF(A13="出让",IF(E13="","",ROUNDDOWN(MIN((E13-$D$3)/365,E14),2)),E14)</f>
        <v>37.869999999999997</v>
      </c>
      <c r="F15" s="2221">
        <f>IF(A13="出让",IF(F13="","",ROUNDDOWN(MIN((F13-$D$3)/365,F14),2)),F14)</f>
        <v>37.869999999999997</v>
      </c>
      <c r="G15" s="2221" t="str">
        <f>IF(A13="出让",IF(G13="","",ROUNDDOWN(MIN((G13-$D$3)/365,G14),2)),G14)</f>
        <v/>
      </c>
      <c r="H15" s="2221" t="str">
        <f>IF(A13="出让",IF(H13="","",ROUNDDOWN(MIN((H13-$D$3)/365,H14),2)),H14)</f>
        <v/>
      </c>
      <c r="I15" s="2221" t="str">
        <f>IF(A13="出让",IF(I13="","",ROUNDDOWN(MIN((I13-$D$3)/365,I14),2)),I14)</f>
        <v/>
      </c>
      <c r="J15" s="2804"/>
      <c r="K15" s="1670"/>
      <c r="L15" s="1670"/>
      <c r="M15" s="2245"/>
      <c r="N15" s="1670"/>
      <c r="O15" s="2245"/>
      <c r="P15" s="2245"/>
      <c r="Q15" s="2245"/>
      <c r="AD15" s="1618"/>
    </row>
    <row r="16" spans="1:30">
      <c r="A16" s="2211" t="s">
        <v>2193</v>
      </c>
      <c r="B16" s="3266"/>
      <c r="C16" s="3267"/>
      <c r="D16" s="3268"/>
      <c r="E16" s="2222" t="s">
        <v>2194</v>
      </c>
      <c r="F16" s="3269"/>
      <c r="G16" s="3270"/>
      <c r="H16" s="3270"/>
      <c r="I16" s="3271"/>
      <c r="J16" s="2245"/>
      <c r="K16" s="2403"/>
      <c r="L16" s="1670"/>
      <c r="M16" s="1670"/>
      <c r="N16" s="2245"/>
      <c r="O16" s="1670"/>
      <c r="P16" s="2245"/>
      <c r="Q16" s="2245"/>
      <c r="R16" s="2245"/>
    </row>
    <row r="17" spans="1:28">
      <c r="A17" s="305" t="s">
        <v>2195</v>
      </c>
      <c r="B17" s="294" t="s">
        <v>2196</v>
      </c>
      <c r="C17" s="8">
        <f>'数据-汇总表'!E3</f>
        <v>103889.93000000002</v>
      </c>
      <c r="D17" s="1256" t="s">
        <v>2197</v>
      </c>
      <c r="E17" s="3272" t="s">
        <v>2198</v>
      </c>
      <c r="F17" s="3273"/>
      <c r="G17" s="3273"/>
      <c r="H17" s="3273"/>
      <c r="I17" s="3274"/>
      <c r="J17" s="2245"/>
      <c r="K17" s="2404"/>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75" t="s">
        <v>2202</v>
      </c>
      <c r="F18" s="3276"/>
      <c r="G18" s="3276"/>
      <c r="H18" s="3276"/>
      <c r="I18" s="3277"/>
      <c r="J18" s="2245"/>
      <c r="K18" s="2404"/>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2"/>
      <c r="I19" s="2442"/>
      <c r="J19" s="2245"/>
      <c r="K19" s="2402"/>
      <c r="L19" s="2399"/>
      <c r="M19" s="2399"/>
      <c r="N19" s="2245"/>
      <c r="O19" s="1670"/>
      <c r="P19" s="2245"/>
      <c r="Q19" s="2245"/>
      <c r="R19" s="2245"/>
      <c r="S19" s="2245"/>
      <c r="T19" s="2245"/>
      <c r="U19" s="2245"/>
      <c r="V19" s="2245"/>
    </row>
    <row r="20" spans="1:28">
      <c r="A20" s="2417" t="s">
        <v>2205</v>
      </c>
      <c r="B20" s="3262" t="s">
        <v>2206</v>
      </c>
      <c r="C20" s="3263"/>
      <c r="D20" s="3264" t="s">
        <v>2207</v>
      </c>
      <c r="E20" s="3265"/>
      <c r="F20" s="2430" t="s">
        <v>1056</v>
      </c>
      <c r="G20" s="2442"/>
      <c r="H20" s="2442"/>
      <c r="I20" s="2442"/>
      <c r="J20" s="2245"/>
      <c r="K20" s="3261"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7"/>
      <c r="B21" s="2418" t="s">
        <v>2209</v>
      </c>
      <c r="C21" s="2296" t="s">
        <v>1057</v>
      </c>
      <c r="D21" s="1460" t="s">
        <v>2210</v>
      </c>
      <c r="E21" s="2419" t="s">
        <v>1057</v>
      </c>
      <c r="F21" s="2431"/>
      <c r="G21" s="2442"/>
      <c r="H21" s="2442"/>
      <c r="I21" s="2442"/>
      <c r="J21" s="2245"/>
      <c r="K21" s="3261"/>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7"/>
      <c r="B22" s="2420" t="s">
        <v>2211</v>
      </c>
      <c r="C22" s="2296" t="s">
        <v>1058</v>
      </c>
      <c r="D22" s="2442"/>
      <c r="E22" s="2442"/>
      <c r="F22" s="2442"/>
      <c r="G22" s="2442"/>
      <c r="H22" s="2442"/>
      <c r="I22" s="2442"/>
      <c r="J22" s="2245"/>
      <c r="K22" s="3261"/>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1" t="s">
        <v>2212</v>
      </c>
      <c r="B23" s="2293" t="s">
        <v>2213</v>
      </c>
      <c r="C23" s="2422"/>
      <c r="D23" s="2423" t="s">
        <v>2213</v>
      </c>
      <c r="E23" s="2424"/>
      <c r="F23" s="2442"/>
      <c r="G23" s="2442"/>
      <c r="H23" s="2442"/>
      <c r="I23" s="2442"/>
      <c r="J23" s="2245"/>
      <c r="K23" s="2401"/>
      <c r="L23" s="121"/>
      <c r="M23" s="2399"/>
      <c r="N23" s="2245"/>
      <c r="O23" s="1670"/>
      <c r="P23" s="2245"/>
      <c r="Q23" s="2245"/>
      <c r="R23" s="2245"/>
      <c r="S23" s="2245"/>
      <c r="T23" s="2245"/>
      <c r="U23" s="2245"/>
      <c r="V23" s="2245"/>
    </row>
    <row r="24" spans="1:28">
      <c r="A24" s="2421"/>
      <c r="B24" s="2293" t="s">
        <v>1059</v>
      </c>
      <c r="C24" s="2271"/>
      <c r="D24" s="2421" t="s">
        <v>1059</v>
      </c>
      <c r="E24" s="2425"/>
      <c r="F24" s="2442"/>
      <c r="G24" s="2442"/>
      <c r="H24" s="2442"/>
      <c r="I24" s="2442"/>
      <c r="J24" s="2245"/>
      <c r="K24" s="2401"/>
      <c r="L24" s="121"/>
      <c r="M24" s="2399"/>
      <c r="N24" s="2245"/>
      <c r="O24" s="1670"/>
      <c r="P24" s="2245"/>
      <c r="Q24" s="2245"/>
      <c r="R24" s="2245"/>
      <c r="S24" s="2245"/>
      <c r="T24" s="2245"/>
      <c r="U24" s="2245"/>
      <c r="V24" s="2245"/>
    </row>
    <row r="25" spans="1:28">
      <c r="A25" s="2421"/>
      <c r="B25" s="2293" t="s">
        <v>1060</v>
      </c>
      <c r="C25" s="2271"/>
      <c r="D25" s="2421" t="s">
        <v>1060</v>
      </c>
      <c r="E25" s="2425"/>
      <c r="F25" s="2442"/>
      <c r="G25" s="2442"/>
      <c r="H25" s="2442"/>
      <c r="I25" s="2442"/>
      <c r="J25" s="2245"/>
      <c r="K25" s="2402"/>
      <c r="L25" s="2399"/>
      <c r="M25" s="2399"/>
      <c r="N25" s="2245"/>
      <c r="O25" s="1670"/>
      <c r="P25" s="2245"/>
      <c r="Q25" s="2245"/>
      <c r="R25" s="2245"/>
      <c r="S25" s="2245"/>
      <c r="T25" s="2245"/>
      <c r="U25" s="2245"/>
      <c r="V25" s="2245"/>
    </row>
    <row r="26" spans="1:28" ht="13.5" thickBot="1">
      <c r="A26" s="2426"/>
      <c r="B26" s="2427" t="s">
        <v>1061</v>
      </c>
      <c r="C26" s="2428"/>
      <c r="D26" s="2426" t="s">
        <v>1061</v>
      </c>
      <c r="E26" s="2429"/>
      <c r="F26" s="2443"/>
      <c r="G26" s="2443"/>
      <c r="H26" s="2443"/>
      <c r="I26" s="2443"/>
      <c r="J26" s="2245"/>
      <c r="K26" s="2402"/>
      <c r="L26" s="2399"/>
      <c r="M26" s="2399"/>
      <c r="N26" s="2245"/>
      <c r="O26" s="1670"/>
      <c r="P26" s="2245"/>
      <c r="Q26" s="2245"/>
      <c r="R26" s="2245"/>
      <c r="S26" s="2245"/>
      <c r="T26" s="2245"/>
      <c r="U26" s="2245"/>
      <c r="V26" s="2245"/>
    </row>
    <row r="27" spans="1:28" ht="13.5" thickTop="1">
      <c r="A27" s="3250" t="s">
        <v>2214</v>
      </c>
      <c r="B27" s="312" t="s">
        <v>2215</v>
      </c>
      <c r="C27" s="2225"/>
      <c r="D27" s="2226"/>
      <c r="E27" s="2442"/>
      <c r="F27" s="2442"/>
      <c r="G27" s="2442"/>
      <c r="H27" s="2442"/>
      <c r="I27" s="2442"/>
      <c r="J27" s="2245"/>
      <c r="K27" s="2403"/>
      <c r="L27" s="1670"/>
      <c r="M27" s="1670"/>
      <c r="N27" s="2245"/>
      <c r="O27" s="1670"/>
      <c r="P27" s="2245"/>
      <c r="Q27" s="2245"/>
      <c r="R27" s="2245"/>
      <c r="S27" s="2245"/>
      <c r="T27" s="2245"/>
      <c r="U27" s="2245"/>
      <c r="V27" s="2245"/>
    </row>
    <row r="28" spans="1:28">
      <c r="A28" s="3250"/>
      <c r="B28" s="294" t="s">
        <v>2216</v>
      </c>
      <c r="C28" s="2227"/>
      <c r="D28" s="2228"/>
      <c r="E28" s="2442"/>
      <c r="F28" s="2442"/>
      <c r="G28" s="2442"/>
      <c r="H28" s="2442"/>
      <c r="I28" s="2442"/>
      <c r="J28" s="2245"/>
      <c r="K28" s="2402"/>
      <c r="L28" s="2399"/>
      <c r="M28" s="2399"/>
      <c r="N28" s="2245"/>
      <c r="O28" s="1670"/>
      <c r="P28" s="2245"/>
      <c r="Q28" s="2245"/>
      <c r="R28" s="2245"/>
      <c r="S28" s="2245"/>
      <c r="T28" s="2245"/>
      <c r="U28" s="2245"/>
      <c r="V28" s="2245"/>
    </row>
    <row r="29" spans="1:28">
      <c r="A29" s="3250"/>
      <c r="B29" s="294" t="s">
        <v>2217</v>
      </c>
      <c r="C29" s="2229"/>
      <c r="D29" s="2230"/>
      <c r="E29" s="2442"/>
      <c r="F29" s="2442"/>
      <c r="G29" s="2442"/>
      <c r="H29" s="2442"/>
      <c r="I29" s="2442"/>
      <c r="J29" s="2245"/>
      <c r="K29" s="2402"/>
      <c r="L29" s="2399"/>
      <c r="M29" s="2399"/>
      <c r="N29" s="2245"/>
      <c r="O29" s="1670"/>
      <c r="P29" s="2245"/>
      <c r="Q29" s="2245"/>
      <c r="R29" s="2245"/>
      <c r="S29" s="2245"/>
      <c r="T29" s="2245"/>
      <c r="U29" s="2245"/>
      <c r="V29" s="2245"/>
    </row>
    <row r="30" spans="1:28">
      <c r="A30" s="3251"/>
      <c r="B30" s="294" t="s">
        <v>2218</v>
      </c>
      <c r="C30" s="3252"/>
      <c r="D30" s="3253"/>
      <c r="E30" s="2442"/>
      <c r="F30" s="2442"/>
      <c r="G30" s="2442"/>
      <c r="H30" s="2442"/>
      <c r="I30" s="2442"/>
      <c r="J30" s="2245"/>
      <c r="K30" s="2402"/>
      <c r="L30" s="2399"/>
      <c r="M30" s="2399"/>
      <c r="N30" s="2245"/>
      <c r="O30" s="1670"/>
      <c r="P30" s="2245"/>
      <c r="Q30" s="2245"/>
      <c r="R30" s="2245"/>
      <c r="S30" s="2245"/>
      <c r="T30" s="2245"/>
      <c r="U30" s="2245"/>
      <c r="V30" s="2245"/>
    </row>
    <row r="31" spans="1:28">
      <c r="A31" s="3254" t="s">
        <v>2219</v>
      </c>
      <c r="B31" s="2231"/>
      <c r="C31" s="12" t="str">
        <f>IF(B31="现房","成新及维护状况正常否",IF(B31="在建","工程状态是否正常",IF(B31="土地","是否闲置","-")))</f>
        <v>-</v>
      </c>
      <c r="D31" s="1281"/>
      <c r="E31" s="2232"/>
      <c r="F31" s="2442"/>
      <c r="G31" s="2442"/>
      <c r="H31" s="2442"/>
      <c r="I31" s="2442"/>
      <c r="J31" s="2245"/>
      <c r="K31" s="2401"/>
      <c r="L31" s="2399"/>
      <c r="M31" s="2399"/>
      <c r="N31" s="2245"/>
      <c r="O31" s="1670"/>
      <c r="P31" s="2245"/>
      <c r="Q31" s="2245"/>
      <c r="R31" s="2245"/>
      <c r="S31" s="2245"/>
      <c r="T31" s="2245"/>
      <c r="U31" s="2245"/>
      <c r="V31" s="2245"/>
    </row>
    <row r="32" spans="1:28">
      <c r="A32" s="3255"/>
      <c r="B32" s="2231"/>
      <c r="C32" s="12" t="str">
        <f>IF(B32="现房","成新及维护状况是否正常",IF(B32="在建","工程状态是否正常",IF(B32="土地","是否闲置","-")))</f>
        <v>-</v>
      </c>
      <c r="D32" s="1281"/>
      <c r="E32" s="2232"/>
      <c r="F32" s="2442"/>
      <c r="G32" s="2442"/>
      <c r="H32" s="2442"/>
      <c r="I32" s="2442"/>
      <c r="J32" s="2245"/>
      <c r="K32" s="2402"/>
      <c r="L32" s="2399"/>
      <c r="M32" s="2399"/>
      <c r="N32" s="2245"/>
      <c r="O32" s="1670"/>
      <c r="P32" s="2245"/>
      <c r="Q32" s="2245"/>
      <c r="R32" s="2245"/>
      <c r="S32" s="2245"/>
      <c r="T32" s="2245"/>
      <c r="U32" s="2245"/>
      <c r="V32" s="2245"/>
    </row>
    <row r="33" spans="1:30">
      <c r="A33" s="3255"/>
      <c r="B33" s="2234"/>
      <c r="C33" s="1478" t="str">
        <f>IF(B33="现房","成新及维护状况是否正常",IF(B33="在建","工程状态是否正常",IF(B33="土地","是否闲置","-")))</f>
        <v>-</v>
      </c>
      <c r="D33" s="1274"/>
      <c r="E33" s="2235"/>
      <c r="F33" s="2442"/>
      <c r="G33" s="2442"/>
      <c r="H33" s="2442"/>
      <c r="I33" s="2442"/>
      <c r="J33" s="2245"/>
      <c r="K33" s="2402"/>
      <c r="L33" s="2399"/>
      <c r="M33" s="2399"/>
      <c r="N33" s="2245"/>
      <c r="O33" s="1670"/>
      <c r="P33" s="2245"/>
      <c r="Q33" s="2245"/>
      <c r="R33" s="2245"/>
      <c r="S33" s="2245"/>
      <c r="T33" s="2245"/>
      <c r="U33" s="2245"/>
      <c r="V33" s="2245"/>
    </row>
    <row r="34" spans="1:30">
      <c r="A34" s="294" t="s">
        <v>2220</v>
      </c>
      <c r="B34" s="1870" t="s">
        <v>3406</v>
      </c>
      <c r="C34" s="1870" t="s">
        <v>3407</v>
      </c>
      <c r="D34" s="1870" t="s">
        <v>3408</v>
      </c>
      <c r="E34" s="1870" t="s">
        <v>3409</v>
      </c>
      <c r="F34" s="1870" t="s">
        <v>3410</v>
      </c>
      <c r="G34" s="1870" t="s">
        <v>3411</v>
      </c>
      <c r="H34" s="1870" t="s">
        <v>3412</v>
      </c>
      <c r="I34" s="2442"/>
      <c r="J34" s="2245"/>
      <c r="K34" s="8">
        <f>COUNTIF(B34:H34,"——")</f>
        <v>0</v>
      </c>
      <c r="L34" s="315" t="s">
        <v>2221</v>
      </c>
      <c r="M34" s="315" t="s">
        <v>2222</v>
      </c>
      <c r="N34" s="315" t="s">
        <v>2223</v>
      </c>
      <c r="O34" s="315" t="s">
        <v>2224</v>
      </c>
      <c r="P34" s="315" t="s">
        <v>2225</v>
      </c>
      <c r="Q34" s="315" t="s">
        <v>2226</v>
      </c>
      <c r="R34" s="315" t="s">
        <v>2227</v>
      </c>
      <c r="S34" s="3249" t="s">
        <v>2228</v>
      </c>
      <c r="T34" s="315" t="str">
        <f>NUMBERSTRING(7-K34,1)&amp;"通"</f>
        <v>七通</v>
      </c>
      <c r="U34" s="2245"/>
      <c r="V34" s="2245"/>
    </row>
    <row r="35" spans="1:30">
      <c r="A35" s="2236"/>
      <c r="B35" s="3249" t="s">
        <v>2229</v>
      </c>
      <c r="C35" s="3249"/>
      <c r="D35" s="3249"/>
      <c r="E35" s="3249"/>
      <c r="F35" s="8">
        <f>C10</f>
        <v>0</v>
      </c>
      <c r="G35" s="2442"/>
      <c r="H35" s="2442"/>
      <c r="I35" s="2442"/>
      <c r="J35" s="2245"/>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通路、通电、通讯、通上水、通下水、平整</v>
      </c>
      <c r="R35" s="138" t="str">
        <f>B34&amp;"、"&amp;C34&amp;"、"&amp;D34&amp;"、"&amp;E34&amp;"、"&amp;F34&amp;"、"&amp;G34&amp;"、"&amp;H34</f>
        <v>通路、通电、通讯、通上水、通下水、平整、燃气</v>
      </c>
      <c r="S35" s="3249"/>
      <c r="T35" s="138" t="str">
        <f>IF(T34="一通",L35,IF(T34="二通",M35,IF(T34="三通",N35,IF(T34="四通",O35,IF(T34="五通",P35,IF(T34="六通",Q35,R35))))))</f>
        <v>通路、通电、通讯、通上水、通下水、平整、燃气</v>
      </c>
      <c r="U35" s="2245"/>
      <c r="V35" s="2245"/>
    </row>
    <row r="36" spans="1:30">
      <c r="A36" s="2183"/>
      <c r="B36" s="8" t="s">
        <v>2185</v>
      </c>
      <c r="C36" s="8" t="s">
        <v>2186</v>
      </c>
      <c r="D36" s="8" t="s">
        <v>2184</v>
      </c>
      <c r="E36" s="8" t="s">
        <v>2189</v>
      </c>
      <c r="F36" s="2800" t="s">
        <v>2570</v>
      </c>
      <c r="G36" s="2442"/>
      <c r="H36" s="2442"/>
      <c r="I36" s="2442"/>
      <c r="J36" s="2245"/>
      <c r="K36" s="2402"/>
      <c r="L36" s="2399"/>
      <c r="M36" s="2399"/>
      <c r="N36" s="2245"/>
      <c r="O36" s="1670"/>
      <c r="P36" s="2245"/>
      <c r="Q36" s="2245"/>
      <c r="R36" s="2245"/>
      <c r="S36" s="2245"/>
      <c r="T36" s="2245"/>
      <c r="U36" s="2245"/>
      <c r="V36" s="2245"/>
    </row>
    <row r="37" spans="1:30">
      <c r="A37" s="2415" t="s">
        <v>2230</v>
      </c>
      <c r="B37" s="2237" t="s">
        <v>296</v>
      </c>
      <c r="C37" s="2237" t="s">
        <v>296</v>
      </c>
      <c r="D37" s="2237"/>
      <c r="E37" s="2237"/>
      <c r="F37" s="2237"/>
      <c r="G37" s="2442"/>
      <c r="H37" s="2442"/>
      <c r="I37" s="2442"/>
      <c r="J37" s="2245"/>
      <c r="K37" s="2402"/>
      <c r="L37" s="2399"/>
      <c r="M37" s="2399"/>
      <c r="N37" s="2245"/>
      <c r="O37" s="1670"/>
      <c r="P37" s="2245"/>
      <c r="Q37" s="2245"/>
      <c r="R37" s="2245"/>
      <c r="S37" s="2245"/>
      <c r="T37" s="2245"/>
      <c r="U37" s="2245"/>
      <c r="V37" s="2245"/>
    </row>
    <row r="38" spans="1:30" ht="13.5" thickBot="1">
      <c r="A38" s="2416" t="s">
        <v>2231</v>
      </c>
      <c r="B38" s="2238" t="s">
        <v>195</v>
      </c>
      <c r="C38" s="2238" t="s">
        <v>195</v>
      </c>
      <c r="D38" s="2238"/>
      <c r="E38" s="2238"/>
      <c r="F38" s="2238"/>
      <c r="G38" s="2443"/>
      <c r="H38" s="2443"/>
      <c r="I38" s="2443"/>
      <c r="J38" s="2245"/>
      <c r="K38" s="2402"/>
      <c r="L38" s="2399"/>
      <c r="M38" s="2399"/>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7"/>
      <c r="K39" s="2408"/>
      <c r="L39" s="2407"/>
      <c r="M39" s="2407"/>
      <c r="N39" s="2407"/>
      <c r="O39" s="2409"/>
      <c r="P39" s="2407"/>
      <c r="Q39" s="2407"/>
      <c r="R39" s="2407"/>
      <c r="S39" s="2407"/>
      <c r="T39" s="2407"/>
      <c r="U39" s="2407"/>
      <c r="V39" s="2407"/>
      <c r="W39" s="2410"/>
      <c r="X39" s="2410"/>
      <c r="Y39" s="2410"/>
      <c r="Z39" s="2410"/>
      <c r="AA39" s="2410"/>
      <c r="AB39" s="2410"/>
      <c r="AC39" s="2410"/>
      <c r="AD39" s="2410"/>
    </row>
    <row r="40" spans="1:30">
      <c r="A40" s="2182"/>
      <c r="B40" s="2182"/>
      <c r="C40" s="2182"/>
      <c r="D40" s="2182"/>
      <c r="E40" s="2182"/>
      <c r="F40" s="2182"/>
      <c r="G40" s="2182"/>
      <c r="H40" s="2182"/>
      <c r="I40" s="1466"/>
      <c r="J40" s="2245"/>
      <c r="K40" s="2401"/>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2"/>
      <c r="L41" s="2399"/>
      <c r="M41" s="2399"/>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11" t="s">
        <v>2243</v>
      </c>
      <c r="K42" s="2412" t="s">
        <v>2244</v>
      </c>
      <c r="L42" s="2412" t="s">
        <v>2245</v>
      </c>
      <c r="M42" s="2412" t="s">
        <v>2246</v>
      </c>
      <c r="N42" s="2405" t="s">
        <v>2247</v>
      </c>
      <c r="O42" s="2405" t="s">
        <v>2248</v>
      </c>
      <c r="P42" s="2405" t="s">
        <v>2249</v>
      </c>
      <c r="Q42" s="2406" t="s">
        <v>2250</v>
      </c>
      <c r="R42" s="2406"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37" sqref="I37"/>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103889.93000000002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103889.93000000002</v>
      </c>
      <c r="H5" s="13">
        <f t="shared" ref="H5:AT5" si="0">SUM(H13:H656)</f>
        <v>103889.93000000002</v>
      </c>
      <c r="I5" s="13">
        <f t="shared" si="0"/>
        <v>67424.870000000024</v>
      </c>
      <c r="J5" s="13">
        <f t="shared" si="0"/>
        <v>0</v>
      </c>
      <c r="K5" s="13">
        <f t="shared" si="0"/>
        <v>24588.75</v>
      </c>
      <c r="L5" s="13">
        <f t="shared" si="0"/>
        <v>0</v>
      </c>
      <c r="M5" s="13">
        <f t="shared" si="0"/>
        <v>11876.309999999992</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103889.93000000002</v>
      </c>
      <c r="BA5" s="15">
        <f t="shared" si="1"/>
        <v>103889.93000000002</v>
      </c>
      <c r="BB5" s="15">
        <f t="shared" si="1"/>
        <v>67424.870000000024</v>
      </c>
      <c r="BC5" s="15">
        <f t="shared" si="1"/>
        <v>24588.75</v>
      </c>
      <c r="BD5" s="15">
        <f t="shared" si="1"/>
        <v>11876.309999999992</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3518</v>
      </c>
      <c r="J9" s="761"/>
      <c r="K9" s="1491" t="s">
        <v>3519</v>
      </c>
      <c r="L9" s="761"/>
      <c r="M9" s="1491" t="s">
        <v>3519</v>
      </c>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t="s">
        <v>673</v>
      </c>
      <c r="L10" s="761"/>
      <c r="M10" s="1497" t="s">
        <v>3520</v>
      </c>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t="str">
        <f>K10</f>
        <v>商业</v>
      </c>
      <c r="BD11" s="1487" t="str">
        <f>M10</f>
        <v>车库—商业</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67" t="s">
        <v>3523</v>
      </c>
      <c r="D13" s="1513" t="s">
        <v>3521</v>
      </c>
      <c r="E13" s="13">
        <f>IF($C$3="是",ROUND($A$3*G13/$B$3,2),ROUND($A$3*(G13-AT13)/$B$3,2))</f>
        <v>0</v>
      </c>
      <c r="F13" s="29"/>
      <c r="G13" s="30">
        <f>H13+AC13+AT13</f>
        <v>103889.93000000002</v>
      </c>
      <c r="H13" s="17">
        <f>SUMIF(I$12:AB$12,"总值",I13:AB13)</f>
        <v>103889.93000000002</v>
      </c>
      <c r="I13" s="1514">
        <f>面积位置!E20+面积位置!E35+面积位置!E33+面积位置!E23+面积位置!E25+面积位置!E24+面积位置!E21+面积位置!E36+面积位置!E37+面积位置!E34+面积位置!E32+面积位置!E29+面积位置!E31+面积位置!E30+面积位置!E26+面积位置!E27+面积位置!E28+面积位置!E22</f>
        <v>67424.870000000024</v>
      </c>
      <c r="J13" s="1514"/>
      <c r="K13" s="1514">
        <f>面积位置!E39+面积位置!E40+面积位置!E44+面积位置!E41+面积位置!E42+面积位置!E43+面积位置!E38</f>
        <v>24588.75</v>
      </c>
      <c r="L13" s="1514"/>
      <c r="M13" s="1514">
        <f>面积位置!L80</f>
        <v>11876.309999999992</v>
      </c>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龙湖天街</v>
      </c>
      <c r="AY13" s="1260">
        <f>ROUND($AY$6*AZ13/$AZ$5,2)</f>
        <v>0</v>
      </c>
      <c r="AZ13" s="13">
        <f>BA13+BL13</f>
        <v>103889.93000000002</v>
      </c>
      <c r="BA13" s="13">
        <f>SUM(BB13:BK13)</f>
        <v>103889.93000000002</v>
      </c>
      <c r="BB13" s="13">
        <f>IF($D13="是",I13-J13,0)</f>
        <v>67424.870000000024</v>
      </c>
      <c r="BC13" s="13">
        <f>IF($D13="是",K13-L13,0)</f>
        <v>24588.75</v>
      </c>
      <c r="BD13" s="13">
        <f>IF($D13="是",M13-N13,0)</f>
        <v>11876.309999999992</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Q80"/>
  <sheetViews>
    <sheetView workbookViewId="0">
      <selection activeCell="E17" sqref="E17"/>
    </sheetView>
  </sheetViews>
  <sheetFormatPr defaultRowHeight="13.5"/>
  <cols>
    <col min="1" max="1" width="5.25" bestFit="1" customWidth="1"/>
    <col min="2" max="2" width="33.625" bestFit="1" customWidth="1"/>
    <col min="3" max="3" width="37.75" bestFit="1" customWidth="1"/>
    <col min="4" max="4" width="5.25" bestFit="1" customWidth="1"/>
    <col min="5" max="5" width="10.5" bestFit="1" customWidth="1"/>
    <col min="8" max="8" width="5.25" bestFit="1" customWidth="1"/>
    <col min="9" max="10" width="33.375" bestFit="1" customWidth="1"/>
    <col min="12" max="12" width="9.5" bestFit="1" customWidth="1"/>
    <col min="15" max="15" width="29.625" bestFit="1" customWidth="1"/>
    <col min="17" max="17" width="29.625" bestFit="1" customWidth="1"/>
  </cols>
  <sheetData>
    <row r="1" spans="5:11">
      <c r="E1" s="1405" t="s">
        <v>3379</v>
      </c>
      <c r="F1" s="1405" t="s">
        <v>2534</v>
      </c>
      <c r="G1" s="1405" t="s">
        <v>3517</v>
      </c>
      <c r="H1" s="1405" t="s">
        <v>3573</v>
      </c>
      <c r="I1" s="1405" t="s">
        <v>3577</v>
      </c>
      <c r="J1" s="1405" t="s">
        <v>3578</v>
      </c>
      <c r="K1" s="1405"/>
    </row>
    <row r="2" spans="5:11">
      <c r="E2" s="3166">
        <f>ROUND(E44+E43+E38/2+E42/2,3)</f>
        <v>12446.26</v>
      </c>
      <c r="F2" s="1405" t="s">
        <v>3421</v>
      </c>
      <c r="G2">
        <v>-2</v>
      </c>
      <c r="H2">
        <v>0.3</v>
      </c>
      <c r="I2">
        <f>$I$4*H2</f>
        <v>2.4</v>
      </c>
      <c r="J2">
        <f>I2*E2*365</f>
        <v>10902923.76</v>
      </c>
    </row>
    <row r="3" spans="5:11">
      <c r="E3">
        <f>E39+E40+E41+E42/2+E38/2</f>
        <v>12142.49</v>
      </c>
      <c r="F3" s="1405" t="s">
        <v>3421</v>
      </c>
      <c r="G3">
        <v>-1</v>
      </c>
      <c r="H3">
        <v>0.4</v>
      </c>
      <c r="I3">
        <f>$I$4*H3</f>
        <v>3.2</v>
      </c>
      <c r="J3">
        <f t="shared" ref="J3:J8" si="0">I3*E3*365</f>
        <v>14182428.32</v>
      </c>
    </row>
    <row r="4" spans="5:11">
      <c r="E4">
        <f>E20/5+E23+E24/5+E22+E21</f>
        <v>11867.842000000001</v>
      </c>
      <c r="F4" s="1405" t="s">
        <v>3421</v>
      </c>
      <c r="G4">
        <v>1</v>
      </c>
      <c r="H4">
        <v>1</v>
      </c>
      <c r="I4">
        <v>8</v>
      </c>
      <c r="J4">
        <f t="shared" si="0"/>
        <v>34654098.640000001</v>
      </c>
    </row>
    <row r="5" spans="5:11">
      <c r="E5">
        <f>E20/5+E25+E24/5+E26+E27+E28</f>
        <v>12367.142</v>
      </c>
      <c r="F5" s="1405" t="s">
        <v>3421</v>
      </c>
      <c r="G5">
        <v>2</v>
      </c>
      <c r="H5">
        <v>0.7</v>
      </c>
      <c r="I5">
        <f t="shared" ref="I5:I8" si="1">$I$4*H5</f>
        <v>5.6</v>
      </c>
      <c r="J5">
        <f t="shared" si="0"/>
        <v>25278438.247999996</v>
      </c>
    </row>
    <row r="6" spans="5:11">
      <c r="E6">
        <f>E20/5+E35/3+E24/5+E29+E31+E30</f>
        <v>14066.822000000002</v>
      </c>
      <c r="F6" s="1405" t="s">
        <v>3421</v>
      </c>
      <c r="G6">
        <v>3</v>
      </c>
      <c r="H6">
        <v>0.6</v>
      </c>
      <c r="I6">
        <f t="shared" si="1"/>
        <v>4.8</v>
      </c>
      <c r="J6">
        <f t="shared" si="0"/>
        <v>24645072.144000005</v>
      </c>
    </row>
    <row r="7" spans="5:11">
      <c r="E7">
        <f>E20/5+E35/3+E33+E24/5+E34+E32</f>
        <v>14391.531999999999</v>
      </c>
      <c r="F7" s="1405" t="s">
        <v>3421</v>
      </c>
      <c r="G7">
        <v>4</v>
      </c>
      <c r="H7">
        <v>0.5</v>
      </c>
      <c r="I7">
        <f t="shared" si="1"/>
        <v>4</v>
      </c>
      <c r="J7">
        <f t="shared" si="0"/>
        <v>21011636.719999999</v>
      </c>
    </row>
    <row r="8" spans="5:11">
      <c r="E8">
        <f>E20/5+E35/3+E24/5+E36+E37</f>
        <v>14731.532000000001</v>
      </c>
      <c r="F8" s="1405" t="s">
        <v>3421</v>
      </c>
      <c r="G8">
        <v>5</v>
      </c>
      <c r="H8">
        <v>0.4</v>
      </c>
      <c r="I8">
        <f t="shared" si="1"/>
        <v>3.2</v>
      </c>
      <c r="J8">
        <f t="shared" si="0"/>
        <v>17206429.376000002</v>
      </c>
    </row>
    <row r="9" spans="5:11">
      <c r="E9" s="3166">
        <f>SUM(E2:E8)</f>
        <v>92013.62000000001</v>
      </c>
      <c r="I9" s="3172">
        <f>J9/E9/365</f>
        <v>4.4031905189688221</v>
      </c>
      <c r="J9">
        <f>SUM(J2:J8)</f>
        <v>147881027.208</v>
      </c>
    </row>
    <row r="19" spans="1:17">
      <c r="A19" s="3162" t="s">
        <v>3413</v>
      </c>
      <c r="B19" s="3162" t="s">
        <v>3414</v>
      </c>
      <c r="C19" s="3163" t="s">
        <v>3416</v>
      </c>
      <c r="D19" s="3162" t="s">
        <v>2534</v>
      </c>
      <c r="E19" s="3162" t="s">
        <v>3417</v>
      </c>
      <c r="F19" s="3163" t="s">
        <v>3418</v>
      </c>
      <c r="H19" s="3162" t="s">
        <v>3413</v>
      </c>
      <c r="I19" s="3162" t="s">
        <v>3414</v>
      </c>
      <c r="J19" s="3162" t="s">
        <v>3416</v>
      </c>
      <c r="K19" s="3162" t="s">
        <v>2534</v>
      </c>
      <c r="L19" s="3162" t="s">
        <v>3417</v>
      </c>
      <c r="M19" s="3163" t="s">
        <v>3418</v>
      </c>
      <c r="O19" s="3162" t="s">
        <v>3415</v>
      </c>
      <c r="Q19" s="3162" t="s">
        <v>3415</v>
      </c>
    </row>
    <row r="20" spans="1:17">
      <c r="A20" s="3164">
        <v>1</v>
      </c>
      <c r="B20" s="3162" t="s">
        <v>3579</v>
      </c>
      <c r="C20" s="3163" t="s">
        <v>3420</v>
      </c>
      <c r="D20" s="3162" t="s">
        <v>3421</v>
      </c>
      <c r="E20" s="3164">
        <v>27182.77</v>
      </c>
      <c r="F20" s="3163" t="s">
        <v>3422</v>
      </c>
      <c r="H20" s="3164">
        <v>1</v>
      </c>
      <c r="I20" s="3162" t="s">
        <v>3606</v>
      </c>
      <c r="J20" s="3165" t="s">
        <v>3604</v>
      </c>
      <c r="K20" s="3162" t="s">
        <v>3456</v>
      </c>
      <c r="L20" s="3162">
        <v>85.86</v>
      </c>
      <c r="M20" s="3164">
        <v>-1</v>
      </c>
      <c r="O20" s="3278" t="s">
        <v>3419</v>
      </c>
      <c r="Q20" s="3279" t="s">
        <v>3419</v>
      </c>
    </row>
    <row r="21" spans="1:17">
      <c r="A21" s="3164">
        <v>2</v>
      </c>
      <c r="B21" s="3162" t="s">
        <v>3580</v>
      </c>
      <c r="C21" s="3163" t="s">
        <v>3437</v>
      </c>
      <c r="D21" s="3162" t="s">
        <v>3421</v>
      </c>
      <c r="E21" s="3164">
        <v>239.07</v>
      </c>
      <c r="F21" s="3163" t="s">
        <v>3430</v>
      </c>
      <c r="H21" s="3164">
        <v>2</v>
      </c>
      <c r="I21" s="3162" t="s">
        <v>3607</v>
      </c>
      <c r="J21" s="3165" t="s">
        <v>3457</v>
      </c>
      <c r="K21" s="3162" t="s">
        <v>3456</v>
      </c>
      <c r="L21" s="3162">
        <v>85.66</v>
      </c>
      <c r="M21" s="3164">
        <v>-1</v>
      </c>
      <c r="O21" s="3278"/>
      <c r="Q21" s="3280"/>
    </row>
    <row r="22" spans="1:17">
      <c r="A22" s="3164">
        <v>3</v>
      </c>
      <c r="B22" s="3162" t="s">
        <v>3581</v>
      </c>
      <c r="C22" s="3163" t="s">
        <v>3455</v>
      </c>
      <c r="D22" s="3162" t="s">
        <v>3421</v>
      </c>
      <c r="E22" s="3164">
        <v>268.91000000000003</v>
      </c>
      <c r="F22" s="3163" t="s">
        <v>3430</v>
      </c>
      <c r="H22" s="3164">
        <v>3</v>
      </c>
      <c r="I22" s="3162" t="s">
        <v>3608</v>
      </c>
      <c r="J22" s="3165" t="s">
        <v>3458</v>
      </c>
      <c r="K22" s="3162" t="s">
        <v>3456</v>
      </c>
      <c r="L22" s="3164">
        <v>85.66</v>
      </c>
      <c r="M22" s="3164">
        <v>-1</v>
      </c>
      <c r="O22" s="3278"/>
      <c r="Q22" s="3280"/>
    </row>
    <row r="23" spans="1:17">
      <c r="A23" s="3164">
        <v>4</v>
      </c>
      <c r="B23" s="3162" t="s">
        <v>3582</v>
      </c>
      <c r="C23" s="3163" t="s">
        <v>3429</v>
      </c>
      <c r="D23" s="3162" t="s">
        <v>3421</v>
      </c>
      <c r="E23" s="3164">
        <v>247.5</v>
      </c>
      <c r="F23" s="3163" t="s">
        <v>3430</v>
      </c>
      <c r="H23" s="3164">
        <v>4</v>
      </c>
      <c r="I23" s="3162" t="s">
        <v>3609</v>
      </c>
      <c r="J23" s="3165" t="s">
        <v>3459</v>
      </c>
      <c r="K23" s="3162" t="s">
        <v>3456</v>
      </c>
      <c r="L23" s="3164">
        <v>85.66</v>
      </c>
      <c r="M23" s="3164">
        <v>-1</v>
      </c>
      <c r="O23" s="3278"/>
      <c r="Q23" s="3280"/>
    </row>
    <row r="24" spans="1:17">
      <c r="A24" s="3164">
        <v>5</v>
      </c>
      <c r="B24" s="3162" t="s">
        <v>3583</v>
      </c>
      <c r="C24" s="3163" t="s">
        <v>3436</v>
      </c>
      <c r="D24" s="3162" t="s">
        <v>3421</v>
      </c>
      <c r="E24" s="3164">
        <v>28379.040000000001</v>
      </c>
      <c r="F24" s="3163" t="s">
        <v>3422</v>
      </c>
      <c r="H24" s="3164">
        <v>5</v>
      </c>
      <c r="I24" s="3162" t="s">
        <v>3610</v>
      </c>
      <c r="J24" s="3165" t="s">
        <v>3460</v>
      </c>
      <c r="K24" s="3162" t="s">
        <v>3456</v>
      </c>
      <c r="L24" s="3164">
        <v>108.69</v>
      </c>
      <c r="M24" s="3164">
        <v>-1</v>
      </c>
      <c r="O24" s="3278"/>
      <c r="Q24" s="3280"/>
    </row>
    <row r="25" spans="1:17">
      <c r="A25" s="3164">
        <v>6</v>
      </c>
      <c r="B25" s="3162" t="s">
        <v>3584</v>
      </c>
      <c r="C25" s="3163" t="s">
        <v>3432</v>
      </c>
      <c r="D25" s="3162" t="s">
        <v>3421</v>
      </c>
      <c r="E25" s="3164">
        <v>305.85000000000002</v>
      </c>
      <c r="F25" s="3163" t="s">
        <v>3433</v>
      </c>
      <c r="H25" s="3164">
        <v>6</v>
      </c>
      <c r="I25" s="3162" t="s">
        <v>3611</v>
      </c>
      <c r="J25" s="3165" t="s">
        <v>3461</v>
      </c>
      <c r="K25" s="3162" t="s">
        <v>3456</v>
      </c>
      <c r="L25" s="3164">
        <v>46.06</v>
      </c>
      <c r="M25" s="3164">
        <v>-1</v>
      </c>
      <c r="O25" s="3278"/>
      <c r="Q25" s="3280"/>
    </row>
    <row r="26" spans="1:17">
      <c r="A26" s="3164">
        <v>7</v>
      </c>
      <c r="B26" s="3162" t="s">
        <v>3586</v>
      </c>
      <c r="C26" s="3163" t="s">
        <v>3452</v>
      </c>
      <c r="D26" s="3162" t="s">
        <v>3421</v>
      </c>
      <c r="E26" s="3164">
        <v>425.52</v>
      </c>
      <c r="F26" s="3163" t="s">
        <v>3433</v>
      </c>
      <c r="H26" s="3164">
        <v>7</v>
      </c>
      <c r="I26" s="3162" t="s">
        <v>3612</v>
      </c>
      <c r="J26" s="3165" t="s">
        <v>3462</v>
      </c>
      <c r="K26" s="3162" t="s">
        <v>3463</v>
      </c>
      <c r="L26" s="3162">
        <v>163.04</v>
      </c>
      <c r="M26" s="3164">
        <v>-1</v>
      </c>
      <c r="O26" s="3278"/>
      <c r="Q26" s="3280"/>
    </row>
    <row r="27" spans="1:17">
      <c r="A27" s="3164">
        <v>8</v>
      </c>
      <c r="B27" s="3162" t="s">
        <v>3585</v>
      </c>
      <c r="C27" s="3163" t="s">
        <v>3453</v>
      </c>
      <c r="D27" s="3162" t="s">
        <v>3421</v>
      </c>
      <c r="E27" s="3164">
        <v>240.2</v>
      </c>
      <c r="F27" s="3163" t="s">
        <v>3433</v>
      </c>
      <c r="H27" s="3164">
        <v>8</v>
      </c>
      <c r="I27" s="3162" t="s">
        <v>3613</v>
      </c>
      <c r="J27" s="3165" t="s">
        <v>3464</v>
      </c>
      <c r="K27" s="3164" t="str">
        <f>K26</f>
        <v>机械车位</v>
      </c>
      <c r="L27" s="3162">
        <v>108.69</v>
      </c>
      <c r="M27" s="3164">
        <v>-1</v>
      </c>
      <c r="O27" s="3278"/>
      <c r="Q27" s="3280"/>
    </row>
    <row r="28" spans="1:17">
      <c r="A28" s="3164">
        <v>9</v>
      </c>
      <c r="B28" s="3162" t="s">
        <v>3587</v>
      </c>
      <c r="C28" s="3163" t="s">
        <v>3454</v>
      </c>
      <c r="D28" s="3162" t="s">
        <v>3421</v>
      </c>
      <c r="E28" s="3164">
        <v>283.20999999999998</v>
      </c>
      <c r="F28" s="3163" t="s">
        <v>3433</v>
      </c>
      <c r="H28" s="3164">
        <v>9</v>
      </c>
      <c r="I28" s="3162" t="s">
        <v>3614</v>
      </c>
      <c r="J28" s="3165" t="s">
        <v>3465</v>
      </c>
      <c r="K28" s="3162" t="s">
        <v>3456</v>
      </c>
      <c r="L28" s="3162">
        <v>46.06</v>
      </c>
      <c r="M28" s="3164">
        <v>-1</v>
      </c>
      <c r="O28" s="3278"/>
      <c r="Q28" s="3280"/>
    </row>
    <row r="29" spans="1:17">
      <c r="A29" s="3164">
        <v>10</v>
      </c>
      <c r="B29" s="3162" t="s">
        <v>3588</v>
      </c>
      <c r="C29" s="3163" t="s">
        <v>3448</v>
      </c>
      <c r="D29" s="3162" t="s">
        <v>3421</v>
      </c>
      <c r="E29" s="3164">
        <v>531.07000000000005</v>
      </c>
      <c r="F29" s="3163" t="s">
        <v>3449</v>
      </c>
      <c r="H29" s="3164">
        <v>10</v>
      </c>
      <c r="I29" s="3162" t="s">
        <v>3615</v>
      </c>
      <c r="J29" s="3165" t="s">
        <v>3466</v>
      </c>
      <c r="K29" s="3162" t="s">
        <v>3456</v>
      </c>
      <c r="L29" s="3162">
        <v>46.06</v>
      </c>
      <c r="M29" s="3164">
        <v>-1</v>
      </c>
      <c r="O29" s="3278"/>
      <c r="Q29" s="3280"/>
    </row>
    <row r="30" spans="1:17">
      <c r="A30" s="3164">
        <v>11</v>
      </c>
      <c r="B30" s="3162" t="s">
        <v>3589</v>
      </c>
      <c r="C30" s="3163" t="s">
        <v>3451</v>
      </c>
      <c r="D30" s="3162" t="s">
        <v>3421</v>
      </c>
      <c r="E30" s="3164">
        <v>409.1</v>
      </c>
      <c r="F30" s="3163" t="s">
        <v>3449</v>
      </c>
      <c r="H30" s="3164">
        <v>11</v>
      </c>
      <c r="I30" s="3162" t="s">
        <v>3616</v>
      </c>
      <c r="J30" s="3165" t="s">
        <v>3467</v>
      </c>
      <c r="K30" s="3162" t="s">
        <v>3456</v>
      </c>
      <c r="L30" s="3162">
        <v>46.06</v>
      </c>
      <c r="M30" s="3164">
        <v>-1</v>
      </c>
      <c r="O30" s="3278"/>
      <c r="Q30" s="3280"/>
    </row>
    <row r="31" spans="1:17">
      <c r="A31" s="3164">
        <v>12</v>
      </c>
      <c r="B31" s="3162" t="s">
        <v>3590</v>
      </c>
      <c r="C31" s="3163" t="s">
        <v>3450</v>
      </c>
      <c r="D31" s="3162" t="s">
        <v>3421</v>
      </c>
      <c r="E31" s="3164">
        <v>286.45</v>
      </c>
      <c r="F31" s="3163" t="s">
        <v>3449</v>
      </c>
      <c r="H31" s="3164">
        <v>12</v>
      </c>
      <c r="I31" s="3162" t="s">
        <v>3617</v>
      </c>
      <c r="J31" s="3165" t="s">
        <v>3495</v>
      </c>
      <c r="K31" s="3162" t="s">
        <v>3456</v>
      </c>
      <c r="L31" s="3162">
        <v>46.06</v>
      </c>
      <c r="M31" s="3164">
        <v>-1</v>
      </c>
      <c r="O31" s="3278"/>
      <c r="Q31" s="3280"/>
    </row>
    <row r="32" spans="1:17">
      <c r="A32" s="3164">
        <v>13</v>
      </c>
      <c r="B32" s="3162" t="s">
        <v>3591</v>
      </c>
      <c r="C32" s="3163" t="s">
        <v>3446</v>
      </c>
      <c r="D32" s="3162" t="s">
        <v>3421</v>
      </c>
      <c r="E32" s="3164">
        <v>856.18</v>
      </c>
      <c r="F32" s="3163" t="s">
        <v>3426</v>
      </c>
      <c r="H32" s="3164">
        <v>13</v>
      </c>
      <c r="I32" s="3162" t="s">
        <v>3618</v>
      </c>
      <c r="J32" s="3165" t="s">
        <v>3496</v>
      </c>
      <c r="K32" s="3162" t="s">
        <v>3456</v>
      </c>
      <c r="L32" s="3162">
        <v>46.06</v>
      </c>
      <c r="M32" s="3164">
        <v>-1</v>
      </c>
      <c r="O32" s="3278"/>
      <c r="Q32" s="3280"/>
    </row>
    <row r="33" spans="1:17">
      <c r="A33" s="3164">
        <v>14</v>
      </c>
      <c r="B33" s="3162" t="s">
        <v>3592</v>
      </c>
      <c r="C33" s="3163" t="s">
        <v>3425</v>
      </c>
      <c r="D33" s="3162" t="s">
        <v>3421</v>
      </c>
      <c r="E33" s="3164">
        <v>409.1</v>
      </c>
      <c r="F33" s="3163" t="s">
        <v>3426</v>
      </c>
      <c r="H33" s="3164">
        <v>14</v>
      </c>
      <c r="I33" s="3162" t="s">
        <v>3619</v>
      </c>
      <c r="J33" s="3165" t="s">
        <v>3494</v>
      </c>
      <c r="K33" s="3162" t="s">
        <v>3456</v>
      </c>
      <c r="L33" s="3162">
        <v>46.06</v>
      </c>
      <c r="M33" s="3164">
        <v>-1</v>
      </c>
      <c r="O33" s="3278"/>
      <c r="Q33" s="3280"/>
    </row>
    <row r="34" spans="1:17">
      <c r="A34" s="3164">
        <v>15</v>
      </c>
      <c r="B34" s="3162" t="s">
        <v>3593</v>
      </c>
      <c r="C34" s="3163" t="s">
        <v>3445</v>
      </c>
      <c r="D34" s="3162" t="s">
        <v>3421</v>
      </c>
      <c r="E34" s="3164">
        <v>286.05</v>
      </c>
      <c r="F34" s="3163" t="s">
        <v>3426</v>
      </c>
      <c r="H34" s="3164">
        <v>15</v>
      </c>
      <c r="I34" s="3162" t="s">
        <v>3620</v>
      </c>
      <c r="J34" s="3165" t="s">
        <v>3497</v>
      </c>
      <c r="K34" s="3162" t="s">
        <v>3456</v>
      </c>
      <c r="L34" s="3162">
        <v>46.06</v>
      </c>
      <c r="M34" s="3164">
        <v>-1</v>
      </c>
      <c r="O34" s="3278"/>
      <c r="Q34" s="3280"/>
    </row>
    <row r="35" spans="1:17">
      <c r="A35" s="3164">
        <v>16</v>
      </c>
      <c r="B35" s="3162" t="s">
        <v>3594</v>
      </c>
      <c r="C35" s="3163" t="s">
        <v>3423</v>
      </c>
      <c r="D35" s="3162" t="s">
        <v>3421</v>
      </c>
      <c r="E35" s="3164">
        <v>5183.5200000000004</v>
      </c>
      <c r="F35" s="3163" t="s">
        <v>3424</v>
      </c>
      <c r="H35" s="3164">
        <v>16</v>
      </c>
      <c r="I35" s="3162" t="s">
        <v>3621</v>
      </c>
      <c r="J35" s="3165" t="s">
        <v>3498</v>
      </c>
      <c r="K35" s="3162" t="s">
        <v>3456</v>
      </c>
      <c r="L35" s="3162">
        <v>46.06</v>
      </c>
      <c r="M35" s="3164">
        <v>-1</v>
      </c>
      <c r="O35" s="3278"/>
      <c r="Q35" s="3280"/>
    </row>
    <row r="36" spans="1:17">
      <c r="A36" s="3164">
        <v>17</v>
      </c>
      <c r="B36" s="3162" t="s">
        <v>3595</v>
      </c>
      <c r="C36" s="3163" t="s">
        <v>3441</v>
      </c>
      <c r="D36" s="3162" t="s">
        <v>3421</v>
      </c>
      <c r="E36" s="3164">
        <v>959.03</v>
      </c>
      <c r="F36" s="3163" t="s">
        <v>3442</v>
      </c>
      <c r="H36" s="3164">
        <v>17</v>
      </c>
      <c r="I36" s="3162" t="s">
        <v>3622</v>
      </c>
      <c r="J36" s="3165" t="s">
        <v>3499</v>
      </c>
      <c r="K36" s="3162" t="s">
        <v>3456</v>
      </c>
      <c r="L36" s="3162">
        <v>46.06</v>
      </c>
      <c r="M36" s="3164">
        <v>-1</v>
      </c>
      <c r="O36" s="3278"/>
      <c r="Q36" s="3280"/>
    </row>
    <row r="37" spans="1:17">
      <c r="A37" s="3164">
        <v>18</v>
      </c>
      <c r="B37" s="3162" t="s">
        <v>3596</v>
      </c>
      <c r="C37" s="3163" t="s">
        <v>3444</v>
      </c>
      <c r="D37" s="3162" t="s">
        <v>3421</v>
      </c>
      <c r="E37" s="3164">
        <v>932.3</v>
      </c>
      <c r="F37" s="3163" t="s">
        <v>3442</v>
      </c>
      <c r="H37" s="3164">
        <v>18</v>
      </c>
      <c r="I37" s="3162" t="s">
        <v>3623</v>
      </c>
      <c r="J37" s="3165" t="s">
        <v>3500</v>
      </c>
      <c r="K37" s="3162" t="s">
        <v>3456</v>
      </c>
      <c r="L37" s="3162">
        <v>46.06</v>
      </c>
      <c r="M37" s="3164">
        <v>-1</v>
      </c>
      <c r="O37" s="3278"/>
      <c r="Q37" s="3280"/>
    </row>
    <row r="38" spans="1:17">
      <c r="A38" s="3164">
        <v>19</v>
      </c>
      <c r="B38" s="3162" t="s">
        <v>3597</v>
      </c>
      <c r="C38" s="3163" t="s">
        <v>3447</v>
      </c>
      <c r="D38" s="3162" t="s">
        <v>3421</v>
      </c>
      <c r="E38" s="3164">
        <v>14176.07</v>
      </c>
      <c r="F38" s="3163" t="s">
        <v>3440</v>
      </c>
      <c r="H38" s="3164">
        <v>19</v>
      </c>
      <c r="I38" s="3162" t="s">
        <v>3624</v>
      </c>
      <c r="J38" s="3165" t="s">
        <v>3501</v>
      </c>
      <c r="K38" s="3162" t="s">
        <v>3456</v>
      </c>
      <c r="L38" s="3162">
        <v>46.06</v>
      </c>
      <c r="M38" s="3164">
        <v>-1</v>
      </c>
      <c r="O38" s="3278"/>
      <c r="Q38" s="3280"/>
    </row>
    <row r="39" spans="1:17">
      <c r="A39" s="3164">
        <v>20</v>
      </c>
      <c r="B39" s="3162" t="s">
        <v>3598</v>
      </c>
      <c r="C39" s="3163" t="s">
        <v>3427</v>
      </c>
      <c r="D39" s="3162" t="s">
        <v>3421</v>
      </c>
      <c r="E39" s="3164">
        <v>128.97</v>
      </c>
      <c r="F39" s="3163" t="s">
        <v>3428</v>
      </c>
      <c r="H39" s="3164">
        <v>20</v>
      </c>
      <c r="I39" s="3162" t="s">
        <v>3625</v>
      </c>
      <c r="J39" s="3165" t="s">
        <v>3502</v>
      </c>
      <c r="K39" s="3162" t="s">
        <v>3456</v>
      </c>
      <c r="L39" s="3162">
        <v>46.06</v>
      </c>
      <c r="M39" s="3164">
        <v>-1</v>
      </c>
      <c r="O39" s="3278"/>
      <c r="Q39" s="3280"/>
    </row>
    <row r="40" spans="1:17">
      <c r="A40" s="3164">
        <v>21</v>
      </c>
      <c r="B40" s="3162" t="s">
        <v>3599</v>
      </c>
      <c r="C40" s="3163" t="s">
        <v>3431</v>
      </c>
      <c r="D40" s="3162" t="s">
        <v>3421</v>
      </c>
      <c r="E40" s="3164">
        <v>251.51</v>
      </c>
      <c r="F40" s="3163" t="s">
        <v>3428</v>
      </c>
      <c r="H40" s="3164">
        <v>21</v>
      </c>
      <c r="I40" s="3162" t="s">
        <v>3626</v>
      </c>
      <c r="J40" s="3165" t="s">
        <v>3503</v>
      </c>
      <c r="K40" s="3162" t="s">
        <v>3456</v>
      </c>
      <c r="L40" s="3162">
        <v>46.06</v>
      </c>
      <c r="M40" s="3164">
        <v>-1</v>
      </c>
      <c r="O40" s="3278"/>
      <c r="Q40" s="3280"/>
    </row>
    <row r="41" spans="1:17">
      <c r="A41" s="3164">
        <v>22</v>
      </c>
      <c r="B41" s="3162" t="s">
        <v>3600</v>
      </c>
      <c r="C41" s="3163" t="s">
        <v>3438</v>
      </c>
      <c r="D41" s="3162" t="s">
        <v>3421</v>
      </c>
      <c r="E41" s="3164">
        <v>223.07</v>
      </c>
      <c r="F41" s="3163" t="s">
        <v>3428</v>
      </c>
      <c r="H41" s="3164">
        <v>22</v>
      </c>
      <c r="I41" s="3162" t="s">
        <v>3627</v>
      </c>
      <c r="J41" s="3165" t="s">
        <v>3504</v>
      </c>
      <c r="K41" s="3162" t="s">
        <v>3456</v>
      </c>
      <c r="L41" s="3162">
        <v>46.06</v>
      </c>
      <c r="M41" s="3164">
        <v>-1</v>
      </c>
      <c r="O41" s="3278"/>
      <c r="Q41" s="3280"/>
    </row>
    <row r="42" spans="1:17">
      <c r="A42" s="3164">
        <v>23</v>
      </c>
      <c r="B42" s="3162" t="s">
        <v>3601</v>
      </c>
      <c r="C42" s="3163" t="s">
        <v>3439</v>
      </c>
      <c r="D42" s="3162" t="s">
        <v>3421</v>
      </c>
      <c r="E42" s="3164">
        <v>8901.81</v>
      </c>
      <c r="F42" s="3163" t="s">
        <v>3440</v>
      </c>
      <c r="H42" s="3164">
        <v>23</v>
      </c>
      <c r="I42" s="3162" t="s">
        <v>3628</v>
      </c>
      <c r="J42" s="3165" t="s">
        <v>3505</v>
      </c>
      <c r="K42" s="3162" t="s">
        <v>3456</v>
      </c>
      <c r="L42" s="3162">
        <v>46.06</v>
      </c>
      <c r="M42" s="3164">
        <v>-1</v>
      </c>
      <c r="O42" s="3278"/>
      <c r="Q42" s="3280"/>
    </row>
    <row r="43" spans="1:17">
      <c r="A43" s="3164">
        <v>24</v>
      </c>
      <c r="B43" s="3162" t="s">
        <v>3602</v>
      </c>
      <c r="C43" s="3163" t="s">
        <v>3443</v>
      </c>
      <c r="D43" s="3162" t="s">
        <v>3421</v>
      </c>
      <c r="E43" s="3164">
        <v>575.5</v>
      </c>
      <c r="F43" s="3163" t="s">
        <v>3435</v>
      </c>
      <c r="H43" s="3164">
        <v>24</v>
      </c>
      <c r="I43" s="3162" t="s">
        <v>3629</v>
      </c>
      <c r="J43" s="3165" t="s">
        <v>3506</v>
      </c>
      <c r="K43" s="3162" t="s">
        <v>3456</v>
      </c>
      <c r="L43" s="3162">
        <v>46.06</v>
      </c>
      <c r="M43" s="3164">
        <v>-1</v>
      </c>
      <c r="O43" s="3278"/>
      <c r="Q43" s="3280"/>
    </row>
    <row r="44" spans="1:17">
      <c r="A44" s="3164">
        <v>25</v>
      </c>
      <c r="B44" s="3162" t="s">
        <v>3603</v>
      </c>
      <c r="C44" s="3163" t="s">
        <v>3434</v>
      </c>
      <c r="D44" s="3162" t="s">
        <v>3421</v>
      </c>
      <c r="E44" s="3164">
        <v>331.82</v>
      </c>
      <c r="F44" s="3163" t="s">
        <v>3435</v>
      </c>
      <c r="H44" s="3164">
        <v>25</v>
      </c>
      <c r="I44" s="3162" t="s">
        <v>3630</v>
      </c>
      <c r="J44" s="3165" t="s">
        <v>3507</v>
      </c>
      <c r="K44" s="3162" t="s">
        <v>3456</v>
      </c>
      <c r="L44" s="3162">
        <v>46.06</v>
      </c>
      <c r="M44" s="3164">
        <v>-1</v>
      </c>
      <c r="O44" s="3278"/>
      <c r="Q44" s="3280"/>
    </row>
    <row r="45" spans="1:17">
      <c r="A45" s="3164"/>
      <c r="B45" s="3164"/>
      <c r="C45" s="3164"/>
      <c r="D45" s="3164"/>
      <c r="E45" s="3164">
        <f>SUM(E20:E44)</f>
        <v>92013.62000000001</v>
      </c>
      <c r="F45" s="3164"/>
      <c r="H45" s="3164">
        <v>26</v>
      </c>
      <c r="I45" s="3162" t="s">
        <v>3631</v>
      </c>
      <c r="J45" s="3165" t="s">
        <v>3508</v>
      </c>
      <c r="K45" s="3162" t="s">
        <v>3456</v>
      </c>
      <c r="L45" s="3162">
        <v>46.06</v>
      </c>
      <c r="M45" s="3164">
        <v>-1</v>
      </c>
      <c r="Q45" s="3280"/>
    </row>
    <row r="46" spans="1:17">
      <c r="H46" s="3164">
        <v>27</v>
      </c>
      <c r="I46" s="3162" t="s">
        <v>3632</v>
      </c>
      <c r="J46" s="3165" t="s">
        <v>3509</v>
      </c>
      <c r="K46" s="3162" t="s">
        <v>3456</v>
      </c>
      <c r="L46" s="3162">
        <v>46.06</v>
      </c>
      <c r="M46" s="3164">
        <v>-1</v>
      </c>
      <c r="Q46" s="3280"/>
    </row>
    <row r="47" spans="1:17">
      <c r="B47" s="1405" t="s">
        <v>4301</v>
      </c>
      <c r="H47" s="3164">
        <v>28</v>
      </c>
      <c r="I47" s="3162" t="s">
        <v>3633</v>
      </c>
      <c r="J47" s="3165" t="s">
        <v>3510</v>
      </c>
      <c r="K47" s="3162" t="s">
        <v>3456</v>
      </c>
      <c r="L47" s="3162">
        <v>46.06</v>
      </c>
      <c r="M47" s="3164">
        <v>-1</v>
      </c>
      <c r="Q47" s="3280"/>
    </row>
    <row r="48" spans="1:17">
      <c r="H48" s="3164">
        <v>29</v>
      </c>
      <c r="I48" s="3162" t="s">
        <v>3634</v>
      </c>
      <c r="J48" s="3165" t="s">
        <v>3511</v>
      </c>
      <c r="K48" s="3162" t="s">
        <v>3456</v>
      </c>
      <c r="L48" s="3162">
        <v>46.06</v>
      </c>
      <c r="M48" s="3164">
        <v>-1</v>
      </c>
      <c r="Q48" s="3280"/>
    </row>
    <row r="49" spans="8:17">
      <c r="H49" s="3164">
        <v>30</v>
      </c>
      <c r="I49" s="3162" t="s">
        <v>3635</v>
      </c>
      <c r="J49" s="3165" t="s">
        <v>3512</v>
      </c>
      <c r="K49" s="3162" t="s">
        <v>3456</v>
      </c>
      <c r="L49" s="3162">
        <v>46.06</v>
      </c>
      <c r="M49" s="3164">
        <v>-1</v>
      </c>
      <c r="Q49" s="3280"/>
    </row>
    <row r="50" spans="8:17">
      <c r="H50" s="3164">
        <v>31</v>
      </c>
      <c r="I50" s="3162" t="s">
        <v>3636</v>
      </c>
      <c r="J50" s="3165" t="s">
        <v>3513</v>
      </c>
      <c r="K50" s="3162" t="s">
        <v>3456</v>
      </c>
      <c r="L50" s="3162">
        <v>46.06</v>
      </c>
      <c r="M50" s="3164">
        <v>-1</v>
      </c>
      <c r="Q50" s="3280"/>
    </row>
    <row r="51" spans="8:17">
      <c r="H51" s="3164">
        <v>32</v>
      </c>
      <c r="I51" s="3162" t="s">
        <v>3637</v>
      </c>
      <c r="J51" s="3165" t="s">
        <v>3514</v>
      </c>
      <c r="K51" s="3162" t="s">
        <v>3456</v>
      </c>
      <c r="L51" s="3162">
        <v>46.06</v>
      </c>
      <c r="M51" s="3164">
        <v>-1</v>
      </c>
      <c r="Q51" s="3280"/>
    </row>
    <row r="52" spans="8:17">
      <c r="H52" s="3164">
        <v>33</v>
      </c>
      <c r="I52" s="3162" t="s">
        <v>3638</v>
      </c>
      <c r="J52" s="3165" t="s">
        <v>3468</v>
      </c>
      <c r="K52" s="3164" t="str">
        <f>K30</f>
        <v>车位</v>
      </c>
      <c r="L52" s="3162">
        <v>163.04</v>
      </c>
      <c r="M52" s="3164">
        <v>-1</v>
      </c>
      <c r="Q52" s="3280"/>
    </row>
    <row r="53" spans="8:17">
      <c r="H53" s="3164">
        <v>34</v>
      </c>
      <c r="I53" s="3162" t="s">
        <v>3639</v>
      </c>
      <c r="J53" s="3165" t="s">
        <v>3469</v>
      </c>
      <c r="K53" s="3164" t="str">
        <f>K52</f>
        <v>车位</v>
      </c>
      <c r="L53" s="3162">
        <v>217.38</v>
      </c>
      <c r="M53" s="3164">
        <v>-1</v>
      </c>
      <c r="Q53" s="3280"/>
    </row>
    <row r="54" spans="8:17">
      <c r="H54" s="3164">
        <v>35</v>
      </c>
      <c r="I54" s="3162" t="s">
        <v>3640</v>
      </c>
      <c r="J54" s="3165" t="s">
        <v>3470</v>
      </c>
      <c r="K54" s="3162" t="s">
        <v>3463</v>
      </c>
      <c r="L54" s="3162">
        <v>217.38</v>
      </c>
      <c r="M54" s="3164">
        <v>-1</v>
      </c>
      <c r="Q54" s="3280"/>
    </row>
    <row r="55" spans="8:17">
      <c r="H55" s="3164">
        <v>36</v>
      </c>
      <c r="I55" s="3162" t="s">
        <v>3641</v>
      </c>
      <c r="J55" s="3165" t="s">
        <v>3515</v>
      </c>
      <c r="K55" s="3162" t="s">
        <v>3456</v>
      </c>
      <c r="L55" s="3162">
        <v>46.06</v>
      </c>
      <c r="M55" s="3164">
        <v>-1</v>
      </c>
      <c r="Q55" s="3280"/>
    </row>
    <row r="56" spans="8:17">
      <c r="H56" s="3164">
        <v>37</v>
      </c>
      <c r="I56" s="3162" t="s">
        <v>3642</v>
      </c>
      <c r="J56" s="3165" t="s">
        <v>3471</v>
      </c>
      <c r="K56" s="3162" t="s">
        <v>3456</v>
      </c>
      <c r="L56" s="3162">
        <v>1153.74</v>
      </c>
      <c r="M56" s="3164">
        <v>-1</v>
      </c>
      <c r="Q56" s="3280"/>
    </row>
    <row r="57" spans="8:17">
      <c r="H57" s="3164">
        <v>38</v>
      </c>
      <c r="I57" s="3162" t="s">
        <v>3643</v>
      </c>
      <c r="J57" s="3165" t="s">
        <v>3472</v>
      </c>
      <c r="K57" s="3162" t="s">
        <v>3456</v>
      </c>
      <c r="L57" s="3162">
        <v>1513.75</v>
      </c>
      <c r="M57" s="3164">
        <v>-2</v>
      </c>
      <c r="Q57" s="3280"/>
    </row>
    <row r="58" spans="8:17">
      <c r="H58" s="3164">
        <v>39</v>
      </c>
      <c r="I58" s="3162" t="s">
        <v>3644</v>
      </c>
      <c r="J58" s="3165" t="s">
        <v>3516</v>
      </c>
      <c r="K58" s="3162" t="s">
        <v>3463</v>
      </c>
      <c r="L58" s="3162">
        <v>5543.31</v>
      </c>
      <c r="M58" s="3164">
        <v>-2</v>
      </c>
      <c r="Q58" s="3280"/>
    </row>
    <row r="59" spans="8:17">
      <c r="H59" s="3164">
        <v>40</v>
      </c>
      <c r="I59" s="3162" t="s">
        <v>3645</v>
      </c>
      <c r="J59" s="3165" t="s">
        <v>3473</v>
      </c>
      <c r="K59" s="3162" t="s">
        <v>3456</v>
      </c>
      <c r="L59" s="3162">
        <v>73.23</v>
      </c>
      <c r="M59" s="3164">
        <v>-3</v>
      </c>
      <c r="Q59" s="3280"/>
    </row>
    <row r="60" spans="8:17">
      <c r="H60" s="3164">
        <v>41</v>
      </c>
      <c r="I60" s="3162" t="s">
        <v>3646</v>
      </c>
      <c r="J60" s="3165" t="s">
        <v>3474</v>
      </c>
      <c r="K60" s="3162" t="s">
        <v>3456</v>
      </c>
      <c r="L60" s="3162">
        <v>73.23</v>
      </c>
      <c r="M60" s="3164">
        <v>-3</v>
      </c>
      <c r="Q60" s="3280"/>
    </row>
    <row r="61" spans="8:17">
      <c r="H61" s="3164">
        <v>42</v>
      </c>
      <c r="I61" s="3162" t="s">
        <v>3647</v>
      </c>
      <c r="J61" s="3165" t="s">
        <v>3475</v>
      </c>
      <c r="K61" s="3162" t="s">
        <v>3456</v>
      </c>
      <c r="L61" s="3162">
        <v>48.82</v>
      </c>
      <c r="M61" s="3164">
        <v>-3</v>
      </c>
      <c r="Q61" s="3280"/>
    </row>
    <row r="62" spans="8:17">
      <c r="H62" s="3164">
        <v>43</v>
      </c>
      <c r="I62" s="3162" t="s">
        <v>3648</v>
      </c>
      <c r="J62" s="3165" t="s">
        <v>3476</v>
      </c>
      <c r="K62" s="3162" t="s">
        <v>3456</v>
      </c>
      <c r="L62" s="3162">
        <v>48.82</v>
      </c>
      <c r="M62" s="3164">
        <v>-3</v>
      </c>
      <c r="Q62" s="3280"/>
    </row>
    <row r="63" spans="8:17">
      <c r="H63" s="3164">
        <v>44</v>
      </c>
      <c r="I63" s="3162" t="s">
        <v>3649</v>
      </c>
      <c r="J63" s="3165" t="s">
        <v>3477</v>
      </c>
      <c r="K63" s="3162" t="s">
        <v>3456</v>
      </c>
      <c r="L63" s="3162">
        <v>48.82</v>
      </c>
      <c r="M63" s="3164">
        <v>-3</v>
      </c>
      <c r="Q63" s="3280"/>
    </row>
    <row r="64" spans="8:17">
      <c r="H64" s="3164">
        <v>45</v>
      </c>
      <c r="I64" s="3162" t="s">
        <v>3650</v>
      </c>
      <c r="J64" s="3165" t="s">
        <v>3478</v>
      </c>
      <c r="K64" s="3162" t="s">
        <v>3456</v>
      </c>
      <c r="L64" s="3162">
        <v>48.82</v>
      </c>
      <c r="M64" s="3164">
        <v>-3</v>
      </c>
      <c r="Q64" s="3280"/>
    </row>
    <row r="65" spans="2:17">
      <c r="H65" s="3164">
        <v>46</v>
      </c>
      <c r="I65" s="3162" t="s">
        <v>3651</v>
      </c>
      <c r="J65" s="3165" t="s">
        <v>3479</v>
      </c>
      <c r="K65" s="3162" t="s">
        <v>3456</v>
      </c>
      <c r="L65" s="3162">
        <v>48.82</v>
      </c>
      <c r="M65" s="3164">
        <v>-3</v>
      </c>
      <c r="Q65" s="3280"/>
    </row>
    <row r="66" spans="2:17">
      <c r="H66" s="3164">
        <v>47</v>
      </c>
      <c r="I66" s="3162" t="s">
        <v>3652</v>
      </c>
      <c r="J66" s="3165" t="s">
        <v>3480</v>
      </c>
      <c r="K66" s="3162" t="s">
        <v>3456</v>
      </c>
      <c r="L66" s="3162">
        <v>48.82</v>
      </c>
      <c r="M66" s="3164">
        <v>-3</v>
      </c>
      <c r="Q66" s="3280"/>
    </row>
    <row r="67" spans="2:17">
      <c r="H67" s="3164">
        <v>48</v>
      </c>
      <c r="I67" s="3162" t="s">
        <v>3653</v>
      </c>
      <c r="J67" s="3165" t="s">
        <v>3481</v>
      </c>
      <c r="K67" s="3162" t="s">
        <v>3456</v>
      </c>
      <c r="L67" s="3162">
        <v>48.82</v>
      </c>
      <c r="M67" s="3164">
        <v>-3</v>
      </c>
      <c r="Q67" s="3280"/>
    </row>
    <row r="68" spans="2:17">
      <c r="H68" s="3164">
        <v>49</v>
      </c>
      <c r="I68" s="3162" t="s">
        <v>3654</v>
      </c>
      <c r="J68" s="3165" t="s">
        <v>3482</v>
      </c>
      <c r="K68" s="3162" t="s">
        <v>3456</v>
      </c>
      <c r="L68" s="3162">
        <v>48.82</v>
      </c>
      <c r="M68" s="3164">
        <v>-3</v>
      </c>
      <c r="Q68" s="3280"/>
    </row>
    <row r="69" spans="2:17">
      <c r="H69" s="3164">
        <v>50</v>
      </c>
      <c r="I69" s="3162" t="s">
        <v>3655</v>
      </c>
      <c r="J69" s="3165" t="s">
        <v>3483</v>
      </c>
      <c r="K69" s="3162" t="s">
        <v>3456</v>
      </c>
      <c r="L69" s="3162">
        <v>48.82</v>
      </c>
      <c r="M69" s="3164">
        <v>-3</v>
      </c>
      <c r="Q69" s="3280"/>
    </row>
    <row r="70" spans="2:17">
      <c r="B70" s="1405" t="s">
        <v>4302</v>
      </c>
      <c r="H70" s="3164">
        <v>51</v>
      </c>
      <c r="I70" s="3162" t="s">
        <v>3656</v>
      </c>
      <c r="J70" s="3165" t="s">
        <v>3484</v>
      </c>
      <c r="K70" s="3162" t="s">
        <v>3456</v>
      </c>
      <c r="L70" s="3162">
        <v>48.82</v>
      </c>
      <c r="M70" s="3164">
        <v>-3</v>
      </c>
      <c r="Q70" s="3280"/>
    </row>
    <row r="71" spans="2:17">
      <c r="H71" s="3164">
        <v>52</v>
      </c>
      <c r="I71" s="3162" t="s">
        <v>3657</v>
      </c>
      <c r="J71" s="3165" t="s">
        <v>3485</v>
      </c>
      <c r="K71" s="3162" t="s">
        <v>3456</v>
      </c>
      <c r="L71" s="3162">
        <v>48.82</v>
      </c>
      <c r="M71" s="3164">
        <v>-3</v>
      </c>
      <c r="Q71" s="3280"/>
    </row>
    <row r="72" spans="2:17">
      <c r="H72" s="3164">
        <v>53</v>
      </c>
      <c r="I72" s="3164" t="s">
        <v>3605</v>
      </c>
      <c r="J72" s="3165" t="s">
        <v>3486</v>
      </c>
      <c r="K72" s="3162" t="s">
        <v>3456</v>
      </c>
      <c r="L72" s="3162">
        <v>48.82</v>
      </c>
      <c r="M72" s="3164">
        <v>-3</v>
      </c>
      <c r="Q72" s="3280"/>
    </row>
    <row r="73" spans="2:17">
      <c r="H73" s="3164">
        <v>54</v>
      </c>
      <c r="I73" s="3162" t="s">
        <v>3658</v>
      </c>
      <c r="J73" s="3165" t="s">
        <v>3487</v>
      </c>
      <c r="K73" s="3162" t="s">
        <v>3456</v>
      </c>
      <c r="L73" s="3162">
        <v>48.82</v>
      </c>
      <c r="M73" s="3164">
        <v>-3</v>
      </c>
      <c r="Q73" s="3280"/>
    </row>
    <row r="74" spans="2:17">
      <c r="H74" s="3164">
        <v>55</v>
      </c>
      <c r="I74" s="3162" t="s">
        <v>3659</v>
      </c>
      <c r="J74" s="3165" t="s">
        <v>3488</v>
      </c>
      <c r="K74" s="3162" t="s">
        <v>3456</v>
      </c>
      <c r="L74" s="3162">
        <v>48.82</v>
      </c>
      <c r="M74" s="3164">
        <v>-3</v>
      </c>
      <c r="Q74" s="3280"/>
    </row>
    <row r="75" spans="2:17">
      <c r="H75" s="3164">
        <v>56</v>
      </c>
      <c r="I75" s="3162" t="s">
        <v>3660</v>
      </c>
      <c r="J75" s="3165" t="s">
        <v>3489</v>
      </c>
      <c r="K75" s="3162" t="s">
        <v>3456</v>
      </c>
      <c r="L75" s="3162">
        <v>48.82</v>
      </c>
      <c r="M75" s="3164">
        <v>-3</v>
      </c>
      <c r="Q75" s="3280"/>
    </row>
    <row r="76" spans="2:17">
      <c r="H76" s="3164">
        <v>57</v>
      </c>
      <c r="I76" s="3162" t="s">
        <v>3661</v>
      </c>
      <c r="J76" s="3165" t="s">
        <v>3490</v>
      </c>
      <c r="K76" s="3162" t="s">
        <v>3456</v>
      </c>
      <c r="L76" s="3162">
        <v>73.23</v>
      </c>
      <c r="M76" s="3164">
        <v>-3</v>
      </c>
      <c r="Q76" s="3280"/>
    </row>
    <row r="77" spans="2:17">
      <c r="H77" s="3164">
        <v>58</v>
      </c>
      <c r="I77" s="3162" t="s">
        <v>3662</v>
      </c>
      <c r="J77" s="3165" t="s">
        <v>3491</v>
      </c>
      <c r="K77" s="3162" t="s">
        <v>3456</v>
      </c>
      <c r="L77" s="3162">
        <v>73.23</v>
      </c>
      <c r="M77" s="3164">
        <v>-3</v>
      </c>
      <c r="Q77" s="3280"/>
    </row>
    <row r="78" spans="2:17">
      <c r="H78" s="3164">
        <v>59</v>
      </c>
      <c r="I78" s="3162" t="s">
        <v>3663</v>
      </c>
      <c r="J78" s="3165" t="s">
        <v>3492</v>
      </c>
      <c r="K78" s="3162" t="s">
        <v>3456</v>
      </c>
      <c r="L78" s="3162">
        <v>73.23</v>
      </c>
      <c r="M78" s="3164">
        <v>-3</v>
      </c>
      <c r="Q78" s="3280"/>
    </row>
    <row r="79" spans="2:17">
      <c r="H79" s="3164">
        <v>60</v>
      </c>
      <c r="I79" s="3162" t="s">
        <v>3664</v>
      </c>
      <c r="J79" s="3165" t="s">
        <v>3493</v>
      </c>
      <c r="K79" s="3162" t="s">
        <v>3456</v>
      </c>
      <c r="L79" s="3162">
        <v>48.44</v>
      </c>
      <c r="M79" s="3164">
        <v>-3</v>
      </c>
      <c r="Q79" s="3281"/>
    </row>
    <row r="80" spans="2:17">
      <c r="H80" s="3164"/>
      <c r="I80" s="3164"/>
      <c r="J80" s="3164"/>
      <c r="K80" s="3164"/>
      <c r="L80" s="3164">
        <f>SUM(L20:L79)</f>
        <v>11876.309999999992</v>
      </c>
      <c r="M80" s="3164"/>
      <c r="Q80" s="3164"/>
    </row>
  </sheetData>
  <mergeCells count="2">
    <mergeCell ref="O20:O44"/>
    <mergeCell ref="Q20:Q79"/>
  </mergeCells>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6"/>
  <sheetViews>
    <sheetView view="pageBreakPreview" zoomScale="85" zoomScaleNormal="100" zoomScaleSheetLayoutView="85" workbookViewId="0">
      <selection activeCell="G40" sqref="G4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1" t="s">
        <v>1131</v>
      </c>
      <c r="B2" s="3291"/>
      <c r="C2" s="3291"/>
      <c r="D2" s="748" t="s">
        <v>1107</v>
      </c>
      <c r="E2" s="1523" t="s">
        <v>1108</v>
      </c>
      <c r="F2" s="2439"/>
      <c r="G2" s="2432"/>
      <c r="H2" s="2433"/>
      <c r="I2" s="2146" t="s">
        <v>1132</v>
      </c>
      <c r="J2" s="2439"/>
      <c r="K2" s="2439"/>
      <c r="L2" s="2439"/>
      <c r="M2" s="2439"/>
      <c r="N2" s="2440"/>
      <c r="O2" s="2439"/>
      <c r="P2" s="2439"/>
    </row>
    <row r="3" spans="1:16" ht="15.75" thickBot="1">
      <c r="A3" s="3292" t="s">
        <v>1105</v>
      </c>
      <c r="B3" s="3292"/>
      <c r="C3" s="3292"/>
      <c r="D3" s="41">
        <f>'数据-基础表'!AY6</f>
        <v>0</v>
      </c>
      <c r="E3" s="41">
        <f>'数据-基础表'!AZ5</f>
        <v>103889.93000000002</v>
      </c>
      <c r="F3" s="2439"/>
      <c r="G3" s="42"/>
      <c r="H3" s="43" t="s">
        <v>1106</v>
      </c>
      <c r="I3" s="802" t="e">
        <f>ROUND('数据-基础表'!B3/'数据-基础表'!A3,2)</f>
        <v>#DIV/0!</v>
      </c>
      <c r="J3" s="2439"/>
      <c r="K3" s="2439"/>
      <c r="L3" s="2439"/>
      <c r="M3" s="2439"/>
      <c r="N3" s="2440"/>
      <c r="O3" s="2439"/>
      <c r="P3" s="2439"/>
    </row>
    <row r="4" spans="1:16" ht="15">
      <c r="A4" s="3293"/>
      <c r="B4" s="3294"/>
      <c r="C4" s="3295"/>
      <c r="D4" s="1524" t="s">
        <v>1107</v>
      </c>
      <c r="E4" s="1525" t="s">
        <v>1108</v>
      </c>
      <c r="F4" s="2439"/>
      <c r="G4" s="2434" t="s">
        <v>1133</v>
      </c>
      <c r="H4" s="43" t="s">
        <v>1113</v>
      </c>
      <c r="I4" s="802" t="e">
        <f>ROUND(SUMIF('数据-基础表'!I9:AS9,"地上",'数据-基础表'!I5:AS5)/'数据-基础表'!A3,2)</f>
        <v>#DIV/0!</v>
      </c>
      <c r="J4" s="2439"/>
      <c r="K4" s="2439"/>
      <c r="L4" s="2439"/>
      <c r="M4" s="2439"/>
      <c r="N4" s="2440"/>
      <c r="O4" s="2439"/>
      <c r="P4" s="2439"/>
    </row>
    <row r="5" spans="1:16">
      <c r="A5" s="42" t="s">
        <v>1109</v>
      </c>
      <c r="B5" s="3296" t="s">
        <v>1110</v>
      </c>
      <c r="C5" s="3296"/>
      <c r="D5" s="43">
        <f>ROUND($D$3*E5/$E$3,2)</f>
        <v>0</v>
      </c>
      <c r="E5" s="44">
        <f>SUMIF('数据-基础表'!$11:$11,"住宅",'数据-基础表'!$5:$5)</f>
        <v>0</v>
      </c>
      <c r="F5" s="2439"/>
      <c r="G5" s="42"/>
      <c r="H5" s="43" t="s">
        <v>1106</v>
      </c>
      <c r="I5" s="802" t="e">
        <f>ROUND(E31/D31,2)</f>
        <v>#DIV/0!</v>
      </c>
      <c r="J5" s="2439"/>
      <c r="K5" s="2439"/>
      <c r="L5" s="2439"/>
      <c r="M5" s="2439"/>
      <c r="N5" s="2439"/>
      <c r="O5" s="2439"/>
      <c r="P5" s="2439"/>
    </row>
    <row r="6" spans="1:16" ht="15" thickBot="1">
      <c r="A6" s="1527"/>
      <c r="B6" s="3296" t="s">
        <v>1111</v>
      </c>
      <c r="C6" s="3296"/>
      <c r="D6" s="43">
        <f>ROUND($D$3*E6/$E$3,2)</f>
        <v>0</v>
      </c>
      <c r="E6" s="44">
        <f>E3-E5</f>
        <v>103889.93000000002</v>
      </c>
      <c r="F6" s="2439"/>
      <c r="G6" s="1529" t="s">
        <v>1112</v>
      </c>
      <c r="H6" s="45" t="s">
        <v>1113</v>
      </c>
      <c r="I6" s="2435" t="e">
        <f>ROUND(F31/D31,2)</f>
        <v>#DIV/0!</v>
      </c>
      <c r="J6" s="2439"/>
      <c r="K6" s="2439"/>
      <c r="L6" s="2439"/>
      <c r="M6" s="2439"/>
      <c r="N6" s="2439"/>
      <c r="O6" s="2439"/>
      <c r="P6" s="2439"/>
    </row>
    <row r="7" spans="1:16" ht="15.75" thickBot="1">
      <c r="A7" s="3288"/>
      <c r="B7" s="3289"/>
      <c r="C7" s="3290"/>
      <c r="D7" s="1524" t="s">
        <v>1107</v>
      </c>
      <c r="E7" s="1528" t="s">
        <v>1114</v>
      </c>
      <c r="F7" s="2439"/>
      <c r="G7" s="2436" t="s">
        <v>1115</v>
      </c>
      <c r="H7" s="95"/>
      <c r="I7" s="2437">
        <v>5</v>
      </c>
      <c r="J7" s="2439"/>
      <c r="K7" s="2439"/>
      <c r="L7" s="2439"/>
      <c r="M7" s="2439"/>
      <c r="N7" s="2439"/>
      <c r="O7" s="2439"/>
      <c r="P7" s="2439"/>
    </row>
    <row r="8" spans="1:16">
      <c r="A8" s="42" t="s">
        <v>1116</v>
      </c>
      <c r="B8" s="45" t="s">
        <v>1117</v>
      </c>
      <c r="C8" s="43" t="s">
        <v>1118</v>
      </c>
      <c r="D8" s="43">
        <f t="shared" ref="D8:D15" si="0">ROUND($D$3*E8/$E$3,2)</f>
        <v>0</v>
      </c>
      <c r="E8" s="46">
        <f>SUMIF('数据-基础表'!BB10:BK10,"地上",'数据-基础表'!BB5:BK5)</f>
        <v>67424.870000000024</v>
      </c>
      <c r="F8" s="2439"/>
      <c r="G8" s="2439"/>
      <c r="H8" s="2439"/>
      <c r="I8" s="2439"/>
      <c r="J8" s="2439"/>
      <c r="K8" s="2439"/>
      <c r="L8" s="2439"/>
      <c r="M8" s="2439"/>
      <c r="N8" s="2439"/>
      <c r="O8" s="2439"/>
      <c r="P8" s="2439"/>
    </row>
    <row r="9" spans="1:16">
      <c r="A9" s="1529"/>
      <c r="B9" s="1530"/>
      <c r="C9" s="43" t="s">
        <v>1119</v>
      </c>
      <c r="D9" s="43">
        <f t="shared" si="0"/>
        <v>0</v>
      </c>
      <c r="E9" s="47">
        <v>0</v>
      </c>
      <c r="F9" s="2439"/>
      <c r="G9" s="2439"/>
      <c r="H9" s="2439"/>
      <c r="I9" s="2439"/>
      <c r="J9" s="2439"/>
      <c r="K9" s="2439"/>
      <c r="L9" s="2439"/>
      <c r="M9" s="2439"/>
      <c r="N9" s="2439"/>
      <c r="O9" s="2439"/>
      <c r="P9" s="2439"/>
    </row>
    <row r="10" spans="1:16">
      <c r="A10" s="1529"/>
      <c r="B10" s="1530"/>
      <c r="C10" s="43" t="s">
        <v>1128</v>
      </c>
      <c r="D10" s="43">
        <f t="shared" si="0"/>
        <v>0</v>
      </c>
      <c r="E10" s="46">
        <f>SUMPRODUCT(('数据-基础表'!BB10:BK10="地下")*('数据-基础表'!BB11:BK11="商业")*('数据-基础表'!BB5:BK5))</f>
        <v>24588.75</v>
      </c>
      <c r="F10" s="2439"/>
      <c r="G10" s="2439"/>
      <c r="H10" s="2439"/>
      <c r="I10" s="2439"/>
      <c r="J10" s="2439"/>
      <c r="K10" s="2439"/>
      <c r="L10" s="2439"/>
      <c r="M10" s="2439"/>
      <c r="N10" s="2439"/>
      <c r="O10" s="2439"/>
      <c r="P10" s="2439"/>
    </row>
    <row r="11" spans="1:16">
      <c r="A11" s="1529"/>
      <c r="B11" s="1530"/>
      <c r="C11" s="43" t="s">
        <v>1120</v>
      </c>
      <c r="D11" s="43">
        <f t="shared" si="0"/>
        <v>0</v>
      </c>
      <c r="E11" s="46">
        <f>SUMPRODUCT(('数据-基础表'!BB10:BK10="地下")*('数据-基础表'!BB11:BK11="办公")*('数据-基础表'!BB5:BK5))+'数据-基础表'!BP5</f>
        <v>0</v>
      </c>
      <c r="F11" s="2439"/>
      <c r="G11" s="2439"/>
      <c r="H11" s="2439"/>
      <c r="I11" s="2439"/>
      <c r="J11" s="2439"/>
      <c r="K11" s="2439"/>
      <c r="L11" s="2439"/>
      <c r="M11" s="2439"/>
      <c r="N11" s="2439"/>
      <c r="O11" s="2439"/>
      <c r="P11" s="2439"/>
    </row>
    <row r="12" spans="1:16">
      <c r="A12" s="1529"/>
      <c r="B12" s="1530"/>
      <c r="C12" s="43" t="s">
        <v>1121</v>
      </c>
      <c r="D12" s="43">
        <f t="shared" si="0"/>
        <v>0</v>
      </c>
      <c r="E12" s="46">
        <f>SUMPRODUCT(('数据-基础表'!BB10:BK10="地下")*('数据-基础表'!BB11:BK11="仓储")*('数据-基础表'!BB5:BK5))</f>
        <v>0</v>
      </c>
      <c r="F12" s="2439"/>
      <c r="G12" s="2439"/>
      <c r="H12" s="2439"/>
      <c r="I12" s="2439"/>
      <c r="J12" s="2439"/>
      <c r="K12" s="2439"/>
      <c r="L12" s="2439"/>
      <c r="M12" s="2439"/>
      <c r="N12" s="2439"/>
      <c r="O12" s="2439"/>
      <c r="P12" s="2439"/>
    </row>
    <row r="13" spans="1:16">
      <c r="A13" s="1529"/>
      <c r="B13" s="1530"/>
      <c r="C13" s="43" t="s">
        <v>1122</v>
      </c>
      <c r="D13" s="43">
        <f t="shared" si="0"/>
        <v>0</v>
      </c>
      <c r="E13" s="46">
        <f>SUMPRODUCT(('数据-基础表'!BB10:BK10="地下")*('数据-基础表'!BB11:BK11="车库")*('数据-基础表'!BB5:BK5))</f>
        <v>0</v>
      </c>
      <c r="F13" s="2439"/>
      <c r="G13" s="2439"/>
      <c r="H13" s="2439"/>
      <c r="I13" s="2439"/>
      <c r="J13" s="2439"/>
      <c r="K13" s="2439"/>
      <c r="L13" s="2439"/>
      <c r="M13" s="2439"/>
      <c r="N13" s="2439"/>
      <c r="O13" s="2439"/>
      <c r="P13" s="2439"/>
    </row>
    <row r="14" spans="1:16">
      <c r="A14" s="1529"/>
      <c r="B14" s="1530"/>
      <c r="C14" s="43" t="s">
        <v>1134</v>
      </c>
      <c r="D14" s="43">
        <f t="shared" si="0"/>
        <v>0</v>
      </c>
      <c r="E14" s="46">
        <f>SUMPRODUCT(('数据-基础表'!BB10:BK10="地下")*('数据-基础表'!BB11:BK11="车库—商业")*('数据-基础表'!BB5:BK5))</f>
        <v>11876.309999999992</v>
      </c>
      <c r="F14" s="2439"/>
      <c r="G14" s="2439"/>
      <c r="H14" s="2439"/>
      <c r="I14" s="2439"/>
      <c r="J14" s="2439"/>
      <c r="K14" s="2439"/>
      <c r="L14" s="2439"/>
      <c r="M14" s="2439"/>
      <c r="N14" s="2439"/>
      <c r="O14" s="2439"/>
      <c r="P14" s="2439"/>
    </row>
    <row r="15" spans="1:16" ht="15" thickBot="1">
      <c r="A15" s="1529"/>
      <c r="B15" s="1530"/>
      <c r="C15" s="43" t="s">
        <v>1129</v>
      </c>
      <c r="D15" s="43">
        <f t="shared" si="0"/>
        <v>0</v>
      </c>
      <c r="E15" s="46">
        <f>SUMPRODUCT(('数据-基础表'!BB10:BK10="地下")*('数据-基础表'!BB11:BK11="车库—办公")*('数据-基础表'!BB5:BK5))</f>
        <v>0</v>
      </c>
      <c r="F15" s="2439"/>
      <c r="G15" s="2439"/>
      <c r="H15" s="2439"/>
      <c r="I15" s="2439"/>
      <c r="J15" s="2439"/>
      <c r="K15" s="2439"/>
      <c r="L15" s="2439"/>
      <c r="M15" s="2439"/>
      <c r="N15" s="2439"/>
      <c r="O15" s="2439"/>
      <c r="P15" s="2439"/>
    </row>
    <row r="16" spans="1:16" ht="15.75" thickBot="1">
      <c r="A16" s="1527"/>
      <c r="B16" s="1530"/>
      <c r="C16" s="45" t="s">
        <v>1123</v>
      </c>
      <c r="D16" s="45">
        <f>SUM(D8:D15)</f>
        <v>0</v>
      </c>
      <c r="E16" s="48">
        <f>SUM(E8:E15)</f>
        <v>103889.93000000002</v>
      </c>
      <c r="F16" s="2439"/>
      <c r="G16" s="2439"/>
      <c r="H16" s="1531" t="s">
        <v>1135</v>
      </c>
      <c r="I16" s="1532"/>
      <c r="J16" s="1071"/>
      <c r="K16" s="3285" t="s">
        <v>1135</v>
      </c>
      <c r="L16" s="3286"/>
      <c r="M16" s="3286"/>
      <c r="N16" s="3286"/>
      <c r="O16" s="3286"/>
      <c r="P16" s="3287"/>
    </row>
    <row r="17" spans="1:19" ht="15">
      <c r="A17" s="1533" t="s">
        <v>1136</v>
      </c>
      <c r="B17" s="1534" t="s">
        <v>1137</v>
      </c>
      <c r="C17" s="1535" t="s">
        <v>1138</v>
      </c>
      <c r="D17" s="1536" t="s">
        <v>1126</v>
      </c>
      <c r="E17" s="1537" t="s">
        <v>1127</v>
      </c>
      <c r="F17" s="1538"/>
      <c r="G17" s="1539"/>
      <c r="H17" s="1540" t="s">
        <v>1139</v>
      </c>
      <c r="I17" s="1541" t="s">
        <v>1124</v>
      </c>
      <c r="J17" s="1071"/>
      <c r="K17" s="3282" t="s">
        <v>1140</v>
      </c>
      <c r="L17" s="3283"/>
      <c r="M17" s="3284"/>
      <c r="N17" s="3282" t="s">
        <v>1141</v>
      </c>
      <c r="O17" s="3283"/>
      <c r="P17" s="3284"/>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龙湖天街</v>
      </c>
      <c r="D19" s="43">
        <f>ROUND($D$3*E19/$E$3,2)</f>
        <v>0</v>
      </c>
      <c r="E19" s="51">
        <f t="shared" ref="E19:E26" si="1">SUM(F19:G19)</f>
        <v>103889.93000000002</v>
      </c>
      <c r="F19" s="2557">
        <f>'数据-基础表'!I13</f>
        <v>67424.870000000024</v>
      </c>
      <c r="G19" s="1243">
        <f>'数据-基础表'!K13+'数据-基础表'!M13</f>
        <v>36465.05999999999</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103889.93000000002</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103889.93000000002</v>
      </c>
      <c r="F27" s="1072">
        <f>IF(SUM(F19:F26)=E8,SUM(F19:F26),"地上面积有误")</f>
        <v>67424.870000000024</v>
      </c>
      <c r="G27" s="1074">
        <f>SUM(G19:G26)</f>
        <v>36465.05999999999</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103889.93000000002</v>
      </c>
    </row>
    <row r="28" spans="1:19">
      <c r="A28" s="1549"/>
      <c r="B28" s="45" t="s">
        <v>1155</v>
      </c>
      <c r="C28" s="54" t="s">
        <v>1156</v>
      </c>
      <c r="D28" s="43">
        <f>ROUND($D$3*E28/$E$3,2)</f>
        <v>0</v>
      </c>
      <c r="E28" s="51">
        <f>SUM(F28:G28)</f>
        <v>0</v>
      </c>
      <c r="F28" s="54">
        <f>'数据-基础表'!BQ5+'数据-基础表'!BS5</f>
        <v>0</v>
      </c>
      <c r="G28" s="55">
        <f>'数据-基础表'!BR5+'数据-基础表'!BT5</f>
        <v>0</v>
      </c>
      <c r="H28" s="2439"/>
      <c r="I28" s="2439"/>
      <c r="J28" s="2439"/>
      <c r="K28" s="2439"/>
      <c r="L28" s="2439"/>
      <c r="M28" s="2439"/>
      <c r="N28" s="2439"/>
      <c r="O28" s="2439"/>
      <c r="P28" s="2439"/>
    </row>
    <row r="29" spans="1:19">
      <c r="A29" s="1549"/>
      <c r="B29" s="45" t="s">
        <v>1155</v>
      </c>
      <c r="C29" s="1555" t="s">
        <v>1157</v>
      </c>
      <c r="D29" s="43">
        <f>ROUND($D$3*E29/$E$3,2)</f>
        <v>0</v>
      </c>
      <c r="E29" s="51">
        <f>SUM(F29:G29)</f>
        <v>0</v>
      </c>
      <c r="F29" s="56">
        <f>'数据-基础表'!BM5+'数据-基础表'!BO5</f>
        <v>0</v>
      </c>
      <c r="G29" s="48">
        <f>'数据-基础表'!BN5+'数据-基础表'!BP5</f>
        <v>0</v>
      </c>
      <c r="H29" s="2439"/>
      <c r="I29" s="2439"/>
      <c r="J29" s="2439"/>
      <c r="K29" s="2439"/>
      <c r="L29" s="2439"/>
      <c r="M29" s="2439"/>
      <c r="N29" s="2439"/>
      <c r="O29" s="2439"/>
      <c r="P29" s="2439"/>
    </row>
    <row r="30" spans="1:19" ht="15">
      <c r="A30" s="1549"/>
      <c r="B30" s="45"/>
      <c r="C30" s="1556" t="s">
        <v>1154</v>
      </c>
      <c r="D30" s="1072">
        <f>SUM(D28:D29)</f>
        <v>0</v>
      </c>
      <c r="E30" s="1072">
        <f>SUM(E28:E29)</f>
        <v>0</v>
      </c>
      <c r="F30" s="1072">
        <f>SUM(F28:F29)</f>
        <v>0</v>
      </c>
      <c r="G30" s="1074">
        <f>SUM(G28:G29)</f>
        <v>0</v>
      </c>
      <c r="H30" s="2439"/>
      <c r="I30" s="2439"/>
      <c r="J30" s="2439"/>
      <c r="K30" s="2439"/>
      <c r="L30" s="2439"/>
      <c r="M30" s="2439"/>
      <c r="N30" s="2439"/>
      <c r="O30" s="2439"/>
      <c r="P30" s="2439"/>
    </row>
    <row r="31" spans="1:19" ht="15.75" thickBot="1">
      <c r="A31" s="1557"/>
      <c r="B31" s="96"/>
      <c r="C31" s="785" t="s">
        <v>1158</v>
      </c>
      <c r="D31" s="643">
        <f>D27+D30</f>
        <v>0</v>
      </c>
      <c r="E31" s="643">
        <f>E27+E30</f>
        <v>103889.93000000002</v>
      </c>
      <c r="F31" s="644">
        <f>F27+F30</f>
        <v>67424.870000000024</v>
      </c>
      <c r="G31" s="645">
        <f>G27+G30</f>
        <v>36465.05999999999</v>
      </c>
      <c r="H31" s="2439"/>
      <c r="I31" s="2439"/>
      <c r="J31" s="2439"/>
      <c r="K31" s="2439"/>
      <c r="L31" s="2439"/>
      <c r="M31" s="2439"/>
      <c r="N31" s="2439"/>
      <c r="O31" s="2439"/>
      <c r="P31" s="2439"/>
    </row>
    <row r="32" spans="1:19">
      <c r="A32" s="1526"/>
      <c r="B32" s="1526" t="s">
        <v>1159</v>
      </c>
      <c r="C32" s="1526"/>
      <c r="D32" s="1526"/>
      <c r="E32" s="990">
        <f>SUMIF(C19:C26,"*住宅*",E19:E26)</f>
        <v>0</v>
      </c>
      <c r="F32" s="1526"/>
      <c r="G32" s="1526"/>
      <c r="H32" s="2439"/>
      <c r="I32" s="2439"/>
      <c r="J32" s="2439"/>
      <c r="K32" s="2439"/>
      <c r="L32" s="2439"/>
      <c r="M32" s="2439"/>
      <c r="N32" s="2439"/>
      <c r="O32" s="2439"/>
      <c r="P32" s="2439"/>
    </row>
    <row r="33" spans="4:7">
      <c r="D33" s="1558"/>
      <c r="G33" s="1522">
        <f>G31/E31</f>
        <v>0.35099706006154768</v>
      </c>
    </row>
    <row r="35" spans="4:7">
      <c r="F35" s="1522">
        <v>3</v>
      </c>
      <c r="G35" s="1522">
        <v>1.5</v>
      </c>
    </row>
    <row r="36" spans="4:7">
      <c r="E36" s="1522">
        <f>F36+G36</f>
        <v>256972.20000000007</v>
      </c>
      <c r="F36" s="1522">
        <f>F35*F31</f>
        <v>202274.61000000007</v>
      </c>
      <c r="G36" s="1522">
        <f>G35*G27</f>
        <v>54697.589999999982</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1" priority="1" stopIfTrue="1" operator="containsText" text="面积有误">
      <formula>NOT(ISERROR(SEARCH("面积有误",E27)))</formula>
    </cfRule>
    <cfRule type="cellIs" dxfId="140" priority="3" stopIfTrue="1" operator="equal">
      <formula>"地下面积有误"</formula>
    </cfRule>
  </conditionalFormatting>
  <conditionalFormatting sqref="F27">
    <cfRule type="cellIs" dxfId="139"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U6" activePane="bottomRight" state="frozen"/>
      <selection activeCell="C50" sqref="C50"/>
      <selection pane="topRight" activeCell="C50" sqref="C50"/>
      <selection pane="bottomLeft" activeCell="C50" sqref="C50"/>
      <selection pane="bottomRight" activeCell="AF25" sqref="AF2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9"/>
      <c r="AO1" s="2449"/>
      <c r="AP1" s="2449"/>
      <c r="AQ1" s="2449"/>
      <c r="AR1" s="2449"/>
    </row>
    <row r="2" spans="1:67" s="1451" customFormat="1" ht="15.75" thickBot="1">
      <c r="A2" s="1562" t="s">
        <v>1161</v>
      </c>
      <c r="B2" s="984">
        <f>项目基本情况!D3</f>
        <v>45785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9"/>
      <c r="AO2" s="2439"/>
      <c r="AP2" s="2439"/>
      <c r="AQ2" s="2439"/>
      <c r="AR2" s="2439"/>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9"/>
      <c r="AO3" s="2439"/>
      <c r="AP3" s="2439"/>
      <c r="AQ3" s="2439"/>
      <c r="AR3" s="2439"/>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8"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9"/>
      <c r="AO4" s="2439"/>
      <c r="AP4" s="2439"/>
      <c r="AQ4" s="2439"/>
      <c r="AR4" s="2439"/>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3524</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龙湖天街</v>
      </c>
      <c r="B6" s="1587" t="str">
        <f>IF(A6=0,"","经营性")</f>
        <v>经营性</v>
      </c>
      <c r="C6" s="1588" t="s">
        <v>673</v>
      </c>
      <c r="D6" s="805">
        <f>SUMIF(项目基本情况!C$12:I$12,C6,项目基本情况!C$14:I$14)</f>
        <v>40</v>
      </c>
      <c r="E6" s="804">
        <f>IF(B6="","",SUMIF(项目基本情况!C$12:I$12,C6,项目基本情况!C$13:I$13))</f>
        <v>55957</v>
      </c>
      <c r="F6" s="61">
        <f>SUMIF(项目基本情况!C$12:I$12,C6,项目基本情况!C$15:I$15)</f>
        <v>27.86</v>
      </c>
      <c r="G6" s="62">
        <f>IF(ISERROR(ROUND(POWER(1+H6,D6-F6)*(POWER(1+H6,F6)-1)/(POWER(1+H6,D6)-1),3)),0,ROUND(POWER(1+H6,D6-F6)*(POWER(1+H6,F6)-1)/(POWER(1+H6,D6)-1),3))</f>
        <v>0.878</v>
      </c>
      <c r="H6" s="691">
        <v>5.5E-2</v>
      </c>
      <c r="I6" s="3203">
        <v>0.06</v>
      </c>
      <c r="J6" s="63">
        <v>7.0000000000000007E-2</v>
      </c>
      <c r="K6" s="970">
        <f>SUMIF('数据-汇总表'!C$19:C$33,A6,'数据-汇总表'!E$19:E$33)</f>
        <v>103889.93000000002</v>
      </c>
      <c r="L6" s="3206">
        <v>6000</v>
      </c>
      <c r="M6" s="64">
        <f t="shared" ref="M6:M14" si="0">ROUND(K6*L6/10000,0)</f>
        <v>62334</v>
      </c>
      <c r="N6" s="690">
        <f>ROUND(1-(2025-2017)/60,2)</f>
        <v>0.87</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204">
        <v>4.5</v>
      </c>
      <c r="V6" s="67">
        <v>0.02</v>
      </c>
      <c r="W6" s="67">
        <v>0.1</v>
      </c>
      <c r="X6" s="979"/>
      <c r="Y6" s="68">
        <f>N6</f>
        <v>0.87</v>
      </c>
      <c r="Z6" s="69"/>
      <c r="AA6" s="63"/>
      <c r="AB6" s="63"/>
      <c r="AC6" s="979"/>
      <c r="AD6" s="70"/>
      <c r="AE6" s="980">
        <f ca="1">IF(AN6="",0,SUMIF(INDIRECT("'"&amp;AN6&amp;"'"&amp;"!E:E"),$AE$5,INDIRECT("'"&amp;AN6&amp;"'"&amp;"!F:F")))</f>
        <v>27.86</v>
      </c>
      <c r="AF6" s="74"/>
      <c r="AG6" s="130">
        <f>IF(AF6="",0,AE6-AF6)</f>
        <v>0</v>
      </c>
      <c r="AH6" s="71"/>
      <c r="AI6" s="73">
        <v>365</v>
      </c>
      <c r="AJ6" s="74"/>
      <c r="AK6" s="3205">
        <v>3.0000000000000001E-3</v>
      </c>
      <c r="AL6" s="76">
        <v>1E-3</v>
      </c>
      <c r="AM6" s="3551">
        <v>0.02</v>
      </c>
      <c r="AN6" s="1589" t="s">
        <v>3525</v>
      </c>
      <c r="AO6" s="50">
        <f ca="1">SUMIF(INDIRECT("'"&amp;AN6&amp;"'"&amp;"!A:A"),"总价",INDIRECT("'"&amp;AN6&amp;"'"&amp;"!B:B"))</f>
        <v>204432</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9"/>
      <c r="AO14" s="2439"/>
      <c r="AP14" s="2439"/>
      <c r="AQ14" s="2439"/>
      <c r="AR14" s="2439"/>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9"/>
      <c r="AO15" s="2439"/>
      <c r="AP15" s="2439"/>
      <c r="AQ15" s="2439"/>
      <c r="AR15" s="2439"/>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0.878</v>
      </c>
      <c r="H16" s="84">
        <f>ROUND(SUMPRODUCT(H6:H13,K6:K13)/SUMPRODUCT((H6:H13&gt;0)*(K6:K13)),3)</f>
        <v>5.5E-2</v>
      </c>
      <c r="I16" s="85"/>
      <c r="J16" s="85"/>
      <c r="K16" s="86">
        <f>SUM(K6:K15)</f>
        <v>103889.93000000002</v>
      </c>
      <c r="L16" s="87">
        <f>ROUND(M16*10000/SUM(K6:K14),0)</f>
        <v>6000</v>
      </c>
      <c r="M16" s="87">
        <f>SUM(M6:M14)</f>
        <v>62334</v>
      </c>
      <c r="N16" s="88">
        <f>ROUND(SUMPRODUCT(M6:M14,N6:N14)/M16,3)</f>
        <v>0.87</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9"/>
      <c r="AO16" s="2439"/>
      <c r="AP16" s="2439"/>
      <c r="AQ16" s="2439"/>
      <c r="AR16" s="2439"/>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8"/>
      <c r="C17" s="2449"/>
      <c r="D17" s="2451"/>
      <c r="E17" s="2451"/>
      <c r="F17" s="2449"/>
      <c r="G17" s="2449"/>
      <c r="H17" s="2449"/>
      <c r="I17" s="2449"/>
      <c r="J17" s="2449"/>
      <c r="K17" s="2450"/>
      <c r="L17" s="2450"/>
      <c r="M17" s="2449"/>
      <c r="N17" s="2449"/>
      <c r="O17" s="2449"/>
      <c r="P17" s="2449"/>
      <c r="Q17" s="3171">
        <f>Q16/B20</f>
        <v>6.6666666666666666E-2</v>
      </c>
      <c r="R17" s="2449"/>
      <c r="S17" s="2449"/>
      <c r="T17" s="2449"/>
      <c r="U17" s="2449"/>
      <c r="V17" s="2449"/>
      <c r="W17" s="2449"/>
      <c r="X17" s="2449"/>
      <c r="Y17" s="2449"/>
      <c r="Z17" s="2449"/>
      <c r="AA17" s="2449"/>
      <c r="AB17" s="2449"/>
      <c r="AC17" s="2449"/>
      <c r="AD17" s="2449"/>
      <c r="AE17" s="2449"/>
      <c r="AF17" s="2449"/>
      <c r="AG17" s="2449"/>
      <c r="AH17" s="2449"/>
      <c r="AI17" s="2449"/>
      <c r="AJ17" s="2449"/>
      <c r="AK17" s="2449"/>
      <c r="AL17" s="2449"/>
      <c r="AM17" s="2449"/>
      <c r="AN17" s="2449"/>
      <c r="AO17" s="2449"/>
      <c r="AP17" s="2449"/>
      <c r="AQ17" s="2449"/>
      <c r="AR17" s="2449"/>
    </row>
    <row r="18" spans="1:44" ht="15" thickBot="1">
      <c r="A18" s="57" t="s">
        <v>1210</v>
      </c>
      <c r="B18" s="2461"/>
      <c r="C18" s="2439"/>
      <c r="D18" s="2452"/>
      <c r="E18" s="2439"/>
      <c r="F18" s="2439"/>
      <c r="G18" s="2439"/>
      <c r="H18" s="2439"/>
      <c r="I18" s="2439"/>
      <c r="J18" s="2439"/>
      <c r="K18" s="2450"/>
      <c r="L18" s="2450"/>
      <c r="M18" s="2449"/>
      <c r="N18" s="2449"/>
      <c r="O18" s="2449"/>
      <c r="P18" s="2449"/>
      <c r="Q18" s="2449"/>
      <c r="R18" s="2449"/>
      <c r="S18" s="2449"/>
      <c r="T18" s="2449"/>
      <c r="U18" s="2449"/>
      <c r="V18" s="2449"/>
      <c r="W18" s="2449"/>
      <c r="X18" s="2449"/>
      <c r="Y18" s="2449"/>
      <c r="Z18" s="2449"/>
      <c r="AA18" s="2449"/>
      <c r="AB18" s="2449"/>
      <c r="AC18" s="2449"/>
      <c r="AD18" s="2449"/>
      <c r="AE18" s="2449"/>
      <c r="AF18" s="2449"/>
      <c r="AG18" s="2449"/>
      <c r="AH18" s="2449"/>
      <c r="AI18" s="2449"/>
      <c r="AJ18" s="2449"/>
      <c r="AK18" s="2449"/>
      <c r="AL18" s="2449"/>
      <c r="AM18" s="2449"/>
      <c r="AN18" s="2449"/>
      <c r="AO18" s="2449"/>
      <c r="AP18" s="2449"/>
      <c r="AQ18" s="2449"/>
      <c r="AR18" s="2449"/>
    </row>
    <row r="19" spans="1:44" ht="14.25">
      <c r="A19" s="1596" t="s">
        <v>1211</v>
      </c>
      <c r="B19" s="97">
        <v>0</v>
      </c>
      <c r="C19" s="2560" t="s">
        <v>2293</v>
      </c>
      <c r="D19" s="2452"/>
      <c r="E19" s="2439"/>
      <c r="F19" s="2439"/>
      <c r="G19" s="2439"/>
      <c r="H19" s="2439"/>
      <c r="I19" s="2439"/>
      <c r="J19" s="2439"/>
      <c r="K19" s="2450"/>
      <c r="L19" s="2450"/>
      <c r="M19" s="2449"/>
      <c r="N19" s="2449"/>
      <c r="O19" s="2449"/>
      <c r="P19" s="2449"/>
      <c r="Q19" s="2449"/>
      <c r="R19" s="2449"/>
      <c r="S19" s="2449"/>
      <c r="T19" s="2449"/>
      <c r="U19" s="2449"/>
      <c r="V19" s="2449"/>
      <c r="W19" s="2449"/>
      <c r="X19" s="2449"/>
      <c r="Y19" s="2449"/>
      <c r="Z19" s="2449"/>
      <c r="AA19" s="2449"/>
      <c r="AB19" s="2449"/>
      <c r="AC19" s="2449"/>
      <c r="AD19" s="2449"/>
      <c r="AE19" s="2449"/>
      <c r="AF19" s="2449"/>
      <c r="AG19" s="2449"/>
      <c r="AH19" s="2449"/>
      <c r="AI19" s="2449"/>
      <c r="AJ19" s="2449"/>
      <c r="AK19" s="2449"/>
      <c r="AL19" s="2449"/>
      <c r="AM19" s="2449"/>
      <c r="AN19" s="2449"/>
      <c r="AO19" s="2449"/>
      <c r="AP19" s="2449"/>
      <c r="AQ19" s="2449"/>
      <c r="AR19" s="2449"/>
    </row>
    <row r="20" spans="1:44" ht="14.25">
      <c r="A20" s="1597" t="s">
        <v>1212</v>
      </c>
      <c r="B20" s="98">
        <v>3</v>
      </c>
      <c r="C20" s="2561" t="s">
        <v>2291</v>
      </c>
      <c r="D20" s="2452"/>
      <c r="E20" s="2439"/>
      <c r="F20" s="2439"/>
      <c r="G20" s="2439"/>
      <c r="H20" s="2439"/>
      <c r="I20" s="2439"/>
      <c r="J20" s="2439"/>
      <c r="K20" s="2450"/>
      <c r="L20" s="2450"/>
      <c r="M20" s="2449"/>
      <c r="N20" s="2449"/>
      <c r="O20" s="2449"/>
      <c r="P20" s="2449"/>
      <c r="Q20" s="2449"/>
      <c r="R20" s="2449"/>
      <c r="S20" s="2449"/>
      <c r="T20" s="2449"/>
      <c r="U20" s="2449"/>
      <c r="V20" s="2449"/>
      <c r="W20" s="2449"/>
      <c r="X20" s="2449"/>
      <c r="Y20" s="2449"/>
      <c r="Z20" s="2449"/>
      <c r="AA20" s="2449"/>
      <c r="AB20" s="2449"/>
      <c r="AC20" s="2449"/>
      <c r="AD20" s="2449"/>
      <c r="AE20" s="2449"/>
      <c r="AF20" s="2449"/>
      <c r="AG20" s="2449"/>
      <c r="AH20" s="2449"/>
      <c r="AI20" s="2449"/>
      <c r="AJ20" s="2449"/>
      <c r="AK20" s="2449"/>
      <c r="AL20" s="2449"/>
      <c r="AM20" s="2449"/>
      <c r="AN20" s="2449"/>
      <c r="AO20" s="2449"/>
      <c r="AP20" s="2449"/>
      <c r="AQ20" s="2449"/>
      <c r="AR20" s="2449"/>
    </row>
    <row r="21" spans="1:44" ht="14.25">
      <c r="A21" s="1598" t="s">
        <v>1213</v>
      </c>
      <c r="B21" s="98">
        <v>3</v>
      </c>
      <c r="C21" s="2439"/>
      <c r="D21" s="2452"/>
      <c r="E21" s="2439"/>
      <c r="F21" s="2439"/>
      <c r="G21" s="2439"/>
      <c r="H21" s="2439"/>
      <c r="I21" s="2439"/>
      <c r="J21" s="2439"/>
      <c r="K21" s="2450"/>
      <c r="L21" s="2450"/>
      <c r="M21" s="2449"/>
      <c r="N21" s="2449"/>
      <c r="O21" s="2449"/>
      <c r="P21" s="2449"/>
      <c r="Q21" s="2449"/>
      <c r="R21" s="2449"/>
      <c r="S21" s="2449"/>
      <c r="T21" s="2449"/>
      <c r="U21" s="2449"/>
      <c r="V21" s="2449"/>
      <c r="W21" s="2449"/>
      <c r="X21" s="2449"/>
      <c r="Y21" s="2449"/>
      <c r="Z21" s="2449"/>
      <c r="AA21" s="2449"/>
      <c r="AB21" s="2449"/>
      <c r="AC21" s="2449"/>
      <c r="AD21" s="2449"/>
      <c r="AE21" s="2449"/>
      <c r="AF21" s="2449"/>
      <c r="AG21" s="2449"/>
      <c r="AH21" s="2449"/>
      <c r="AI21" s="2449"/>
      <c r="AJ21" s="2449"/>
      <c r="AK21" s="2449"/>
      <c r="AL21" s="2449"/>
      <c r="AM21" s="2449"/>
      <c r="AN21" s="2449"/>
      <c r="AO21" s="2449"/>
      <c r="AP21" s="2449"/>
      <c r="AQ21" s="2449"/>
      <c r="AR21" s="2449"/>
    </row>
    <row r="22" spans="1:44" ht="14.25">
      <c r="A22" s="1597" t="s">
        <v>1214</v>
      </c>
      <c r="B22" s="99">
        <f>B19+B20</f>
        <v>3</v>
      </c>
      <c r="C22" s="2439"/>
      <c r="D22" s="2452"/>
      <c r="E22" s="2439"/>
      <c r="F22" s="2439"/>
      <c r="G22" s="2439"/>
      <c r="H22" s="2439"/>
      <c r="I22" s="2439"/>
      <c r="J22" s="2439"/>
      <c r="K22" s="2450"/>
      <c r="L22" s="2450"/>
      <c r="M22" s="2449"/>
      <c r="N22" s="2449"/>
      <c r="O22" s="2449"/>
      <c r="P22" s="2449"/>
      <c r="Q22" s="2449"/>
      <c r="R22" s="2449"/>
      <c r="S22" s="2449"/>
      <c r="T22" s="2449"/>
      <c r="U22" s="2449"/>
      <c r="V22" s="2449"/>
      <c r="W22" s="2449"/>
      <c r="X22" s="2449"/>
      <c r="Y22" s="2449"/>
      <c r="Z22" s="2449"/>
      <c r="AA22" s="2449"/>
      <c r="AB22" s="2449"/>
      <c r="AC22" s="2449"/>
      <c r="AD22" s="2449"/>
      <c r="AE22" s="2449"/>
      <c r="AF22" s="2449"/>
      <c r="AG22" s="2449"/>
      <c r="AH22" s="2449"/>
      <c r="AI22" s="2449"/>
      <c r="AJ22" s="2449"/>
      <c r="AK22" s="2449"/>
      <c r="AL22" s="2449"/>
      <c r="AM22" s="2449"/>
      <c r="AN22" s="2449"/>
      <c r="AO22" s="2449"/>
      <c r="AP22" s="2449"/>
      <c r="AQ22" s="2449"/>
      <c r="AR22" s="2449"/>
    </row>
    <row r="23" spans="1:44" ht="14.25">
      <c r="A23" s="1598" t="s">
        <v>1215</v>
      </c>
      <c r="B23" s="99">
        <f>B19+B21</f>
        <v>3</v>
      </c>
      <c r="C23" s="2439"/>
      <c r="D23" s="2452"/>
      <c r="E23" s="2439"/>
      <c r="F23" s="2439"/>
      <c r="G23" s="2439"/>
      <c r="H23" s="2439"/>
      <c r="I23" s="2439"/>
      <c r="J23" s="2439"/>
      <c r="K23" s="2450"/>
      <c r="L23" s="2450"/>
      <c r="M23" s="2449"/>
      <c r="N23" s="2449"/>
      <c r="O23" s="2449"/>
      <c r="P23" s="2449"/>
      <c r="Q23" s="2449"/>
      <c r="R23" s="2449"/>
      <c r="S23" s="2449"/>
      <c r="T23" s="2449"/>
      <c r="U23" s="2449"/>
      <c r="V23" s="2449"/>
      <c r="W23" s="2449"/>
      <c r="X23" s="2449"/>
      <c r="Y23" s="2449"/>
      <c r="Z23" s="2449"/>
      <c r="AA23" s="2449"/>
      <c r="AB23" s="2449"/>
      <c r="AC23" s="2449"/>
      <c r="AD23" s="2449"/>
      <c r="AE23" s="2449"/>
      <c r="AF23" s="2449"/>
      <c r="AG23" s="2449"/>
      <c r="AH23" s="2449"/>
      <c r="AI23" s="2449"/>
      <c r="AJ23" s="2449"/>
      <c r="AK23" s="2449"/>
      <c r="AL23" s="2449"/>
      <c r="AM23" s="2449"/>
      <c r="AN23" s="2449"/>
      <c r="AO23" s="2449"/>
      <c r="AP23" s="2449"/>
      <c r="AQ23" s="2449"/>
      <c r="AR23" s="2449"/>
    </row>
    <row r="24" spans="1:44" ht="15" thickBot="1">
      <c r="A24" s="1599" t="s">
        <v>1216</v>
      </c>
      <c r="B24" s="100">
        <f>B20-B21</f>
        <v>0</v>
      </c>
      <c r="C24" s="2439"/>
      <c r="D24" s="2452"/>
      <c r="E24" s="2439"/>
      <c r="F24" s="2439"/>
      <c r="G24" s="2439"/>
      <c r="H24" s="2439"/>
      <c r="I24" s="2439"/>
      <c r="J24" s="2439"/>
      <c r="K24" s="2450"/>
      <c r="L24" s="2450"/>
      <c r="M24" s="2449"/>
      <c r="N24" s="2449"/>
      <c r="O24" s="2449"/>
      <c r="P24" s="2449"/>
      <c r="Q24" s="2449"/>
      <c r="R24" s="2449"/>
      <c r="S24" s="2449"/>
      <c r="T24" s="2449"/>
      <c r="U24" s="2449"/>
      <c r="V24" s="2449"/>
      <c r="W24" s="2449"/>
      <c r="X24" s="2449"/>
      <c r="Y24" s="2449"/>
      <c r="Z24" s="2449"/>
      <c r="AA24" s="2449"/>
      <c r="AB24" s="2449"/>
      <c r="AC24" s="2449"/>
      <c r="AD24" s="2449"/>
      <c r="AE24" s="2449"/>
      <c r="AF24" s="2449"/>
      <c r="AG24" s="2449"/>
      <c r="AH24" s="2449"/>
      <c r="AI24" s="2449"/>
      <c r="AJ24" s="2449"/>
      <c r="AK24" s="2449"/>
      <c r="AL24" s="2449"/>
      <c r="AM24" s="2449"/>
      <c r="AN24" s="2449"/>
      <c r="AO24" s="2449"/>
      <c r="AP24" s="2449"/>
      <c r="AQ24" s="2449"/>
      <c r="AR24" s="2449"/>
    </row>
    <row r="25" spans="1:44" ht="15" thickBot="1">
      <c r="A25" s="1449"/>
      <c r="B25" s="1542"/>
      <c r="C25" s="2439"/>
      <c r="D25" s="2452"/>
      <c r="E25" s="2439"/>
      <c r="F25" s="2439"/>
      <c r="G25" s="2439"/>
      <c r="H25" s="2439"/>
      <c r="I25" s="2439"/>
      <c r="J25" s="2439"/>
      <c r="K25" s="2450"/>
      <c r="L25" s="2450"/>
      <c r="M25" s="2449"/>
      <c r="N25" s="2449"/>
      <c r="O25" s="2449"/>
      <c r="P25" s="2449"/>
      <c r="Q25" s="2449"/>
      <c r="R25" s="2449"/>
      <c r="S25" s="2449"/>
      <c r="T25" s="2449"/>
      <c r="U25" s="2449"/>
      <c r="V25" s="2449"/>
      <c r="W25" s="2449"/>
      <c r="X25" s="2449"/>
      <c r="Y25" s="2449"/>
      <c r="Z25" s="2449"/>
      <c r="AA25" s="2449"/>
      <c r="AB25" s="2449"/>
      <c r="AC25" s="2449"/>
      <c r="AD25" s="2449"/>
      <c r="AE25" s="2449"/>
      <c r="AF25" s="2449"/>
      <c r="AG25" s="2449"/>
      <c r="AH25" s="2449"/>
      <c r="AI25" s="2449"/>
      <c r="AJ25" s="2449"/>
      <c r="AK25" s="2449"/>
      <c r="AL25" s="2449"/>
      <c r="AM25" s="2449"/>
      <c r="AN25" s="2449"/>
      <c r="AO25" s="2449"/>
      <c r="AP25" s="2449"/>
      <c r="AQ25" s="2449"/>
      <c r="AR25" s="2449"/>
    </row>
    <row r="26" spans="1:44" ht="15" thickBot="1">
      <c r="A26" s="1562" t="s">
        <v>1217</v>
      </c>
      <c r="B26" s="1600" t="s">
        <v>1218</v>
      </c>
      <c r="C26" s="2453" t="s">
        <v>1219</v>
      </c>
      <c r="D26" s="2452"/>
      <c r="E26" s="2439"/>
      <c r="F26" s="2439"/>
      <c r="G26" s="2439"/>
      <c r="H26" s="2439"/>
      <c r="I26" s="2439"/>
      <c r="J26" s="2439"/>
      <c r="K26" s="2450"/>
      <c r="L26" s="2450"/>
      <c r="M26" s="2449"/>
      <c r="N26" s="2449"/>
      <c r="O26" s="2449"/>
      <c r="P26" s="2449"/>
      <c r="Q26" s="2449"/>
      <c r="R26" s="2449"/>
      <c r="S26" s="2449"/>
      <c r="T26" s="2449"/>
      <c r="U26" s="2449"/>
      <c r="V26" s="2449"/>
      <c r="W26" s="2449"/>
      <c r="X26" s="2449"/>
      <c r="Y26" s="2449"/>
      <c r="Z26" s="2449"/>
      <c r="AA26" s="2449"/>
      <c r="AB26" s="2449"/>
      <c r="AC26" s="2449"/>
      <c r="AD26" s="2449"/>
      <c r="AE26" s="2449"/>
      <c r="AF26" s="2449"/>
      <c r="AG26" s="2449"/>
      <c r="AH26" s="2449"/>
      <c r="AI26" s="2449"/>
      <c r="AJ26" s="2449"/>
      <c r="AK26" s="2449"/>
      <c r="AL26" s="2449"/>
      <c r="AM26" s="2449"/>
      <c r="AN26" s="2449"/>
      <c r="AO26" s="2449"/>
      <c r="AP26" s="2449"/>
      <c r="AQ26" s="2449"/>
      <c r="AR26" s="2449"/>
    </row>
    <row r="27" spans="1:44" ht="27.75">
      <c r="A27" s="1601" t="s">
        <v>1220</v>
      </c>
      <c r="B27" s="101">
        <v>160</v>
      </c>
      <c r="C27" s="2562" t="s">
        <v>2295</v>
      </c>
      <c r="D27" s="2455"/>
      <c r="E27" s="2440"/>
      <c r="F27" s="2440"/>
      <c r="G27" s="2439"/>
      <c r="H27" s="2439"/>
      <c r="I27" s="2439"/>
      <c r="J27" s="2439"/>
      <c r="K27" s="2450"/>
      <c r="L27" s="2450"/>
      <c r="M27" s="2449"/>
      <c r="N27" s="2449"/>
      <c r="O27" s="2449"/>
      <c r="P27" s="2449"/>
      <c r="Q27" s="2449"/>
      <c r="R27" s="2449"/>
      <c r="S27" s="2449"/>
      <c r="T27" s="2449"/>
      <c r="U27" s="2449"/>
      <c r="V27" s="2449"/>
      <c r="W27" s="2449"/>
      <c r="X27" s="2449"/>
      <c r="Y27" s="2449"/>
      <c r="Z27" s="2449"/>
      <c r="AA27" s="2449"/>
      <c r="AB27" s="2449"/>
      <c r="AC27" s="2449"/>
      <c r="AD27" s="2449"/>
      <c r="AE27" s="2449"/>
      <c r="AF27" s="2449"/>
      <c r="AG27" s="2449"/>
      <c r="AH27" s="2449"/>
      <c r="AI27" s="2449"/>
      <c r="AJ27" s="2449"/>
      <c r="AK27" s="2449"/>
      <c r="AL27" s="2449"/>
      <c r="AM27" s="2449"/>
      <c r="AN27" s="2449"/>
      <c r="AO27" s="2449"/>
      <c r="AP27" s="2449"/>
      <c r="AQ27" s="2449"/>
      <c r="AR27" s="2449"/>
    </row>
    <row r="28" spans="1:44" ht="27.75">
      <c r="A28" s="1602" t="s">
        <v>1221</v>
      </c>
      <c r="B28" s="103">
        <v>200</v>
      </c>
      <c r="C28" s="2456"/>
      <c r="D28" s="2455"/>
      <c r="E28" s="2440"/>
      <c r="F28" s="2440"/>
      <c r="G28" s="2439"/>
      <c r="H28" s="2439"/>
      <c r="I28" s="2439"/>
      <c r="J28" s="2439"/>
      <c r="K28" s="2450"/>
      <c r="L28" s="2450"/>
      <c r="M28" s="2449"/>
      <c r="N28" s="2449"/>
      <c r="O28" s="2449"/>
      <c r="P28" s="2449"/>
      <c r="Q28" s="2449"/>
      <c r="R28" s="2449"/>
      <c r="S28" s="2449"/>
      <c r="T28" s="2449"/>
      <c r="U28" s="2449"/>
      <c r="V28" s="2449"/>
      <c r="W28" s="2449"/>
      <c r="X28" s="2449"/>
      <c r="Y28" s="2449"/>
      <c r="Z28" s="2449"/>
      <c r="AA28" s="2449"/>
      <c r="AB28" s="2449"/>
      <c r="AC28" s="2449"/>
      <c r="AD28" s="2449"/>
      <c r="AE28" s="2449"/>
      <c r="AF28" s="2449"/>
      <c r="AG28" s="2449"/>
      <c r="AH28" s="2449"/>
      <c r="AI28" s="2449"/>
      <c r="AJ28" s="2449"/>
      <c r="AK28" s="2449"/>
      <c r="AL28" s="2449"/>
      <c r="AM28" s="2449"/>
      <c r="AN28" s="2449"/>
      <c r="AO28" s="2449"/>
      <c r="AP28" s="2449"/>
      <c r="AQ28" s="2449"/>
      <c r="AR28" s="2449"/>
    </row>
    <row r="29" spans="1:44" ht="28.5" thickBot="1">
      <c r="A29" s="1603" t="s">
        <v>1222</v>
      </c>
      <c r="B29" s="105">
        <f ca="1">成本法!C10</f>
        <v>2078</v>
      </c>
      <c r="C29" s="2563" t="s">
        <v>2285</v>
      </c>
      <c r="D29" s="2455"/>
      <c r="E29" s="2440"/>
      <c r="F29" s="2440"/>
      <c r="G29" s="2439"/>
      <c r="H29" s="2439"/>
      <c r="I29" s="2439"/>
      <c r="J29" s="2439"/>
      <c r="K29" s="2450"/>
      <c r="L29" s="2450"/>
      <c r="M29" s="2449"/>
      <c r="N29" s="2449"/>
      <c r="O29" s="2449"/>
      <c r="P29" s="2449"/>
      <c r="Q29" s="2449"/>
      <c r="R29" s="2449"/>
      <c r="S29" s="2449"/>
      <c r="T29" s="2449"/>
      <c r="U29" s="2449"/>
      <c r="V29" s="2449"/>
      <c r="W29" s="2449"/>
      <c r="X29" s="2449"/>
      <c r="Y29" s="2449"/>
      <c r="Z29" s="2449"/>
      <c r="AA29" s="2449"/>
      <c r="AB29" s="2449"/>
      <c r="AC29" s="2449"/>
      <c r="AD29" s="2449"/>
      <c r="AE29" s="2449"/>
      <c r="AF29" s="2449"/>
      <c r="AG29" s="2449"/>
      <c r="AH29" s="2449"/>
      <c r="AI29" s="2449"/>
      <c r="AJ29" s="2449"/>
      <c r="AK29" s="2449"/>
      <c r="AL29" s="2449"/>
      <c r="AM29" s="2449"/>
      <c r="AN29" s="2449"/>
      <c r="AO29" s="2449"/>
      <c r="AP29" s="2449"/>
      <c r="AQ29" s="2449"/>
      <c r="AR29" s="2449"/>
    </row>
    <row r="30" spans="1:44" ht="27">
      <c r="A30" s="1604" t="s">
        <v>1223</v>
      </c>
      <c r="B30" s="638">
        <v>200</v>
      </c>
      <c r="C30" s="2456"/>
      <c r="D30" s="2455"/>
      <c r="E30" s="2440"/>
      <c r="F30" s="2440"/>
      <c r="G30" s="2439"/>
      <c r="H30" s="2439"/>
      <c r="I30" s="2439"/>
      <c r="J30" s="2439"/>
      <c r="K30" s="2450"/>
      <c r="L30" s="2450"/>
      <c r="M30" s="2449"/>
      <c r="N30" s="2449"/>
      <c r="O30" s="2449"/>
      <c r="P30" s="2449"/>
      <c r="Q30" s="2449"/>
      <c r="R30" s="2449"/>
      <c r="S30" s="2449"/>
      <c r="T30" s="2449"/>
      <c r="U30" s="2449"/>
      <c r="V30" s="2449"/>
      <c r="W30" s="2449"/>
      <c r="X30" s="2449"/>
      <c r="Y30" s="2449"/>
      <c r="Z30" s="2449"/>
      <c r="AA30" s="2449"/>
      <c r="AB30" s="2449"/>
      <c r="AC30" s="2449"/>
      <c r="AD30" s="2449"/>
      <c r="AE30" s="2449"/>
      <c r="AF30" s="2449"/>
      <c r="AG30" s="2449"/>
      <c r="AH30" s="2449"/>
      <c r="AI30" s="2449"/>
      <c r="AJ30" s="2449"/>
      <c r="AK30" s="2449"/>
      <c r="AL30" s="2449"/>
      <c r="AM30" s="2449"/>
      <c r="AN30" s="2449"/>
      <c r="AO30" s="2449"/>
      <c r="AP30" s="2449"/>
      <c r="AQ30" s="2449"/>
      <c r="AR30" s="2449"/>
    </row>
    <row r="31" spans="1:44" ht="27">
      <c r="A31" s="1602" t="s">
        <v>1224</v>
      </c>
      <c r="B31" s="104">
        <f>B30-B32</f>
        <v>200</v>
      </c>
      <c r="C31" s="2454"/>
      <c r="D31" s="2455"/>
      <c r="E31" s="2440"/>
      <c r="F31" s="2440"/>
      <c r="G31" s="2439"/>
      <c r="H31" s="2439"/>
      <c r="I31" s="2439"/>
      <c r="J31" s="2439"/>
      <c r="K31" s="2450"/>
      <c r="L31" s="2450"/>
      <c r="M31" s="2449"/>
      <c r="N31" s="2449"/>
      <c r="O31" s="2449"/>
      <c r="P31" s="2449"/>
      <c r="Q31" s="2449"/>
      <c r="R31" s="2449"/>
      <c r="S31" s="2449"/>
      <c r="T31" s="2449"/>
      <c r="U31" s="2449"/>
      <c r="V31" s="2449"/>
      <c r="W31" s="2449"/>
      <c r="X31" s="2449"/>
      <c r="Y31" s="2449"/>
      <c r="Z31" s="2449"/>
      <c r="AA31" s="2449"/>
      <c r="AB31" s="2449"/>
      <c r="AC31" s="2449"/>
      <c r="AD31" s="2449"/>
      <c r="AE31" s="2449"/>
      <c r="AF31" s="2449"/>
      <c r="AG31" s="2449"/>
      <c r="AH31" s="2449"/>
      <c r="AI31" s="2449"/>
      <c r="AJ31" s="2449"/>
      <c r="AK31" s="2449"/>
      <c r="AL31" s="2449"/>
      <c r="AM31" s="2449"/>
      <c r="AN31" s="2449"/>
      <c r="AO31" s="2449"/>
      <c r="AP31" s="2449"/>
      <c r="AQ31" s="2449"/>
      <c r="AR31" s="2449"/>
    </row>
    <row r="32" spans="1:44" ht="27.75" thickBot="1">
      <c r="A32" s="1605" t="s">
        <v>1225</v>
      </c>
      <c r="B32" s="639">
        <v>0</v>
      </c>
      <c r="C32" s="2456"/>
      <c r="D32" s="2452"/>
      <c r="E32" s="2439"/>
      <c r="F32" s="2439"/>
      <c r="G32" s="2439"/>
      <c r="H32" s="2439"/>
      <c r="I32" s="2439"/>
      <c r="J32" s="2439"/>
      <c r="K32" s="2450"/>
      <c r="L32" s="2450"/>
      <c r="M32" s="2449"/>
      <c r="N32" s="2449"/>
      <c r="O32" s="2449"/>
      <c r="P32" s="2449"/>
      <c r="Q32" s="2449"/>
      <c r="R32" s="2449"/>
      <c r="S32" s="2449"/>
      <c r="T32" s="2449"/>
      <c r="U32" s="2449"/>
      <c r="V32" s="2449"/>
      <c r="W32" s="2449"/>
      <c r="X32" s="2449"/>
      <c r="Y32" s="2449"/>
      <c r="Z32" s="2449"/>
      <c r="AA32" s="2449"/>
      <c r="AB32" s="2449"/>
      <c r="AC32" s="2449"/>
      <c r="AD32" s="2449"/>
      <c r="AE32" s="2449"/>
      <c r="AF32" s="2449"/>
      <c r="AG32" s="2449"/>
      <c r="AH32" s="2449"/>
      <c r="AI32" s="2449"/>
      <c r="AJ32" s="2449"/>
      <c r="AK32" s="2449"/>
      <c r="AL32" s="2449"/>
      <c r="AM32" s="2449"/>
      <c r="AN32" s="2449"/>
      <c r="AO32" s="2449"/>
      <c r="AP32" s="2449"/>
      <c r="AQ32" s="2449"/>
      <c r="AR32" s="2449"/>
    </row>
    <row r="33" spans="1:44" ht="14.25">
      <c r="A33" s="1601" t="s">
        <v>1226</v>
      </c>
      <c r="B33" s="640">
        <v>0.05</v>
      </c>
      <c r="C33" s="2564" t="s">
        <v>3373</v>
      </c>
      <c r="D33" s="2452"/>
      <c r="E33" s="2439"/>
      <c r="F33" s="2439"/>
      <c r="G33" s="2439"/>
      <c r="H33" s="2439"/>
      <c r="I33" s="2439"/>
      <c r="J33" s="2439"/>
      <c r="K33" s="2450"/>
      <c r="L33" s="2450"/>
      <c r="M33" s="2449"/>
      <c r="N33" s="2449"/>
      <c r="O33" s="2449"/>
      <c r="P33" s="2449"/>
      <c r="Q33" s="2449"/>
      <c r="R33" s="2449"/>
      <c r="S33" s="2449"/>
      <c r="T33" s="2449"/>
      <c r="U33" s="2449"/>
      <c r="V33" s="2449"/>
      <c r="W33" s="2449"/>
      <c r="X33" s="2449"/>
      <c r="Y33" s="2449"/>
      <c r="Z33" s="2449"/>
      <c r="AA33" s="2449"/>
      <c r="AB33" s="2449"/>
      <c r="AC33" s="2449"/>
      <c r="AD33" s="2449"/>
      <c r="AE33" s="2449"/>
      <c r="AF33" s="2449"/>
      <c r="AG33" s="2449"/>
      <c r="AH33" s="2449"/>
      <c r="AI33" s="2449"/>
      <c r="AJ33" s="2449"/>
      <c r="AK33" s="2449"/>
      <c r="AL33" s="2449"/>
      <c r="AM33" s="2449"/>
      <c r="AN33" s="2449"/>
      <c r="AO33" s="2449"/>
      <c r="AP33" s="2449"/>
      <c r="AQ33" s="2449"/>
      <c r="AR33" s="2449"/>
    </row>
    <row r="34" spans="1:44" ht="14.25">
      <c r="A34" s="1602" t="s">
        <v>1227</v>
      </c>
      <c r="B34" s="106">
        <v>0</v>
      </c>
      <c r="C34" s="2564" t="s">
        <v>2286</v>
      </c>
      <c r="D34" s="2460" t="s">
        <v>2292</v>
      </c>
      <c r="E34" s="2458"/>
      <c r="F34" s="2439"/>
      <c r="G34" s="2439"/>
      <c r="H34" s="2439"/>
      <c r="I34" s="2439"/>
      <c r="J34" s="2439"/>
      <c r="K34" s="2450"/>
      <c r="L34" s="2450"/>
      <c r="M34" s="2449"/>
      <c r="N34" s="2449"/>
      <c r="O34" s="2449"/>
      <c r="P34" s="2449"/>
      <c r="Q34" s="2449"/>
      <c r="R34" s="2449"/>
      <c r="S34" s="2449"/>
      <c r="T34" s="2449"/>
      <c r="U34" s="2449"/>
      <c r="V34" s="2449"/>
      <c r="W34" s="2449"/>
      <c r="X34" s="2449"/>
      <c r="Y34" s="2449"/>
      <c r="Z34" s="2449"/>
      <c r="AA34" s="2449"/>
      <c r="AB34" s="2449"/>
      <c r="AC34" s="2449"/>
      <c r="AD34" s="2449"/>
      <c r="AE34" s="2449"/>
      <c r="AF34" s="2449"/>
      <c r="AG34" s="2449"/>
      <c r="AH34" s="2449"/>
      <c r="AI34" s="2449"/>
      <c r="AJ34" s="2449"/>
      <c r="AK34" s="2449"/>
      <c r="AL34" s="2449"/>
      <c r="AM34" s="2449"/>
      <c r="AN34" s="2449"/>
      <c r="AO34" s="2449"/>
      <c r="AP34" s="2449"/>
      <c r="AQ34" s="2449"/>
      <c r="AR34" s="2449"/>
    </row>
    <row r="35" spans="1:44" ht="14.25">
      <c r="A35" s="1602" t="s">
        <v>1228</v>
      </c>
      <c r="B35" s="103">
        <v>200</v>
      </c>
      <c r="C35" s="2564" t="s">
        <v>2287</v>
      </c>
      <c r="D35" s="2455"/>
      <c r="E35" s="2440"/>
      <c r="F35" s="2440"/>
      <c r="G35" s="2439"/>
      <c r="H35" s="2439"/>
      <c r="I35" s="2439"/>
      <c r="J35" s="2439"/>
      <c r="K35" s="2450"/>
      <c r="L35" s="2450"/>
      <c r="M35" s="2449"/>
      <c r="N35" s="2449"/>
      <c r="O35" s="2449"/>
      <c r="P35" s="2449"/>
      <c r="Q35" s="2449"/>
      <c r="R35" s="2449"/>
      <c r="S35" s="2449"/>
      <c r="T35" s="2449"/>
      <c r="U35" s="2449"/>
      <c r="V35" s="2449"/>
      <c r="W35" s="2449"/>
      <c r="X35" s="2449"/>
      <c r="Y35" s="2449"/>
      <c r="Z35" s="2449"/>
      <c r="AA35" s="2449"/>
      <c r="AB35" s="2449"/>
      <c r="AC35" s="2449"/>
      <c r="AD35" s="2449"/>
      <c r="AE35" s="2449"/>
      <c r="AF35" s="2449"/>
      <c r="AG35" s="2449"/>
      <c r="AH35" s="2449"/>
      <c r="AI35" s="2449"/>
      <c r="AJ35" s="2449"/>
      <c r="AK35" s="2449"/>
      <c r="AL35" s="2449"/>
      <c r="AM35" s="2449"/>
      <c r="AN35" s="2449"/>
      <c r="AO35" s="2449"/>
      <c r="AP35" s="2449"/>
      <c r="AQ35" s="2449"/>
      <c r="AR35" s="2449"/>
    </row>
    <row r="36" spans="1:44" ht="15" thickBot="1">
      <c r="A36" s="1603" t="s">
        <v>1229</v>
      </c>
      <c r="B36" s="107">
        <v>0.02</v>
      </c>
      <c r="C36" s="2564" t="s">
        <v>3391</v>
      </c>
      <c r="D36" s="2452"/>
      <c r="E36" s="2439"/>
      <c r="F36" s="2439"/>
      <c r="G36" s="2439"/>
      <c r="H36" s="2439"/>
      <c r="I36" s="2439"/>
      <c r="J36" s="2439"/>
      <c r="K36" s="2450"/>
      <c r="L36" s="2450"/>
      <c r="M36" s="2449"/>
      <c r="N36" s="2449"/>
      <c r="O36" s="2449"/>
      <c r="P36" s="2449"/>
      <c r="Q36" s="2449"/>
      <c r="R36" s="2449"/>
      <c r="S36" s="2449"/>
      <c r="T36" s="2449"/>
      <c r="U36" s="2449"/>
      <c r="V36" s="2449"/>
      <c r="W36" s="2449"/>
      <c r="X36" s="2449"/>
      <c r="Y36" s="2449"/>
      <c r="Z36" s="2449"/>
      <c r="AA36" s="2449"/>
      <c r="AB36" s="2449"/>
      <c r="AC36" s="2449"/>
      <c r="AD36" s="2449"/>
      <c r="AE36" s="2449"/>
      <c r="AF36" s="2449"/>
      <c r="AG36" s="2449"/>
      <c r="AH36" s="2449"/>
      <c r="AI36" s="2449"/>
      <c r="AJ36" s="2449"/>
      <c r="AK36" s="2449"/>
      <c r="AL36" s="2449"/>
      <c r="AM36" s="2449"/>
      <c r="AN36" s="2449"/>
      <c r="AO36" s="2449"/>
      <c r="AP36" s="2449"/>
      <c r="AQ36" s="2449"/>
      <c r="AR36" s="2449"/>
    </row>
    <row r="37" spans="1:44" ht="14.25">
      <c r="A37" s="1604" t="s">
        <v>1230</v>
      </c>
      <c r="B37" s="108">
        <v>0.03</v>
      </c>
      <c r="C37" s="2564" t="s">
        <v>3374</v>
      </c>
      <c r="D37" s="2452"/>
      <c r="E37" s="2439"/>
      <c r="F37" s="2439"/>
      <c r="G37" s="2439"/>
      <c r="H37" s="2439"/>
      <c r="I37" s="2439"/>
      <c r="J37" s="2439"/>
      <c r="K37" s="2450"/>
      <c r="L37" s="2450"/>
      <c r="M37" s="2449"/>
      <c r="N37" s="2449"/>
      <c r="O37" s="2449"/>
      <c r="P37" s="2449"/>
      <c r="Q37" s="2449"/>
      <c r="R37" s="2449"/>
      <c r="S37" s="2449"/>
      <c r="T37" s="2449"/>
      <c r="U37" s="2449"/>
      <c r="V37" s="2449"/>
      <c r="W37" s="2449"/>
      <c r="X37" s="2449"/>
      <c r="Y37" s="2449"/>
      <c r="Z37" s="2449"/>
      <c r="AA37" s="2449"/>
      <c r="AB37" s="2449"/>
      <c r="AC37" s="2449"/>
      <c r="AD37" s="2449"/>
      <c r="AE37" s="2449"/>
      <c r="AF37" s="2449"/>
      <c r="AG37" s="2449"/>
      <c r="AH37" s="2449"/>
      <c r="AI37" s="2449"/>
      <c r="AJ37" s="2449"/>
      <c r="AK37" s="2449"/>
      <c r="AL37" s="2449"/>
      <c r="AM37" s="2449"/>
      <c r="AN37" s="2449"/>
      <c r="AO37" s="2449"/>
      <c r="AP37" s="2449"/>
      <c r="AQ37" s="2449"/>
      <c r="AR37" s="2449"/>
    </row>
    <row r="38" spans="1:44" ht="14.25">
      <c r="A38" s="1602" t="s">
        <v>1231</v>
      </c>
      <c r="B38" s="106">
        <v>0.03</v>
      </c>
      <c r="C38" s="2564" t="s">
        <v>3375</v>
      </c>
      <c r="D38" s="2452"/>
      <c r="E38" s="2439"/>
      <c r="F38" s="2439"/>
      <c r="G38" s="2439"/>
      <c r="H38" s="2439"/>
      <c r="I38" s="2439"/>
      <c r="J38" s="2439"/>
      <c r="K38" s="2450"/>
      <c r="L38" s="2450"/>
      <c r="M38" s="2449"/>
      <c r="N38" s="2449"/>
      <c r="O38" s="2449"/>
      <c r="P38" s="2449"/>
      <c r="Q38" s="2449"/>
      <c r="R38" s="2449"/>
      <c r="S38" s="2449"/>
      <c r="T38" s="2449"/>
      <c r="U38" s="2449"/>
      <c r="V38" s="2449"/>
      <c r="W38" s="2449"/>
      <c r="X38" s="2449"/>
      <c r="Y38" s="2449"/>
      <c r="Z38" s="2449"/>
      <c r="AA38" s="2449"/>
      <c r="AB38" s="2449"/>
      <c r="AC38" s="2449"/>
      <c r="AD38" s="2449"/>
      <c r="AE38" s="2449"/>
      <c r="AF38" s="2449"/>
      <c r="AG38" s="2449"/>
      <c r="AH38" s="2449"/>
      <c r="AI38" s="2449"/>
      <c r="AJ38" s="2449"/>
      <c r="AK38" s="2449"/>
      <c r="AL38" s="2449"/>
      <c r="AM38" s="2449"/>
      <c r="AN38" s="2449"/>
      <c r="AO38" s="2449"/>
      <c r="AP38" s="2449"/>
      <c r="AQ38" s="2449"/>
      <c r="AR38" s="2449"/>
    </row>
    <row r="39" spans="1:44" ht="14.25">
      <c r="A39" s="1605" t="s">
        <v>1232</v>
      </c>
      <c r="B39" s="309">
        <f ca="1">存贷款利率!I1</f>
        <v>1.4999999999999999E-2</v>
      </c>
      <c r="C39" s="2457"/>
      <c r="D39" s="2452"/>
      <c r="E39" s="2439"/>
      <c r="F39" s="2439"/>
      <c r="G39" s="2439"/>
      <c r="H39" s="2439"/>
      <c r="I39" s="2439"/>
      <c r="J39" s="2439"/>
      <c r="K39" s="2450"/>
      <c r="L39" s="2450"/>
      <c r="M39" s="2449"/>
      <c r="N39" s="2449"/>
      <c r="O39" s="2449"/>
      <c r="P39" s="2449"/>
      <c r="Q39" s="2449"/>
      <c r="R39" s="2449"/>
      <c r="S39" s="2449"/>
      <c r="T39" s="2449"/>
      <c r="U39" s="2449"/>
      <c r="V39" s="2449"/>
      <c r="W39" s="2449"/>
      <c r="X39" s="2449"/>
      <c r="Y39" s="2449"/>
      <c r="Z39" s="2449"/>
      <c r="AA39" s="2449"/>
      <c r="AB39" s="2449"/>
      <c r="AC39" s="2449"/>
      <c r="AD39" s="2449"/>
      <c r="AE39" s="2449"/>
      <c r="AF39" s="2449"/>
      <c r="AG39" s="2449"/>
      <c r="AH39" s="2449"/>
      <c r="AI39" s="2449"/>
      <c r="AJ39" s="2449"/>
      <c r="AK39" s="2449"/>
      <c r="AL39" s="2449"/>
      <c r="AM39" s="2449"/>
      <c r="AN39" s="2449"/>
      <c r="AO39" s="2449"/>
      <c r="AP39" s="2449"/>
      <c r="AQ39" s="2449"/>
      <c r="AR39" s="2449"/>
    </row>
    <row r="40" spans="1:44" ht="15" thickBot="1">
      <c r="A40" s="2573" t="s">
        <v>2301</v>
      </c>
      <c r="B40" s="1015">
        <f ca="1">IF(A40="利息：取LPR",存贷款利率!G1,存贷款利率!G1+C40)</f>
        <v>3.1E-2</v>
      </c>
      <c r="C40" s="2572">
        <v>5.0000000000000001E-3</v>
      </c>
      <c r="D40" s="2449"/>
      <c r="E40" s="2452"/>
      <c r="F40" s="2439"/>
      <c r="G40" s="2439"/>
      <c r="H40" s="2439"/>
      <c r="I40" s="2439"/>
      <c r="J40" s="2439"/>
      <c r="K40" s="2450"/>
      <c r="L40" s="2450"/>
      <c r="M40" s="2449"/>
      <c r="N40" s="2449"/>
      <c r="O40" s="2449"/>
      <c r="P40" s="2449"/>
      <c r="Q40" s="2449"/>
      <c r="R40" s="2449"/>
      <c r="S40" s="2449"/>
      <c r="T40" s="2449"/>
      <c r="U40" s="2449"/>
      <c r="V40" s="2449"/>
      <c r="W40" s="2449"/>
      <c r="X40" s="2449"/>
      <c r="Y40" s="2449"/>
      <c r="Z40" s="2449"/>
      <c r="AA40" s="2449"/>
      <c r="AB40" s="2449"/>
      <c r="AC40" s="2449"/>
      <c r="AD40" s="2449"/>
      <c r="AE40" s="2449"/>
      <c r="AF40" s="2449"/>
      <c r="AG40" s="2449"/>
      <c r="AH40" s="2449"/>
      <c r="AI40" s="2449"/>
      <c r="AJ40" s="2449"/>
      <c r="AK40" s="2449"/>
      <c r="AL40" s="2449"/>
      <c r="AM40" s="2449"/>
      <c r="AN40" s="2449"/>
      <c r="AO40" s="2449"/>
      <c r="AP40" s="2449"/>
      <c r="AQ40" s="2449"/>
      <c r="AR40" s="2449"/>
    </row>
    <row r="41" spans="1:44" ht="14.25">
      <c r="A41" s="1601" t="s">
        <v>1233</v>
      </c>
      <c r="B41" s="109">
        <f>B42+B43</f>
        <v>5.6000000000000001E-2</v>
      </c>
      <c r="C41" s="2454"/>
      <c r="D41" s="2449"/>
      <c r="E41" s="2452"/>
      <c r="F41" s="2439"/>
      <c r="G41" s="2439"/>
      <c r="H41" s="2439"/>
      <c r="I41" s="2439"/>
      <c r="J41" s="2439"/>
      <c r="K41" s="2450"/>
      <c r="L41" s="2450"/>
      <c r="M41" s="2449"/>
      <c r="N41" s="2449"/>
      <c r="O41" s="2449"/>
      <c r="P41" s="2449"/>
      <c r="Q41" s="2449"/>
      <c r="R41" s="2449"/>
      <c r="S41" s="2449"/>
      <c r="T41" s="2449"/>
      <c r="U41" s="2449"/>
      <c r="V41" s="2449"/>
      <c r="W41" s="2449"/>
      <c r="X41" s="2449"/>
      <c r="Y41" s="2449"/>
      <c r="Z41" s="2449"/>
      <c r="AA41" s="2449"/>
      <c r="AB41" s="2449"/>
      <c r="AC41" s="2449"/>
      <c r="AD41" s="2449"/>
      <c r="AE41" s="2449"/>
      <c r="AF41" s="2449"/>
      <c r="AG41" s="2449"/>
      <c r="AH41" s="2449"/>
      <c r="AI41" s="2449"/>
      <c r="AJ41" s="2449"/>
      <c r="AK41" s="2449"/>
      <c r="AL41" s="2449"/>
      <c r="AM41" s="2449"/>
      <c r="AN41" s="2449"/>
      <c r="AO41" s="2449"/>
      <c r="AP41" s="2449"/>
      <c r="AQ41" s="2449"/>
      <c r="AR41" s="2449"/>
    </row>
    <row r="42" spans="1:44" ht="14.25">
      <c r="A42" s="1606" t="s">
        <v>1234</v>
      </c>
      <c r="B42" s="110">
        <v>0.05</v>
      </c>
      <c r="C42" s="2459">
        <f>IF(B2&lt;DATE(2016,5,1),0,B42)</f>
        <v>0.05</v>
      </c>
      <c r="D42" s="2452"/>
      <c r="E42" s="2439"/>
      <c r="F42" s="2439"/>
      <c r="G42" s="2439"/>
      <c r="H42" s="2439"/>
      <c r="I42" s="2439"/>
      <c r="J42" s="2439"/>
      <c r="K42" s="2450"/>
      <c r="L42" s="2450"/>
      <c r="M42" s="2449"/>
      <c r="N42" s="2449"/>
      <c r="O42" s="2449"/>
      <c r="P42" s="2449"/>
      <c r="Q42" s="2449"/>
      <c r="R42" s="2449"/>
      <c r="S42" s="2449"/>
      <c r="T42" s="2449"/>
      <c r="U42" s="2449"/>
      <c r="V42" s="2449"/>
      <c r="W42" s="2449"/>
      <c r="X42" s="2449"/>
      <c r="Y42" s="2449"/>
      <c r="Z42" s="2449"/>
      <c r="AA42" s="2449"/>
      <c r="AB42" s="2449"/>
      <c r="AC42" s="2449"/>
      <c r="AD42" s="2449"/>
      <c r="AE42" s="2449"/>
      <c r="AF42" s="2449"/>
      <c r="AG42" s="2449"/>
      <c r="AH42" s="2449"/>
      <c r="AI42" s="2449"/>
      <c r="AJ42" s="2449"/>
      <c r="AK42" s="2449"/>
      <c r="AL42" s="2449"/>
      <c r="AM42" s="2449"/>
      <c r="AN42" s="2449"/>
      <c r="AO42" s="2449"/>
      <c r="AP42" s="2449"/>
      <c r="AQ42" s="2449"/>
      <c r="AR42" s="2449"/>
    </row>
    <row r="43" spans="1:44" ht="14.25">
      <c r="A43" s="1606" t="s">
        <v>1235</v>
      </c>
      <c r="B43" s="111">
        <f>B42*(B44+B45+B46)+B47</f>
        <v>6.000000000000001E-3</v>
      </c>
      <c r="C43" s="2454"/>
      <c r="D43" s="2452"/>
      <c r="E43" s="2439"/>
      <c r="F43" s="2439"/>
      <c r="G43" s="2439"/>
      <c r="H43" s="2439"/>
      <c r="I43" s="2439"/>
      <c r="J43" s="2439"/>
      <c r="K43" s="2450"/>
      <c r="L43" s="2450"/>
      <c r="M43" s="2449"/>
      <c r="N43" s="2449"/>
      <c r="O43" s="2449"/>
      <c r="P43" s="2449"/>
      <c r="Q43" s="2449"/>
      <c r="R43" s="2449"/>
      <c r="S43" s="2449"/>
      <c r="T43" s="2449"/>
      <c r="U43" s="2449"/>
      <c r="V43" s="2449"/>
      <c r="W43" s="2449"/>
      <c r="X43" s="2449"/>
      <c r="Y43" s="2449"/>
      <c r="Z43" s="2449"/>
      <c r="AA43" s="2449"/>
      <c r="AB43" s="2449"/>
      <c r="AC43" s="2449"/>
      <c r="AD43" s="2449"/>
      <c r="AE43" s="2449"/>
      <c r="AF43" s="2449"/>
      <c r="AG43" s="2449"/>
      <c r="AH43" s="2449"/>
      <c r="AI43" s="2449"/>
      <c r="AJ43" s="2449"/>
      <c r="AK43" s="2449"/>
      <c r="AL43" s="2449"/>
      <c r="AM43" s="2449"/>
      <c r="AN43" s="2449"/>
      <c r="AO43" s="2449"/>
      <c r="AP43" s="2449"/>
      <c r="AQ43" s="2449"/>
      <c r="AR43" s="2449"/>
    </row>
    <row r="44" spans="1:44" ht="14.25">
      <c r="A44" s="1607" t="s">
        <v>1236</v>
      </c>
      <c r="B44" s="112">
        <v>7.0000000000000007E-2</v>
      </c>
      <c r="C44" s="2564" t="s">
        <v>3376</v>
      </c>
      <c r="D44" s="2452"/>
      <c r="E44" s="2439"/>
      <c r="F44" s="2439"/>
      <c r="G44" s="2439"/>
      <c r="H44" s="2439"/>
      <c r="I44" s="2439"/>
      <c r="J44" s="2439"/>
      <c r="K44" s="2450"/>
      <c r="L44" s="2450"/>
      <c r="M44" s="2449"/>
      <c r="N44" s="2449"/>
      <c r="O44" s="2449"/>
      <c r="P44" s="2449"/>
      <c r="Q44" s="2449"/>
      <c r="R44" s="2449"/>
      <c r="S44" s="2449"/>
      <c r="T44" s="2449"/>
      <c r="U44" s="2449"/>
      <c r="V44" s="2449"/>
      <c r="W44" s="2449"/>
      <c r="X44" s="2449"/>
      <c r="Y44" s="2449"/>
      <c r="Z44" s="2449"/>
      <c r="AA44" s="2449"/>
      <c r="AB44" s="2449"/>
      <c r="AC44" s="2449"/>
      <c r="AD44" s="2449"/>
      <c r="AE44" s="2449"/>
      <c r="AF44" s="2449"/>
      <c r="AG44" s="2449"/>
      <c r="AH44" s="2449"/>
      <c r="AI44" s="2449"/>
      <c r="AJ44" s="2449"/>
      <c r="AK44" s="2449"/>
      <c r="AL44" s="2449"/>
      <c r="AM44" s="2449"/>
      <c r="AN44" s="2449"/>
      <c r="AO44" s="2449"/>
      <c r="AP44" s="2449"/>
      <c r="AQ44" s="2449"/>
      <c r="AR44" s="2449"/>
    </row>
    <row r="45" spans="1:44" ht="14.25">
      <c r="A45" s="1607" t="s">
        <v>1237</v>
      </c>
      <c r="B45" s="110">
        <v>0.03</v>
      </c>
      <c r="C45" s="2563" t="s">
        <v>2288</v>
      </c>
      <c r="D45" s="2452"/>
      <c r="E45" s="2439"/>
      <c r="F45" s="2439"/>
      <c r="G45" s="2439"/>
      <c r="H45" s="2439"/>
      <c r="I45" s="2439"/>
      <c r="J45" s="2439"/>
      <c r="K45" s="2450"/>
      <c r="L45" s="2450"/>
      <c r="M45" s="2449"/>
      <c r="N45" s="2449"/>
      <c r="O45" s="2449"/>
      <c r="P45" s="2449"/>
      <c r="Q45" s="2449"/>
      <c r="R45" s="2449"/>
      <c r="S45" s="2449"/>
      <c r="T45" s="2449"/>
      <c r="U45" s="2449"/>
      <c r="V45" s="2449"/>
      <c r="W45" s="2449"/>
      <c r="X45" s="2449"/>
      <c r="Y45" s="2449"/>
      <c r="Z45" s="2449"/>
      <c r="AA45" s="2449"/>
      <c r="AB45" s="2449"/>
      <c r="AC45" s="2449"/>
      <c r="AD45" s="2449"/>
      <c r="AE45" s="2449"/>
      <c r="AF45" s="2449"/>
      <c r="AG45" s="2449"/>
      <c r="AH45" s="2449"/>
      <c r="AI45" s="2449"/>
      <c r="AJ45" s="2449"/>
      <c r="AK45" s="2449"/>
      <c r="AL45" s="2449"/>
      <c r="AM45" s="2449"/>
      <c r="AN45" s="2449"/>
      <c r="AO45" s="2449"/>
      <c r="AP45" s="2449"/>
      <c r="AQ45" s="2449"/>
      <c r="AR45" s="2449"/>
    </row>
    <row r="46" spans="1:44" ht="14.25">
      <c r="A46" s="1607" t="s">
        <v>1238</v>
      </c>
      <c r="B46" s="110">
        <v>0.02</v>
      </c>
      <c r="C46" s="2563" t="s">
        <v>2289</v>
      </c>
      <c r="D46" s="2452"/>
      <c r="E46" s="2439"/>
      <c r="F46" s="2439"/>
      <c r="G46" s="2439"/>
      <c r="H46" s="2439"/>
      <c r="I46" s="2439"/>
      <c r="J46" s="2439"/>
      <c r="K46" s="2450"/>
      <c r="L46" s="2450"/>
      <c r="M46" s="2449"/>
      <c r="N46" s="2449"/>
      <c r="O46" s="2449"/>
      <c r="P46" s="2449"/>
      <c r="Q46" s="2449"/>
      <c r="R46" s="2449"/>
      <c r="S46" s="2449"/>
      <c r="T46" s="2449"/>
      <c r="U46" s="2449"/>
      <c r="V46" s="2449"/>
      <c r="W46" s="2449"/>
      <c r="X46" s="2449"/>
      <c r="Y46" s="2449"/>
      <c r="Z46" s="2449"/>
      <c r="AA46" s="2449"/>
      <c r="AB46" s="2449"/>
      <c r="AC46" s="2449"/>
      <c r="AD46" s="2449"/>
      <c r="AE46" s="2449"/>
      <c r="AF46" s="2449"/>
      <c r="AG46" s="2449"/>
      <c r="AH46" s="2449"/>
      <c r="AI46" s="2449"/>
      <c r="AJ46" s="2449"/>
      <c r="AK46" s="2449"/>
      <c r="AL46" s="2449"/>
      <c r="AM46" s="2449"/>
      <c r="AN46" s="2449"/>
      <c r="AO46" s="2449"/>
      <c r="AP46" s="2449"/>
      <c r="AQ46" s="2449"/>
      <c r="AR46" s="2449"/>
    </row>
    <row r="47" spans="1:44" ht="15" thickBot="1">
      <c r="A47" s="1608" t="s">
        <v>1239</v>
      </c>
      <c r="B47" s="113">
        <v>0</v>
      </c>
      <c r="C47" s="2566" t="s">
        <v>2296</v>
      </c>
      <c r="D47" s="2452"/>
      <c r="E47" s="2439"/>
      <c r="F47" s="2439"/>
      <c r="G47" s="2439"/>
      <c r="H47" s="2439"/>
      <c r="I47" s="2439"/>
      <c r="J47" s="2439"/>
      <c r="K47" s="2450"/>
      <c r="L47" s="2450"/>
      <c r="M47" s="2449"/>
      <c r="N47" s="2449"/>
      <c r="O47" s="2449"/>
      <c r="P47" s="2449"/>
      <c r="Q47" s="2449"/>
      <c r="R47" s="2449"/>
      <c r="S47" s="2449"/>
      <c r="T47" s="2449"/>
      <c r="U47" s="2449"/>
      <c r="V47" s="2449"/>
      <c r="W47" s="2449"/>
      <c r="X47" s="2449"/>
      <c r="Y47" s="2449"/>
      <c r="Z47" s="2449"/>
      <c r="AA47" s="2449"/>
      <c r="AB47" s="2449"/>
      <c r="AC47" s="2449"/>
      <c r="AD47" s="2449"/>
      <c r="AE47" s="2449"/>
      <c r="AF47" s="2449"/>
      <c r="AG47" s="2449"/>
      <c r="AH47" s="2449"/>
      <c r="AI47" s="2449"/>
      <c r="AJ47" s="2449"/>
      <c r="AK47" s="2449"/>
      <c r="AL47" s="2449"/>
      <c r="AM47" s="2449"/>
      <c r="AN47" s="2449"/>
      <c r="AO47" s="2449"/>
      <c r="AP47" s="2449"/>
      <c r="AQ47" s="2449"/>
      <c r="AR47" s="2449"/>
    </row>
    <row r="48" spans="1:44" ht="14.25">
      <c r="A48" s="1609" t="s">
        <v>1240</v>
      </c>
      <c r="B48" s="114">
        <v>0.03</v>
      </c>
      <c r="C48" s="2563" t="s">
        <v>2288</v>
      </c>
      <c r="D48" s="2452"/>
      <c r="E48" s="2439"/>
      <c r="F48" s="2439"/>
      <c r="G48" s="2439"/>
      <c r="H48" s="2439"/>
      <c r="I48" s="2439"/>
      <c r="J48" s="2439"/>
      <c r="K48" s="2450"/>
      <c r="L48" s="2450"/>
      <c r="M48" s="2449"/>
      <c r="N48" s="2449"/>
      <c r="O48" s="2449"/>
      <c r="P48" s="2449"/>
      <c r="Q48" s="2449"/>
      <c r="R48" s="2449"/>
      <c r="S48" s="2449"/>
      <c r="T48" s="2449"/>
      <c r="U48" s="2449"/>
      <c r="V48" s="2449"/>
      <c r="W48" s="2449"/>
      <c r="X48" s="2449"/>
      <c r="Y48" s="2449"/>
      <c r="Z48" s="2449"/>
      <c r="AA48" s="2449"/>
      <c r="AB48" s="2449"/>
      <c r="AC48" s="2449"/>
      <c r="AD48" s="2449"/>
      <c r="AE48" s="2449"/>
      <c r="AF48" s="2449"/>
      <c r="AG48" s="2449"/>
      <c r="AH48" s="2449"/>
      <c r="AI48" s="2449"/>
      <c r="AJ48" s="2449"/>
      <c r="AK48" s="2449"/>
      <c r="AL48" s="2449"/>
      <c r="AM48" s="2449"/>
      <c r="AN48" s="2449"/>
      <c r="AO48" s="2449"/>
      <c r="AP48" s="2449"/>
      <c r="AQ48" s="2449"/>
      <c r="AR48" s="2449"/>
    </row>
    <row r="49" spans="1:44" ht="15" thickBot="1">
      <c r="A49" s="1605" t="s">
        <v>1241</v>
      </c>
      <c r="B49" s="110">
        <v>5.0000000000000001E-4</v>
      </c>
      <c r="C49" s="2563" t="s">
        <v>2290</v>
      </c>
      <c r="D49" s="2452"/>
      <c r="E49" s="2439"/>
      <c r="F49" s="2439"/>
      <c r="G49" s="2439"/>
      <c r="H49" s="2439"/>
      <c r="I49" s="2439"/>
      <c r="J49" s="2439"/>
      <c r="K49" s="2450"/>
      <c r="L49" s="2450"/>
      <c r="M49" s="2449"/>
      <c r="N49" s="2449"/>
      <c r="O49" s="2449"/>
      <c r="P49" s="2449"/>
      <c r="Q49" s="2449"/>
      <c r="R49" s="2449"/>
      <c r="S49" s="2449"/>
      <c r="T49" s="2449"/>
      <c r="U49" s="2449"/>
      <c r="V49" s="2449"/>
      <c r="W49" s="2449"/>
      <c r="X49" s="2449"/>
      <c r="Y49" s="2449"/>
      <c r="Z49" s="2449"/>
      <c r="AA49" s="2449"/>
      <c r="AB49" s="2449"/>
      <c r="AC49" s="2449"/>
      <c r="AD49" s="2449"/>
      <c r="AE49" s="2449"/>
      <c r="AF49" s="2449"/>
      <c r="AG49" s="2449"/>
      <c r="AH49" s="2449"/>
      <c r="AI49" s="2449"/>
      <c r="AJ49" s="2449"/>
      <c r="AK49" s="2449"/>
      <c r="AL49" s="2449"/>
      <c r="AM49" s="2449"/>
      <c r="AN49" s="2449"/>
      <c r="AO49" s="2449"/>
      <c r="AP49" s="2449"/>
      <c r="AQ49" s="2449"/>
      <c r="AR49" s="2449"/>
    </row>
    <row r="50" spans="1:44" ht="14.25">
      <c r="A50" s="1610" t="s">
        <v>1242</v>
      </c>
      <c r="B50" s="115">
        <v>1.2E-2</v>
      </c>
      <c r="C50" s="2440"/>
      <c r="D50" s="2452"/>
      <c r="E50" s="2439"/>
      <c r="F50" s="2439"/>
      <c r="G50" s="2439"/>
      <c r="H50" s="2439"/>
      <c r="I50" s="2439"/>
      <c r="J50" s="2439"/>
      <c r="K50" s="2450"/>
      <c r="L50" s="2450"/>
      <c r="M50" s="2449"/>
      <c r="N50" s="2449"/>
      <c r="O50" s="2449"/>
      <c r="P50" s="2449"/>
      <c r="Q50" s="2449"/>
      <c r="R50" s="2449"/>
      <c r="S50" s="2449"/>
      <c r="T50" s="2449"/>
      <c r="U50" s="2449"/>
      <c r="V50" s="2449"/>
      <c r="W50" s="2449"/>
      <c r="X50" s="2449"/>
      <c r="Y50" s="2449"/>
      <c r="Z50" s="2449"/>
      <c r="AA50" s="2449"/>
      <c r="AB50" s="2449"/>
      <c r="AC50" s="2449"/>
      <c r="AD50" s="2449"/>
      <c r="AE50" s="2449"/>
      <c r="AF50" s="2449"/>
      <c r="AG50" s="2449"/>
      <c r="AH50" s="2449"/>
      <c r="AI50" s="2449"/>
      <c r="AJ50" s="2449"/>
      <c r="AK50" s="2449"/>
      <c r="AL50" s="2449"/>
      <c r="AM50" s="2449"/>
      <c r="AN50" s="2449"/>
      <c r="AO50" s="2449"/>
      <c r="AP50" s="2449"/>
      <c r="AQ50" s="2449"/>
      <c r="AR50" s="2449"/>
    </row>
    <row r="51" spans="1:44" ht="15" thickBot="1">
      <c r="A51" s="1603" t="s">
        <v>1243</v>
      </c>
      <c r="B51" s="116">
        <v>0.12</v>
      </c>
      <c r="C51" s="2440"/>
      <c r="D51" s="2452"/>
      <c r="E51" s="2439"/>
      <c r="F51" s="2439"/>
      <c r="G51" s="2439"/>
      <c r="H51" s="2439"/>
      <c r="I51" s="2439"/>
      <c r="J51" s="2439"/>
      <c r="K51" s="2450"/>
      <c r="L51" s="2450"/>
      <c r="M51" s="2449"/>
      <c r="N51" s="2449"/>
      <c r="O51" s="2449"/>
      <c r="P51" s="2449"/>
      <c r="Q51" s="2449"/>
      <c r="R51" s="2449"/>
      <c r="S51" s="2449"/>
      <c r="T51" s="2449"/>
      <c r="U51" s="2449"/>
      <c r="V51" s="2449"/>
      <c r="W51" s="2449"/>
      <c r="X51" s="2449"/>
      <c r="Y51" s="2449"/>
      <c r="Z51" s="2449"/>
      <c r="AA51" s="2449"/>
      <c r="AB51" s="2449"/>
      <c r="AC51" s="2449"/>
      <c r="AD51" s="2449"/>
      <c r="AE51" s="2449"/>
      <c r="AF51" s="2449"/>
      <c r="AG51" s="2449"/>
      <c r="AH51" s="2449"/>
      <c r="AI51" s="2449"/>
      <c r="AJ51" s="2449"/>
      <c r="AK51" s="2449"/>
      <c r="AL51" s="2449"/>
      <c r="AM51" s="2449"/>
      <c r="AN51" s="2449"/>
      <c r="AO51" s="2449"/>
      <c r="AP51" s="2449"/>
      <c r="AQ51" s="2449"/>
      <c r="AR51" s="2449"/>
    </row>
    <row r="52" spans="1:44" ht="14.25">
      <c r="A52" s="1610" t="s">
        <v>1244</v>
      </c>
      <c r="B52" s="117">
        <f>SUMIF(A54:A63,B53,B54:B63)</f>
        <v>18</v>
      </c>
      <c r="C52" s="2440"/>
      <c r="D52" s="2452"/>
      <c r="E52" s="2439"/>
      <c r="F52" s="2439"/>
      <c r="G52" s="2439"/>
      <c r="H52" s="2439"/>
      <c r="I52" s="2439"/>
      <c r="J52" s="2439"/>
      <c r="K52" s="2450"/>
      <c r="L52" s="2450"/>
      <c r="M52" s="2449"/>
      <c r="N52" s="2449"/>
      <c r="O52" s="2449"/>
      <c r="P52" s="2449"/>
      <c r="Q52" s="2449"/>
      <c r="R52" s="2449"/>
      <c r="S52" s="2449"/>
      <c r="T52" s="2449"/>
      <c r="U52" s="2449"/>
      <c r="V52" s="2449"/>
      <c r="W52" s="2449"/>
      <c r="X52" s="2449"/>
      <c r="Y52" s="2449"/>
      <c r="Z52" s="2449"/>
      <c r="AA52" s="2449"/>
      <c r="AB52" s="2449"/>
      <c r="AC52" s="2449"/>
      <c r="AD52" s="2449"/>
      <c r="AE52" s="2449"/>
      <c r="AF52" s="2449"/>
      <c r="AG52" s="2449"/>
      <c r="AH52" s="2449"/>
      <c r="AI52" s="2449"/>
      <c r="AJ52" s="2449"/>
      <c r="AK52" s="2449"/>
      <c r="AL52" s="2449"/>
      <c r="AM52" s="2449"/>
      <c r="AN52" s="2449"/>
      <c r="AO52" s="2449"/>
      <c r="AP52" s="2449"/>
      <c r="AQ52" s="2449"/>
      <c r="AR52" s="2449"/>
    </row>
    <row r="53" spans="1:44" ht="27">
      <c r="A53" s="1602" t="s">
        <v>1245</v>
      </c>
      <c r="B53" s="1611" t="s">
        <v>296</v>
      </c>
      <c r="C53" s="2440" t="s">
        <v>1246</v>
      </c>
      <c r="D53" s="2565" t="s">
        <v>2294</v>
      </c>
      <c r="E53" s="2439"/>
      <c r="F53" s="2439"/>
      <c r="G53" s="2439"/>
      <c r="H53" s="2439"/>
      <c r="I53" s="2439"/>
      <c r="J53" s="2439"/>
      <c r="K53" s="2450"/>
      <c r="L53" s="2450"/>
      <c r="M53" s="2449"/>
      <c r="N53" s="2449"/>
      <c r="O53" s="2449"/>
      <c r="P53" s="2449"/>
      <c r="Q53" s="2449"/>
      <c r="R53" s="2449"/>
      <c r="S53" s="2449"/>
      <c r="T53" s="2449"/>
      <c r="U53" s="2449"/>
      <c r="V53" s="2449"/>
      <c r="W53" s="2449"/>
      <c r="X53" s="2449"/>
      <c r="Y53" s="2449"/>
      <c r="Z53" s="2449"/>
      <c r="AA53" s="2449"/>
      <c r="AB53" s="2449"/>
      <c r="AC53" s="2449"/>
      <c r="AD53" s="2449"/>
      <c r="AE53" s="2449"/>
      <c r="AF53" s="2449"/>
      <c r="AG53" s="2449"/>
      <c r="AH53" s="2449"/>
      <c r="AI53" s="2449"/>
      <c r="AJ53" s="2449"/>
      <c r="AK53" s="2449"/>
      <c r="AL53" s="2449"/>
      <c r="AM53" s="2449"/>
      <c r="AN53" s="2449"/>
      <c r="AO53" s="2449"/>
      <c r="AP53" s="2449"/>
      <c r="AQ53" s="2449"/>
      <c r="AR53" s="2449"/>
    </row>
    <row r="54" spans="1:44" ht="14.25">
      <c r="A54" s="1612" t="s">
        <v>1247</v>
      </c>
      <c r="B54" s="72"/>
      <c r="C54" s="2440">
        <v>30</v>
      </c>
      <c r="D54" s="2452"/>
      <c r="E54" s="2439"/>
      <c r="F54" s="2439"/>
      <c r="G54" s="2439"/>
      <c r="H54" s="2439"/>
      <c r="I54" s="2439"/>
      <c r="J54" s="2439"/>
      <c r="K54" s="2450"/>
      <c r="L54" s="2450"/>
      <c r="M54" s="2449"/>
      <c r="N54" s="2449"/>
      <c r="O54" s="2449"/>
      <c r="P54" s="2449"/>
      <c r="Q54" s="2449"/>
      <c r="R54" s="2449"/>
      <c r="S54" s="2449"/>
      <c r="T54" s="2449"/>
      <c r="U54" s="2449"/>
      <c r="V54" s="2449"/>
      <c r="W54" s="2449"/>
      <c r="X54" s="2449"/>
      <c r="Y54" s="2449"/>
      <c r="Z54" s="2449"/>
      <c r="AA54" s="2449"/>
      <c r="AB54" s="2449"/>
      <c r="AC54" s="2449"/>
      <c r="AD54" s="2449"/>
      <c r="AE54" s="2449"/>
      <c r="AF54" s="2449"/>
      <c r="AG54" s="2449"/>
      <c r="AH54" s="2449"/>
      <c r="AI54" s="2449"/>
      <c r="AJ54" s="2449"/>
      <c r="AK54" s="2449"/>
      <c r="AL54" s="2449"/>
      <c r="AM54" s="2449"/>
      <c r="AN54" s="2449"/>
      <c r="AO54" s="2449"/>
      <c r="AP54" s="2449"/>
      <c r="AQ54" s="2449"/>
      <c r="AR54" s="2449"/>
    </row>
    <row r="55" spans="1:44" ht="14.25">
      <c r="A55" s="1612" t="s">
        <v>1248</v>
      </c>
      <c r="B55" s="72"/>
      <c r="C55" s="2440">
        <v>24</v>
      </c>
      <c r="D55" s="2452"/>
      <c r="E55" s="2439"/>
      <c r="F55" s="2439"/>
      <c r="G55" s="2439"/>
      <c r="H55" s="2439"/>
      <c r="I55" s="2439"/>
      <c r="J55" s="2439"/>
      <c r="K55" s="2450"/>
      <c r="L55" s="2450"/>
      <c r="M55" s="2449"/>
      <c r="N55" s="2449"/>
      <c r="O55" s="2449"/>
      <c r="P55" s="2449"/>
      <c r="Q55" s="2449"/>
      <c r="R55" s="2449"/>
      <c r="S55" s="2449"/>
      <c r="T55" s="2449"/>
      <c r="U55" s="2449"/>
      <c r="V55" s="2449"/>
      <c r="W55" s="2449"/>
      <c r="X55" s="2449"/>
      <c r="Y55" s="2449"/>
      <c r="Z55" s="2449"/>
      <c r="AA55" s="2449"/>
      <c r="AB55" s="2449"/>
      <c r="AC55" s="2449"/>
      <c r="AD55" s="2449"/>
      <c r="AE55" s="2449"/>
      <c r="AF55" s="2449"/>
      <c r="AG55" s="2449"/>
      <c r="AH55" s="2449"/>
      <c r="AI55" s="2449"/>
      <c r="AJ55" s="2449"/>
      <c r="AK55" s="2449"/>
      <c r="AL55" s="2449"/>
      <c r="AM55" s="2449"/>
      <c r="AN55" s="2449"/>
      <c r="AO55" s="2449"/>
      <c r="AP55" s="2449"/>
      <c r="AQ55" s="2449"/>
      <c r="AR55" s="2449"/>
    </row>
    <row r="56" spans="1:44" ht="14.25">
      <c r="A56" s="1612" t="s">
        <v>1249</v>
      </c>
      <c r="B56" s="72">
        <v>18</v>
      </c>
      <c r="C56" s="2440">
        <v>18</v>
      </c>
      <c r="D56" s="2452"/>
      <c r="E56" s="2439"/>
      <c r="F56" s="2439"/>
      <c r="G56" s="2439"/>
      <c r="H56" s="2439"/>
      <c r="I56" s="2439"/>
      <c r="J56" s="2439"/>
      <c r="K56" s="2450"/>
      <c r="L56" s="2450"/>
      <c r="M56" s="2449"/>
      <c r="N56" s="2449"/>
      <c r="O56" s="2449"/>
      <c r="P56" s="2449"/>
      <c r="Q56" s="2449"/>
      <c r="R56" s="2449"/>
      <c r="S56" s="2449"/>
      <c r="T56" s="2449"/>
      <c r="U56" s="2449"/>
      <c r="V56" s="2449"/>
      <c r="W56" s="2449"/>
      <c r="X56" s="2449"/>
      <c r="Y56" s="2449"/>
      <c r="Z56" s="2449"/>
      <c r="AA56" s="2449"/>
      <c r="AB56" s="2449"/>
      <c r="AC56" s="2449"/>
      <c r="AD56" s="2449"/>
      <c r="AE56" s="2449"/>
      <c r="AF56" s="2449"/>
      <c r="AG56" s="2449"/>
      <c r="AH56" s="2449"/>
      <c r="AI56" s="2449"/>
      <c r="AJ56" s="2449"/>
      <c r="AK56" s="2449"/>
      <c r="AL56" s="2449"/>
      <c r="AM56" s="2449"/>
      <c r="AN56" s="2449"/>
      <c r="AO56" s="2449"/>
      <c r="AP56" s="2449"/>
      <c r="AQ56" s="2449"/>
      <c r="AR56" s="2449"/>
    </row>
    <row r="57" spans="1:44" ht="14.25">
      <c r="A57" s="1612" t="s">
        <v>1250</v>
      </c>
      <c r="B57" s="72"/>
      <c r="C57" s="2440">
        <v>12</v>
      </c>
      <c r="D57" s="2452"/>
      <c r="E57" s="2439"/>
      <c r="F57" s="2439"/>
      <c r="G57" s="2439"/>
      <c r="H57" s="2439"/>
      <c r="I57" s="2439"/>
      <c r="J57" s="2439"/>
      <c r="K57" s="2450"/>
      <c r="L57" s="2450"/>
      <c r="M57" s="2449"/>
      <c r="N57" s="2449"/>
      <c r="O57" s="2449"/>
      <c r="P57" s="2449"/>
      <c r="Q57" s="2449"/>
      <c r="R57" s="2449"/>
      <c r="S57" s="2449"/>
      <c r="T57" s="2449"/>
      <c r="U57" s="2449"/>
      <c r="V57" s="2449"/>
      <c r="W57" s="2449"/>
      <c r="X57" s="2449"/>
      <c r="Y57" s="2449"/>
      <c r="Z57" s="2449"/>
      <c r="AA57" s="2449"/>
      <c r="AB57" s="2449"/>
      <c r="AC57" s="2449"/>
      <c r="AD57" s="2449"/>
      <c r="AE57" s="2449"/>
      <c r="AF57" s="2449"/>
      <c r="AG57" s="2449"/>
      <c r="AH57" s="2449"/>
      <c r="AI57" s="2449"/>
      <c r="AJ57" s="2449"/>
      <c r="AK57" s="2449"/>
      <c r="AL57" s="2449"/>
      <c r="AM57" s="2449"/>
      <c r="AN57" s="2449"/>
      <c r="AO57" s="2449"/>
      <c r="AP57" s="2449"/>
      <c r="AQ57" s="2449"/>
      <c r="AR57" s="2449"/>
    </row>
    <row r="58" spans="1:44" ht="14.25">
      <c r="A58" s="1612" t="s">
        <v>1251</v>
      </c>
      <c r="B58" s="72"/>
      <c r="C58" s="2440">
        <v>3</v>
      </c>
      <c r="D58" s="2452"/>
      <c r="E58" s="2439"/>
      <c r="F58" s="2439"/>
      <c r="G58" s="2439"/>
      <c r="H58" s="2439"/>
      <c r="I58" s="2439"/>
      <c r="J58" s="2439"/>
      <c r="K58" s="2450"/>
      <c r="L58" s="2450"/>
      <c r="M58" s="2449"/>
      <c r="N58" s="2449"/>
      <c r="O58" s="2449"/>
      <c r="P58" s="2449"/>
      <c r="Q58" s="2449"/>
      <c r="R58" s="2449"/>
      <c r="S58" s="2449"/>
      <c r="T58" s="2449"/>
      <c r="U58" s="2449"/>
      <c r="V58" s="2449"/>
      <c r="W58" s="2449"/>
      <c r="X58" s="2449"/>
      <c r="Y58" s="2449"/>
      <c r="Z58" s="2449"/>
      <c r="AA58" s="2449"/>
      <c r="AB58" s="2449"/>
      <c r="AC58" s="2449"/>
      <c r="AD58" s="2449"/>
      <c r="AE58" s="2449"/>
      <c r="AF58" s="2449"/>
      <c r="AG58" s="2449"/>
      <c r="AH58" s="2449"/>
      <c r="AI58" s="2449"/>
      <c r="AJ58" s="2449"/>
      <c r="AK58" s="2449"/>
      <c r="AL58" s="2449"/>
      <c r="AM58" s="2449"/>
      <c r="AN58" s="2449"/>
      <c r="AO58" s="2449"/>
      <c r="AP58" s="2449"/>
      <c r="AQ58" s="2449"/>
      <c r="AR58" s="2449"/>
    </row>
    <row r="59" spans="1:44" ht="14.25">
      <c r="A59" s="1612" t="s">
        <v>1252</v>
      </c>
      <c r="B59" s="72"/>
      <c r="C59" s="2440">
        <v>1.5</v>
      </c>
      <c r="D59" s="2452"/>
      <c r="E59" s="2439"/>
      <c r="F59" s="2439"/>
      <c r="G59" s="2439"/>
      <c r="H59" s="2439"/>
      <c r="I59" s="2439"/>
      <c r="J59" s="2439"/>
      <c r="K59" s="2450"/>
      <c r="L59" s="2450"/>
      <c r="M59" s="2449"/>
      <c r="N59" s="2449"/>
      <c r="O59" s="2449"/>
      <c r="P59" s="2449"/>
      <c r="Q59" s="2449"/>
      <c r="R59" s="2449"/>
      <c r="S59" s="2449"/>
      <c r="T59" s="2449"/>
      <c r="U59" s="2449"/>
      <c r="V59" s="2449"/>
      <c r="W59" s="2449"/>
      <c r="X59" s="2449"/>
      <c r="Y59" s="2449"/>
      <c r="Z59" s="2449"/>
      <c r="AA59" s="2449"/>
      <c r="AB59" s="2449"/>
      <c r="AC59" s="2449"/>
      <c r="AD59" s="2449"/>
      <c r="AE59" s="2449"/>
      <c r="AF59" s="2449"/>
      <c r="AG59" s="2449"/>
      <c r="AH59" s="2449"/>
      <c r="AI59" s="2449"/>
      <c r="AJ59" s="2449"/>
      <c r="AK59" s="2449"/>
      <c r="AL59" s="2449"/>
      <c r="AM59" s="2449"/>
      <c r="AN59" s="2449"/>
      <c r="AO59" s="2449"/>
      <c r="AP59" s="2449"/>
      <c r="AQ59" s="2449"/>
      <c r="AR59" s="2449"/>
    </row>
    <row r="60" spans="1:44" ht="14.25">
      <c r="A60" s="1612" t="s">
        <v>1253</v>
      </c>
      <c r="B60" s="72"/>
      <c r="C60" s="2439"/>
      <c r="D60" s="2452"/>
      <c r="E60" s="2439"/>
      <c r="F60" s="2439"/>
      <c r="G60" s="2439"/>
      <c r="H60" s="2439"/>
      <c r="I60" s="2439"/>
      <c r="J60" s="2439"/>
      <c r="K60" s="2450"/>
      <c r="L60" s="2450"/>
      <c r="M60" s="2449"/>
      <c r="N60" s="2449"/>
      <c r="O60" s="2449"/>
      <c r="P60" s="2449"/>
      <c r="Q60" s="2449"/>
      <c r="R60" s="2449"/>
      <c r="S60" s="2449"/>
      <c r="T60" s="2449"/>
      <c r="U60" s="2449"/>
      <c r="V60" s="2449"/>
      <c r="W60" s="2449"/>
      <c r="X60" s="2449"/>
      <c r="Y60" s="2449"/>
      <c r="Z60" s="2449"/>
      <c r="AA60" s="2449"/>
      <c r="AB60" s="2449"/>
      <c r="AC60" s="2449"/>
      <c r="AD60" s="2449"/>
      <c r="AE60" s="2449"/>
      <c r="AF60" s="2449"/>
      <c r="AG60" s="2449"/>
      <c r="AH60" s="2449"/>
      <c r="AI60" s="2449"/>
      <c r="AJ60" s="2449"/>
      <c r="AK60" s="2449"/>
      <c r="AL60" s="2449"/>
      <c r="AM60" s="2449"/>
      <c r="AN60" s="2449"/>
      <c r="AO60" s="2449"/>
      <c r="AP60" s="2449"/>
      <c r="AQ60" s="2449"/>
      <c r="AR60" s="2449"/>
    </row>
    <row r="61" spans="1:44" ht="14.25">
      <c r="A61" s="1612" t="s">
        <v>1254</v>
      </c>
      <c r="B61" s="72"/>
      <c r="C61" s="2439"/>
      <c r="D61" s="2452"/>
      <c r="E61" s="2439"/>
      <c r="F61" s="2439"/>
      <c r="G61" s="2439"/>
      <c r="H61" s="2439"/>
      <c r="I61" s="2439"/>
      <c r="J61" s="2439"/>
      <c r="K61" s="2450"/>
      <c r="L61" s="2450"/>
      <c r="M61" s="2449"/>
      <c r="N61" s="2449"/>
      <c r="O61" s="2449"/>
      <c r="P61" s="2449"/>
      <c r="Q61" s="2449"/>
      <c r="R61" s="2449"/>
      <c r="S61" s="2449"/>
      <c r="T61" s="2449"/>
      <c r="U61" s="2449"/>
      <c r="V61" s="2449"/>
      <c r="W61" s="2449"/>
      <c r="X61" s="2449"/>
      <c r="Y61" s="2449"/>
      <c r="Z61" s="2449"/>
      <c r="AA61" s="2449"/>
      <c r="AB61" s="2449"/>
      <c r="AC61" s="2449"/>
      <c r="AD61" s="2449"/>
      <c r="AE61" s="2449"/>
      <c r="AF61" s="2449"/>
      <c r="AG61" s="2449"/>
      <c r="AH61" s="2449"/>
      <c r="AI61" s="2449"/>
      <c r="AJ61" s="2449"/>
      <c r="AK61" s="2449"/>
      <c r="AL61" s="2449"/>
      <c r="AM61" s="2449"/>
      <c r="AN61" s="2449"/>
      <c r="AO61" s="2449"/>
      <c r="AP61" s="2449"/>
      <c r="AQ61" s="2449"/>
      <c r="AR61" s="2449"/>
    </row>
    <row r="62" spans="1:44" ht="14.25">
      <c r="A62" s="1612" t="s">
        <v>1255</v>
      </c>
      <c r="B62" s="72"/>
      <c r="C62" s="2439"/>
      <c r="D62" s="2452"/>
      <c r="E62" s="2439"/>
      <c r="F62" s="2439"/>
      <c r="G62" s="2439"/>
      <c r="H62" s="2439"/>
      <c r="I62" s="2439"/>
      <c r="J62" s="2439"/>
      <c r="K62" s="2450"/>
      <c r="L62" s="2450"/>
      <c r="M62" s="2449"/>
      <c r="N62" s="2449"/>
      <c r="O62" s="2449"/>
      <c r="P62" s="2449"/>
      <c r="Q62" s="2449"/>
      <c r="R62" s="2449"/>
      <c r="S62" s="2449"/>
      <c r="T62" s="2449"/>
      <c r="U62" s="2449"/>
      <c r="V62" s="2449"/>
      <c r="W62" s="2449"/>
      <c r="X62" s="2449"/>
      <c r="Y62" s="2449"/>
      <c r="Z62" s="2449"/>
      <c r="AA62" s="2449"/>
      <c r="AB62" s="2449"/>
      <c r="AC62" s="2449"/>
      <c r="AD62" s="2449"/>
      <c r="AE62" s="2449"/>
      <c r="AF62" s="2449"/>
      <c r="AG62" s="2449"/>
      <c r="AH62" s="2449"/>
      <c r="AI62" s="2449"/>
      <c r="AJ62" s="2449"/>
      <c r="AK62" s="2449"/>
      <c r="AL62" s="2449"/>
      <c r="AM62" s="2449"/>
      <c r="AN62" s="2449"/>
      <c r="AO62" s="2449"/>
      <c r="AP62" s="2449"/>
      <c r="AQ62" s="2449"/>
      <c r="AR62" s="2449"/>
    </row>
    <row r="63" spans="1:44" ht="15" thickBot="1">
      <c r="A63" s="1613" t="s">
        <v>1256</v>
      </c>
      <c r="B63" s="118"/>
      <c r="C63" s="2439"/>
      <c r="D63" s="2452"/>
      <c r="E63" s="2439"/>
      <c r="F63" s="2439"/>
      <c r="G63" s="2439"/>
      <c r="H63" s="2439"/>
      <c r="I63" s="2439"/>
      <c r="J63" s="2439"/>
      <c r="K63" s="2450"/>
      <c r="L63" s="2450"/>
      <c r="M63" s="2449"/>
      <c r="N63" s="2449"/>
      <c r="O63" s="2449"/>
      <c r="P63" s="2449"/>
      <c r="Q63" s="2449"/>
      <c r="R63" s="2449"/>
      <c r="S63" s="2449"/>
      <c r="T63" s="2449"/>
      <c r="U63" s="2449"/>
      <c r="V63" s="2449"/>
      <c r="W63" s="2449"/>
      <c r="X63" s="2449"/>
      <c r="Y63" s="2449"/>
      <c r="Z63" s="2449"/>
      <c r="AA63" s="2449"/>
      <c r="AB63" s="2449"/>
      <c r="AC63" s="2449"/>
      <c r="AD63" s="2449"/>
      <c r="AE63" s="2449"/>
      <c r="AF63" s="2449"/>
      <c r="AG63" s="2449"/>
      <c r="AH63" s="2449"/>
      <c r="AI63" s="2449"/>
      <c r="AJ63" s="2449"/>
      <c r="AK63" s="2449"/>
      <c r="AL63" s="2449"/>
      <c r="AM63" s="2449"/>
      <c r="AN63" s="2449"/>
      <c r="AO63" s="2449"/>
      <c r="AP63" s="2449"/>
      <c r="AQ63" s="2449"/>
      <c r="AR63" s="2449"/>
    </row>
    <row r="64" spans="1:44" s="684" customFormat="1">
      <c r="A64" s="2442"/>
      <c r="B64" s="2449"/>
      <c r="C64" s="2449"/>
      <c r="D64" s="2451"/>
      <c r="E64" s="2449"/>
      <c r="F64" s="2449"/>
      <c r="G64" s="2449"/>
      <c r="H64" s="2449"/>
      <c r="I64" s="2449"/>
      <c r="J64" s="2449"/>
      <c r="K64" s="2450"/>
      <c r="L64" s="2450"/>
      <c r="M64" s="2449"/>
      <c r="N64" s="2449"/>
      <c r="O64" s="2449"/>
      <c r="P64" s="2449"/>
      <c r="Q64" s="2449"/>
      <c r="R64" s="2449"/>
      <c r="S64" s="2449"/>
      <c r="T64" s="2449"/>
      <c r="U64" s="2449"/>
      <c r="V64" s="2449"/>
      <c r="W64" s="2449"/>
      <c r="X64" s="2449"/>
      <c r="Y64" s="2449"/>
      <c r="Z64" s="2449"/>
      <c r="AA64" s="2449"/>
      <c r="AB64" s="2449"/>
      <c r="AC64" s="2449"/>
      <c r="AD64" s="2449"/>
      <c r="AE64" s="2449"/>
      <c r="AF64" s="2449"/>
      <c r="AG64" s="2449"/>
      <c r="AH64" s="2449"/>
      <c r="AI64" s="2449"/>
      <c r="AJ64" s="2449"/>
      <c r="AK64" s="2449"/>
      <c r="AL64" s="2449"/>
      <c r="AM64" s="2449"/>
      <c r="AN64" s="2449"/>
      <c r="AO64" s="2449"/>
      <c r="AP64" s="2449"/>
      <c r="AQ64" s="2449"/>
      <c r="AR64" s="2449"/>
    </row>
    <row r="65" spans="1:44" s="684" customFormat="1">
      <c r="A65" s="2442"/>
      <c r="B65" s="2449"/>
      <c r="C65" s="2449"/>
      <c r="D65" s="2451"/>
      <c r="E65" s="2449"/>
      <c r="F65" s="2449"/>
      <c r="G65" s="2449"/>
      <c r="H65" s="2449"/>
      <c r="I65" s="2449"/>
      <c r="J65" s="2449"/>
      <c r="K65" s="2450"/>
      <c r="L65" s="2450"/>
      <c r="M65" s="2449"/>
      <c r="N65" s="2449"/>
      <c r="O65" s="2449"/>
      <c r="P65" s="2449"/>
      <c r="Q65" s="2449"/>
      <c r="R65" s="2449"/>
      <c r="S65" s="2449"/>
      <c r="T65" s="2449"/>
      <c r="U65" s="2449"/>
      <c r="V65" s="2449"/>
      <c r="W65" s="2449"/>
      <c r="X65" s="2449"/>
      <c r="Y65" s="2449"/>
      <c r="Z65" s="2449"/>
      <c r="AA65" s="2449"/>
      <c r="AB65" s="2449"/>
      <c r="AC65" s="2449"/>
      <c r="AD65" s="2449"/>
      <c r="AE65" s="2449"/>
      <c r="AF65" s="2449"/>
      <c r="AG65" s="2449"/>
      <c r="AH65" s="2449"/>
      <c r="AI65" s="2449"/>
      <c r="AJ65" s="2449"/>
      <c r="AK65" s="2449"/>
      <c r="AL65" s="2449"/>
      <c r="AM65" s="2449"/>
      <c r="AN65" s="2449"/>
      <c r="AO65" s="2449"/>
      <c r="AP65" s="2449"/>
      <c r="AQ65" s="2449"/>
      <c r="AR65" s="2449"/>
    </row>
    <row r="66" spans="1:44" s="684" customFormat="1">
      <c r="A66" s="2442"/>
      <c r="B66" s="2449"/>
      <c r="C66" s="2449"/>
      <c r="D66" s="2451"/>
      <c r="E66" s="2449"/>
      <c r="F66" s="2449"/>
      <c r="G66" s="2449"/>
      <c r="H66" s="2449"/>
      <c r="I66" s="2449"/>
      <c r="J66" s="2449"/>
      <c r="K66" s="2450"/>
      <c r="L66" s="2450"/>
      <c r="M66" s="2449"/>
      <c r="N66" s="2449"/>
      <c r="O66" s="2449"/>
      <c r="P66" s="2449"/>
      <c r="Q66" s="2449"/>
      <c r="R66" s="2449"/>
      <c r="S66" s="2449"/>
      <c r="T66" s="2449"/>
      <c r="U66" s="2449"/>
      <c r="V66" s="2449"/>
      <c r="W66" s="2449"/>
      <c r="X66" s="2449"/>
      <c r="Y66" s="2449"/>
      <c r="Z66" s="2449"/>
      <c r="AA66" s="2449"/>
      <c r="AB66" s="2449"/>
      <c r="AC66" s="2449"/>
      <c r="AD66" s="2449"/>
      <c r="AE66" s="2449"/>
      <c r="AF66" s="2449"/>
      <c r="AG66" s="2449"/>
      <c r="AH66" s="2449"/>
      <c r="AI66" s="2449"/>
      <c r="AJ66" s="2449"/>
      <c r="AK66" s="2449"/>
      <c r="AL66" s="2449"/>
      <c r="AM66" s="2449"/>
      <c r="AN66" s="2449"/>
      <c r="AO66" s="2449"/>
      <c r="AP66" s="2449"/>
      <c r="AQ66" s="2449"/>
      <c r="AR66" s="2449"/>
    </row>
    <row r="67" spans="1:44" s="684" customFormat="1">
      <c r="A67" s="2442"/>
      <c r="B67" s="2449"/>
      <c r="C67" s="2449"/>
      <c r="D67" s="2451"/>
      <c r="E67" s="2449"/>
      <c r="F67" s="2449"/>
      <c r="G67" s="2449"/>
      <c r="H67" s="2449"/>
      <c r="I67" s="2449"/>
      <c r="J67" s="2449"/>
      <c r="K67" s="2450"/>
      <c r="L67" s="2450"/>
      <c r="M67" s="2449"/>
      <c r="N67" s="2449"/>
      <c r="O67" s="2449"/>
      <c r="P67" s="2449"/>
      <c r="Q67" s="2449"/>
      <c r="R67" s="2449"/>
      <c r="S67" s="2449"/>
      <c r="T67" s="2449"/>
      <c r="U67" s="2449"/>
      <c r="V67" s="2449"/>
      <c r="W67" s="2449"/>
      <c r="X67" s="2449"/>
      <c r="Y67" s="2449"/>
      <c r="Z67" s="2449"/>
      <c r="AA67" s="2449"/>
      <c r="AB67" s="2449"/>
      <c r="AC67" s="2449"/>
      <c r="AD67" s="2449"/>
      <c r="AE67" s="2449"/>
      <c r="AF67" s="2449"/>
      <c r="AG67" s="2449"/>
      <c r="AH67" s="2449"/>
      <c r="AI67" s="2449"/>
      <c r="AJ67" s="2449"/>
      <c r="AK67" s="2449"/>
      <c r="AL67" s="2449"/>
      <c r="AM67" s="2449"/>
      <c r="AN67" s="2449"/>
      <c r="AO67" s="2449"/>
      <c r="AP67" s="2449"/>
      <c r="AQ67" s="2449"/>
      <c r="AR67" s="2449"/>
    </row>
    <row r="68" spans="1:44" s="684" customFormat="1">
      <c r="A68" s="2442"/>
      <c r="B68" s="2449"/>
      <c r="C68" s="2449"/>
      <c r="D68" s="2451"/>
      <c r="E68" s="2449"/>
      <c r="F68" s="2449"/>
      <c r="G68" s="2449"/>
      <c r="H68" s="2449"/>
      <c r="I68" s="2449"/>
      <c r="J68" s="2449"/>
      <c r="K68" s="2450"/>
      <c r="L68" s="2450"/>
      <c r="M68" s="2449"/>
      <c r="N68" s="2449"/>
      <c r="O68" s="2449"/>
      <c r="P68" s="2449"/>
      <c r="Q68" s="2449"/>
      <c r="R68" s="2449"/>
      <c r="S68" s="2449"/>
      <c r="T68" s="2449"/>
      <c r="U68" s="2449"/>
      <c r="V68" s="2449"/>
      <c r="W68" s="2449"/>
      <c r="X68" s="2449"/>
      <c r="Y68" s="2449"/>
      <c r="Z68" s="2449"/>
      <c r="AA68" s="2449"/>
      <c r="AB68" s="2449"/>
      <c r="AC68" s="2449"/>
      <c r="AD68" s="2449"/>
      <c r="AE68" s="2449"/>
      <c r="AF68" s="2449"/>
      <c r="AG68" s="2449"/>
      <c r="AH68" s="2449"/>
      <c r="AI68" s="2449"/>
      <c r="AJ68" s="2449"/>
      <c r="AK68" s="2449"/>
      <c r="AL68" s="2449"/>
      <c r="AM68" s="2449"/>
      <c r="AN68" s="2449"/>
      <c r="AO68" s="2449"/>
      <c r="AP68" s="2449"/>
      <c r="AQ68" s="2449"/>
      <c r="AR68" s="2449"/>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7" customWidth="1"/>
    <col min="9" max="9" width="16.75" style="2277" customWidth="1"/>
    <col min="10" max="10" width="2.625" style="2277" customWidth="1"/>
    <col min="11" max="11" width="11.875" style="2277" customWidth="1"/>
    <col min="12" max="12" width="16.75" style="2277" customWidth="1"/>
    <col min="13" max="13" width="2.625" style="2277" customWidth="1"/>
    <col min="14" max="14" width="11.875" style="2277" customWidth="1"/>
    <col min="15" max="15" width="16.75" style="2277" customWidth="1"/>
    <col min="16" max="16" width="2.625" style="2277" customWidth="1"/>
    <col min="17" max="17" width="11.875" style="2277" customWidth="1"/>
    <col min="18" max="18" width="16.75" style="751" customWidth="1"/>
    <col min="19" max="29" width="9" style="751"/>
    <col min="30" max="16384" width="9" style="1522"/>
  </cols>
  <sheetData>
    <row r="1" spans="1:29" s="2259" customFormat="1" ht="18.75" thickBot="1">
      <c r="A1" s="3297" t="s">
        <v>2277</v>
      </c>
      <c r="B1" s="3298"/>
      <c r="C1" s="3298"/>
      <c r="D1" s="3298"/>
      <c r="E1" s="3298"/>
      <c r="F1" s="3298"/>
      <c r="G1" s="3298"/>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2274</v>
      </c>
      <c r="D2" s="1595"/>
      <c r="E2" s="2260"/>
      <c r="F2" s="2263"/>
      <c r="G2" s="2262" t="s">
        <v>2275</v>
      </c>
      <c r="H2" s="751"/>
      <c r="I2" s="751"/>
      <c r="J2" s="751"/>
      <c r="K2" s="751"/>
      <c r="L2" s="751"/>
      <c r="M2" s="751"/>
      <c r="N2" s="751"/>
      <c r="O2" s="751"/>
      <c r="P2" s="751"/>
      <c r="Q2" s="751"/>
    </row>
    <row r="3" spans="1:29" ht="24">
      <c r="A3" s="2247" t="s">
        <v>2276</v>
      </c>
      <c r="B3" s="2264" t="s">
        <v>2252</v>
      </c>
      <c r="C3" s="2265"/>
      <c r="D3" s="2266"/>
      <c r="E3" s="2248" t="s">
        <v>2276</v>
      </c>
      <c r="F3" s="2267" t="s">
        <v>2253</v>
      </c>
      <c r="G3" s="2268"/>
      <c r="H3" s="751"/>
      <c r="I3" s="751"/>
      <c r="J3" s="751"/>
      <c r="K3" s="751"/>
      <c r="L3" s="751"/>
      <c r="M3" s="751"/>
      <c r="N3" s="751"/>
      <c r="O3" s="751"/>
      <c r="P3" s="751"/>
      <c r="Q3" s="751"/>
    </row>
    <row r="4" spans="1:29">
      <c r="A4" s="2248"/>
      <c r="B4" s="315" t="s">
        <v>2254</v>
      </c>
      <c r="C4" s="2269"/>
      <c r="D4" s="2266"/>
      <c r="E4" s="2270"/>
      <c r="F4" s="1281" t="s">
        <v>2255</v>
      </c>
      <c r="G4" s="2271"/>
      <c r="H4" s="751"/>
      <c r="I4" s="751"/>
      <c r="J4" s="751"/>
      <c r="K4" s="751"/>
      <c r="L4" s="751"/>
      <c r="M4" s="751"/>
      <c r="N4" s="751"/>
      <c r="O4" s="751"/>
      <c r="P4" s="751"/>
      <c r="Q4" s="751"/>
    </row>
    <row r="5" spans="1:29">
      <c r="A5" s="2248"/>
      <c r="B5" s="315" t="s">
        <v>2256</v>
      </c>
      <c r="C5" s="2269"/>
      <c r="D5" s="2266"/>
      <c r="E5" s="2270"/>
      <c r="F5" s="315" t="s">
        <v>2257</v>
      </c>
      <c r="G5" s="2271"/>
      <c r="H5" s="751"/>
      <c r="I5" s="751"/>
      <c r="J5" s="751"/>
      <c r="K5" s="751"/>
      <c r="L5" s="751"/>
      <c r="M5" s="751"/>
      <c r="N5" s="751"/>
      <c r="O5" s="751"/>
      <c r="P5" s="751"/>
      <c r="Q5" s="751"/>
    </row>
    <row r="6" spans="1:29">
      <c r="A6" s="2248"/>
      <c r="B6" s="315" t="s">
        <v>2258</v>
      </c>
      <c r="C6" s="2271"/>
      <c r="D6" s="2266"/>
      <c r="E6" s="2270"/>
      <c r="F6" s="315" t="s">
        <v>2259</v>
      </c>
      <c r="G6" s="2271"/>
      <c r="H6" s="751"/>
      <c r="I6" s="751"/>
      <c r="J6" s="751"/>
      <c r="K6" s="751"/>
      <c r="L6" s="751"/>
      <c r="M6" s="751"/>
      <c r="N6" s="751"/>
      <c r="O6" s="751"/>
      <c r="P6" s="751"/>
      <c r="Q6" s="751"/>
    </row>
    <row r="7" spans="1:29" ht="15" thickBot="1">
      <c r="A7" s="2248"/>
      <c r="B7" s="315" t="s">
        <v>2257</v>
      </c>
      <c r="C7" s="2271"/>
      <c r="D7" s="2245"/>
      <c r="E7" s="2272"/>
      <c r="F7" s="2273" t="s">
        <v>2260</v>
      </c>
      <c r="G7" s="2274"/>
      <c r="H7" s="751"/>
      <c r="I7" s="751"/>
      <c r="J7" s="751"/>
      <c r="K7" s="751"/>
      <c r="L7" s="751"/>
      <c r="M7" s="751"/>
      <c r="N7" s="751"/>
      <c r="O7" s="751"/>
      <c r="P7" s="751"/>
      <c r="Q7" s="751"/>
    </row>
    <row r="8" spans="1:29">
      <c r="A8" s="2248"/>
      <c r="B8" s="315" t="s">
        <v>2259</v>
      </c>
      <c r="C8" s="2271"/>
      <c r="D8" s="2245"/>
      <c r="E8" s="2245"/>
      <c r="F8" s="121"/>
      <c r="G8" s="121"/>
      <c r="H8" s="751"/>
      <c r="I8" s="751"/>
      <c r="J8" s="751"/>
      <c r="K8" s="751"/>
      <c r="L8" s="751"/>
      <c r="M8" s="751"/>
      <c r="N8" s="751"/>
      <c r="O8" s="751"/>
      <c r="P8" s="751"/>
      <c r="Q8" s="751"/>
    </row>
    <row r="9" spans="1:29">
      <c r="A9" s="2248"/>
      <c r="B9" s="315" t="s">
        <v>2261</v>
      </c>
      <c r="C9" s="2269"/>
      <c r="D9" s="2266"/>
      <c r="E9" s="2245"/>
      <c r="F9" s="121"/>
      <c r="G9" s="121"/>
      <c r="H9" s="751"/>
      <c r="I9" s="751"/>
      <c r="J9" s="751"/>
      <c r="K9" s="751"/>
      <c r="L9" s="751"/>
      <c r="M9" s="751"/>
      <c r="N9" s="751"/>
      <c r="O9" s="751"/>
      <c r="P9" s="751"/>
      <c r="Q9" s="751"/>
    </row>
    <row r="10" spans="1:29" ht="15" thickBot="1">
      <c r="A10" s="2249"/>
      <c r="B10" s="2275" t="s">
        <v>2262</v>
      </c>
      <c r="C10" s="2276"/>
      <c r="D10" s="2266"/>
      <c r="E10" s="2266"/>
      <c r="F10" s="121"/>
      <c r="G10" s="121"/>
      <c r="J10" s="2278"/>
      <c r="M10" s="2278"/>
      <c r="P10" s="2278"/>
      <c r="R10" s="2277"/>
    </row>
    <row r="11" spans="1:29">
      <c r="A11" s="2279"/>
      <c r="B11" s="2245"/>
      <c r="C11" s="2266"/>
      <c r="D11" s="2266"/>
      <c r="E11" s="2266"/>
      <c r="F11" s="2245"/>
      <c r="G11" s="2245"/>
      <c r="J11" s="2278"/>
      <c r="M11" s="2278"/>
      <c r="P11" s="2278"/>
      <c r="R11" s="2277"/>
    </row>
    <row r="12" spans="1:29" s="2259" customFormat="1" ht="18">
      <c r="A12" s="2279"/>
      <c r="B12" s="2245"/>
      <c r="C12" s="2266"/>
      <c r="D12" s="2280"/>
      <c r="E12" s="2266"/>
      <c r="F12" s="2245"/>
      <c r="G12" s="2245"/>
      <c r="H12" s="2281"/>
      <c r="I12" s="2281"/>
      <c r="J12" s="2281"/>
      <c r="K12" s="2281"/>
      <c r="L12" s="2282"/>
      <c r="M12" s="2281"/>
      <c r="N12" s="2283"/>
      <c r="O12" s="2283"/>
      <c r="P12" s="2283"/>
      <c r="Q12" s="2283"/>
      <c r="R12" s="2258"/>
      <c r="S12" s="2258"/>
      <c r="T12" s="2258"/>
      <c r="U12" s="2258"/>
      <c r="V12" s="2258"/>
      <c r="W12" s="2258"/>
      <c r="X12" s="2258"/>
      <c r="Y12" s="2258"/>
      <c r="Z12" s="2258"/>
      <c r="AA12" s="2258"/>
      <c r="AB12" s="2258"/>
      <c r="AC12" s="2258"/>
    </row>
    <row r="13" spans="1:29" ht="15.75" thickBot="1">
      <c r="A13" s="2284" t="s">
        <v>2278</v>
      </c>
      <c r="B13" s="2280"/>
      <c r="C13" s="2280"/>
      <c r="D13" s="2279"/>
      <c r="E13" s="2280"/>
      <c r="F13" s="2280"/>
      <c r="G13" s="2280"/>
    </row>
    <row r="14" spans="1:29" ht="15" thickBot="1">
      <c r="A14" s="2285"/>
      <c r="B14" s="2285"/>
      <c r="C14" s="2286" t="s">
        <v>2263</v>
      </c>
      <c r="D14" s="2266"/>
      <c r="E14" s="2287"/>
      <c r="F14" s="2287"/>
      <c r="G14" s="2262" t="s">
        <v>2264</v>
      </c>
    </row>
    <row r="15" spans="1:29" ht="24">
      <c r="A15" s="2250" t="s">
        <v>2265</v>
      </c>
      <c r="B15" s="2288" t="s">
        <v>2252</v>
      </c>
      <c r="C15" s="2289">
        <f>C3</f>
        <v>0</v>
      </c>
      <c r="D15" s="2266"/>
      <c r="E15" s="2251" t="s">
        <v>2266</v>
      </c>
      <c r="F15" s="2288" t="s">
        <v>2267</v>
      </c>
      <c r="G15" s="2290">
        <f>G3</f>
        <v>0</v>
      </c>
    </row>
    <row r="16" spans="1:29">
      <c r="A16" s="2252"/>
      <c r="B16" s="2291" t="s">
        <v>2254</v>
      </c>
      <c r="C16" s="2292">
        <f>C4</f>
        <v>0</v>
      </c>
      <c r="D16" s="2266"/>
      <c r="E16" s="2253"/>
      <c r="F16" s="2293" t="s">
        <v>2255</v>
      </c>
      <c r="G16" s="2294">
        <f>G4</f>
        <v>0</v>
      </c>
    </row>
    <row r="17" spans="1:17">
      <c r="A17" s="2252"/>
      <c r="B17" s="2291" t="s">
        <v>2256</v>
      </c>
      <c r="C17" s="2292">
        <f>C5</f>
        <v>0</v>
      </c>
      <c r="D17" s="2245"/>
      <c r="E17" s="2253"/>
      <c r="F17" s="2293" t="s">
        <v>2268</v>
      </c>
      <c r="G17" s="2295"/>
    </row>
    <row r="18" spans="1:17">
      <c r="A18" s="2252"/>
      <c r="B18" s="2293" t="s">
        <v>2258</v>
      </c>
      <c r="C18" s="2294">
        <f>C6</f>
        <v>0</v>
      </c>
      <c r="D18" s="2245"/>
      <c r="E18" s="2253"/>
      <c r="F18" s="2293" t="s">
        <v>2260</v>
      </c>
      <c r="G18" s="2294">
        <f>G7</f>
        <v>0</v>
      </c>
    </row>
    <row r="19" spans="1:17">
      <c r="A19" s="2252"/>
      <c r="B19" s="2293" t="s">
        <v>2269</v>
      </c>
      <c r="C19" s="2295"/>
      <c r="D19" s="2266"/>
      <c r="E19" s="2253"/>
      <c r="F19" s="315" t="s">
        <v>2257</v>
      </c>
      <c r="G19" s="2294">
        <f>G5</f>
        <v>0</v>
      </c>
    </row>
    <row r="20" spans="1:17">
      <c r="A20" s="2252"/>
      <c r="B20" s="2293" t="s">
        <v>2270</v>
      </c>
      <c r="C20" s="2292">
        <f>C9</f>
        <v>0</v>
      </c>
      <c r="D20" s="2245"/>
      <c r="E20" s="2253"/>
      <c r="F20" s="315" t="s">
        <v>2259</v>
      </c>
      <c r="G20" s="2294">
        <f>G6</f>
        <v>0</v>
      </c>
    </row>
    <row r="21" spans="1:17">
      <c r="A21" s="2252"/>
      <c r="B21" s="315" t="s">
        <v>2257</v>
      </c>
      <c r="C21" s="2294">
        <f>C7</f>
        <v>0</v>
      </c>
      <c r="D21" s="2266"/>
      <c r="E21" s="2253"/>
      <c r="F21" s="2293" t="s">
        <v>2271</v>
      </c>
      <c r="G21" s="2296"/>
    </row>
    <row r="22" spans="1:17" ht="13.5" customHeight="1">
      <c r="A22" s="2252"/>
      <c r="B22" s="315" t="s">
        <v>2259</v>
      </c>
      <c r="C22" s="2294">
        <f>C8</f>
        <v>0</v>
      </c>
      <c r="D22" s="2266"/>
      <c r="E22" s="2253"/>
      <c r="F22" s="2293" t="s">
        <v>2262</v>
      </c>
      <c r="G22" s="2295"/>
    </row>
    <row r="23" spans="1:17" s="751" customFormat="1" ht="15" thickBot="1">
      <c r="A23" s="2252"/>
      <c r="B23" s="2293" t="s">
        <v>2271</v>
      </c>
      <c r="C23" s="2296"/>
      <c r="D23" s="1614"/>
      <c r="E23" s="2254"/>
      <c r="F23" s="2297" t="s">
        <v>2272</v>
      </c>
      <c r="G23" s="2298"/>
      <c r="H23" s="2277"/>
      <c r="I23" s="2277"/>
      <c r="J23" s="2277"/>
      <c r="K23" s="2277"/>
      <c r="L23" s="2277"/>
      <c r="M23" s="2277"/>
      <c r="N23" s="2277"/>
      <c r="O23" s="2277"/>
      <c r="P23" s="2277"/>
      <c r="Q23" s="2277"/>
    </row>
    <row r="24" spans="1:17" s="751" customFormat="1" ht="15" thickBot="1">
      <c r="A24" s="2255"/>
      <c r="B24" s="2297" t="s">
        <v>2273</v>
      </c>
      <c r="C24" s="2299">
        <f>C10</f>
        <v>0</v>
      </c>
      <c r="D24" s="1614"/>
      <c r="E24" s="2245"/>
      <c r="F24" s="2245"/>
      <c r="G24" s="2245"/>
      <c r="H24" s="2277"/>
      <c r="I24" s="2277"/>
      <c r="J24" s="2277"/>
      <c r="K24" s="2277"/>
      <c r="L24" s="2277"/>
      <c r="M24" s="2277"/>
      <c r="N24" s="2277"/>
      <c r="O24" s="2277"/>
      <c r="P24" s="2277"/>
      <c r="Q24" s="2277"/>
    </row>
    <row r="25" spans="1:17" s="751" customFormat="1">
      <c r="B25" s="2277"/>
      <c r="C25" s="2277"/>
      <c r="D25" s="2277"/>
      <c r="H25" s="2277"/>
      <c r="I25" s="2277"/>
      <c r="J25" s="2277"/>
      <c r="K25" s="2277"/>
      <c r="L25" s="2277"/>
      <c r="M25" s="2277"/>
      <c r="N25" s="2277"/>
      <c r="O25" s="2277"/>
      <c r="P25" s="2277"/>
      <c r="Q25" s="2277"/>
    </row>
    <row r="26" spans="1:17" s="751" customFormat="1">
      <c r="B26" s="2277"/>
      <c r="C26" s="2277"/>
      <c r="D26" s="2277"/>
      <c r="H26" s="2277"/>
      <c r="I26" s="2277"/>
      <c r="J26" s="2277"/>
      <c r="K26" s="2277"/>
      <c r="L26" s="2277"/>
      <c r="M26" s="2277"/>
      <c r="N26" s="2277"/>
      <c r="O26" s="2277"/>
      <c r="P26" s="2277"/>
      <c r="Q26" s="2277"/>
    </row>
    <row r="27" spans="1:17" s="751" customFormat="1">
      <c r="B27" s="2277"/>
      <c r="C27" s="2277"/>
      <c r="D27" s="2277"/>
      <c r="H27" s="2277"/>
      <c r="I27" s="2277"/>
      <c r="J27" s="2277"/>
      <c r="K27" s="2277"/>
      <c r="L27" s="2277"/>
      <c r="M27" s="2277"/>
      <c r="N27" s="2277"/>
      <c r="O27" s="2277"/>
      <c r="P27" s="2277"/>
      <c r="Q27" s="2277"/>
    </row>
    <row r="28" spans="1:17" s="751" customFormat="1">
      <c r="B28" s="2277"/>
      <c r="C28" s="2277"/>
      <c r="D28" s="2277"/>
      <c r="H28" s="2277"/>
      <c r="I28" s="2277"/>
      <c r="J28" s="2277"/>
      <c r="K28" s="2277"/>
      <c r="L28" s="2277"/>
      <c r="M28" s="2277"/>
      <c r="N28" s="2277"/>
      <c r="O28" s="2277"/>
      <c r="P28" s="2277"/>
      <c r="Q28" s="2277"/>
    </row>
    <row r="29" spans="1:17" s="751" customFormat="1">
      <c r="B29" s="2277"/>
      <c r="C29" s="2277"/>
      <c r="D29" s="2277"/>
      <c r="H29" s="2277"/>
      <c r="I29" s="2277"/>
      <c r="J29" s="2277"/>
      <c r="K29" s="2277"/>
      <c r="L29" s="2277"/>
      <c r="M29" s="2277"/>
      <c r="N29" s="2277"/>
      <c r="O29" s="2277"/>
      <c r="P29" s="2277"/>
      <c r="Q29" s="2277"/>
    </row>
    <row r="30" spans="1:17" s="751" customFormat="1">
      <c r="B30" s="2277"/>
      <c r="C30" s="2277"/>
      <c r="D30" s="2277"/>
      <c r="H30" s="2277"/>
      <c r="I30" s="2277"/>
      <c r="J30" s="2277"/>
      <c r="K30" s="2277"/>
      <c r="L30" s="2277"/>
      <c r="M30" s="2277"/>
      <c r="N30" s="2277"/>
      <c r="O30" s="2277"/>
      <c r="P30" s="2277"/>
      <c r="Q30" s="2277"/>
    </row>
    <row r="31" spans="1:17" s="751" customFormat="1">
      <c r="B31" s="2277"/>
      <c r="C31" s="2277"/>
      <c r="D31" s="2277"/>
      <c r="H31" s="2277"/>
      <c r="I31" s="2277"/>
      <c r="J31" s="2277"/>
      <c r="K31" s="2277"/>
      <c r="L31" s="2277"/>
      <c r="M31" s="2277"/>
      <c r="N31" s="2277"/>
      <c r="O31" s="2277"/>
      <c r="P31" s="2277"/>
      <c r="Q31" s="2277"/>
    </row>
    <row r="32" spans="1:17" s="751" customFormat="1">
      <c r="B32" s="2277"/>
      <c r="C32" s="2277"/>
      <c r="D32" s="2277"/>
      <c r="H32" s="2277"/>
      <c r="I32" s="2277"/>
      <c r="J32" s="2277"/>
      <c r="K32" s="2277"/>
      <c r="L32" s="2277"/>
      <c r="M32" s="2277"/>
      <c r="N32" s="2277"/>
      <c r="O32" s="2277"/>
      <c r="P32" s="2277"/>
      <c r="Q32" s="2277"/>
    </row>
    <row r="33" spans="2:17" s="751" customFormat="1">
      <c r="B33" s="2277"/>
      <c r="C33" s="2277"/>
      <c r="D33" s="2277"/>
      <c r="H33" s="2277"/>
      <c r="I33" s="2277"/>
      <c r="J33" s="2277"/>
      <c r="K33" s="2277"/>
      <c r="L33" s="2277"/>
      <c r="M33" s="2277"/>
      <c r="N33" s="2277"/>
      <c r="O33" s="2277"/>
      <c r="P33" s="2277"/>
      <c r="Q33" s="2277"/>
    </row>
    <row r="34" spans="2:17" s="751" customFormat="1">
      <c r="B34" s="2277"/>
      <c r="C34" s="2277"/>
      <c r="D34" s="2277"/>
      <c r="H34" s="2277"/>
      <c r="I34" s="2277"/>
      <c r="J34" s="2277"/>
      <c r="K34" s="2277"/>
      <c r="L34" s="2277"/>
      <c r="M34" s="2277"/>
      <c r="N34" s="2277"/>
      <c r="O34" s="2277"/>
      <c r="P34" s="2277"/>
      <c r="Q34" s="2277"/>
    </row>
    <row r="35" spans="2:17" s="751" customFormat="1">
      <c r="B35" s="2277"/>
      <c r="C35" s="2277"/>
      <c r="D35" s="2277"/>
      <c r="H35" s="2277"/>
      <c r="I35" s="2277"/>
      <c r="J35" s="2277"/>
      <c r="K35" s="2277"/>
      <c r="L35" s="2277"/>
      <c r="M35" s="2277"/>
      <c r="N35" s="2277"/>
      <c r="O35" s="2277"/>
      <c r="P35" s="2277"/>
      <c r="Q35" s="2277"/>
    </row>
    <row r="36" spans="2:17" s="751" customFormat="1">
      <c r="B36" s="2277"/>
      <c r="C36" s="2277"/>
      <c r="D36" s="2277"/>
      <c r="H36" s="2277"/>
      <c r="I36" s="2277"/>
      <c r="J36" s="2277"/>
      <c r="K36" s="2277"/>
      <c r="L36" s="2277"/>
      <c r="M36" s="2277"/>
      <c r="N36" s="2277"/>
      <c r="O36" s="2277"/>
      <c r="P36" s="2277"/>
      <c r="Q36" s="2277"/>
    </row>
    <row r="37" spans="2:17" s="751" customFormat="1">
      <c r="B37" s="2277"/>
      <c r="C37" s="2277"/>
      <c r="D37" s="2277"/>
      <c r="H37" s="2277"/>
      <c r="I37" s="2277"/>
      <c r="J37" s="2277"/>
      <c r="K37" s="2277"/>
      <c r="L37" s="2277"/>
      <c r="M37" s="2277"/>
      <c r="N37" s="2277"/>
      <c r="O37" s="2277"/>
      <c r="P37" s="2277"/>
      <c r="Q37" s="2277"/>
    </row>
    <row r="38" spans="2:17" s="751" customFormat="1">
      <c r="B38" s="2277"/>
      <c r="C38" s="2277"/>
      <c r="D38" s="2277"/>
      <c r="E38" s="2277"/>
      <c r="F38" s="2277"/>
      <c r="G38" s="2277"/>
      <c r="H38" s="2277"/>
      <c r="I38" s="2277"/>
      <c r="J38" s="2277"/>
      <c r="K38" s="2277"/>
      <c r="L38" s="2277"/>
      <c r="M38" s="2277"/>
      <c r="N38" s="2277"/>
      <c r="O38" s="2277"/>
      <c r="P38" s="2277"/>
      <c r="Q38" s="2277"/>
    </row>
    <row r="39" spans="2:17" s="751" customFormat="1">
      <c r="B39" s="2277"/>
      <c r="C39" s="2277"/>
      <c r="D39" s="2277"/>
      <c r="E39" s="2277"/>
      <c r="F39" s="2277"/>
      <c r="G39" s="2277"/>
      <c r="H39" s="2277"/>
      <c r="I39" s="2277"/>
      <c r="J39" s="2277"/>
      <c r="K39" s="2277"/>
      <c r="L39" s="2277"/>
      <c r="M39" s="2277"/>
      <c r="N39" s="2277"/>
      <c r="O39" s="2277"/>
      <c r="P39" s="2277"/>
      <c r="Q39" s="2277"/>
    </row>
    <row r="40" spans="2:17" s="751" customFormat="1">
      <c r="B40" s="2277"/>
      <c r="C40" s="2277"/>
      <c r="D40" s="2277"/>
      <c r="E40" s="2277"/>
      <c r="F40" s="2277"/>
      <c r="G40" s="2277"/>
      <c r="H40" s="2277"/>
      <c r="I40" s="2277"/>
      <c r="J40" s="2277"/>
      <c r="K40" s="2277"/>
      <c r="L40" s="2277"/>
      <c r="M40" s="2277"/>
      <c r="N40" s="2277"/>
      <c r="O40" s="2277"/>
      <c r="P40" s="2277"/>
      <c r="Q40" s="2277"/>
    </row>
    <row r="41" spans="2:17" s="751" customFormat="1">
      <c r="B41" s="2277"/>
      <c r="C41" s="2277"/>
      <c r="D41" s="2277"/>
      <c r="E41" s="2277"/>
      <c r="F41" s="2277"/>
      <c r="G41" s="2277"/>
      <c r="H41" s="2277"/>
      <c r="I41" s="2277"/>
      <c r="J41" s="2277"/>
      <c r="K41" s="2277"/>
      <c r="L41" s="2277"/>
      <c r="M41" s="2277"/>
      <c r="N41" s="2277"/>
      <c r="O41" s="2277"/>
      <c r="P41" s="2277"/>
      <c r="Q41" s="2277"/>
    </row>
    <row r="42" spans="2:17" s="751" customFormat="1">
      <c r="B42" s="2277"/>
      <c r="C42" s="2277"/>
      <c r="D42" s="2277"/>
      <c r="E42" s="2277"/>
      <c r="F42" s="2277"/>
      <c r="G42" s="2277"/>
      <c r="H42" s="2277"/>
      <c r="I42" s="2277"/>
      <c r="J42" s="2277"/>
      <c r="K42" s="2277"/>
      <c r="L42" s="2277"/>
      <c r="M42" s="2277"/>
      <c r="N42" s="2277"/>
      <c r="O42" s="2277"/>
      <c r="P42" s="2277"/>
      <c r="Q42" s="2277"/>
    </row>
    <row r="43" spans="2:17" s="751" customFormat="1">
      <c r="B43" s="2277"/>
      <c r="C43" s="2277"/>
      <c r="D43" s="2277"/>
      <c r="E43" s="2277"/>
      <c r="F43" s="2277"/>
      <c r="G43" s="2277"/>
      <c r="H43" s="2277"/>
      <c r="I43" s="2277"/>
      <c r="J43" s="2277"/>
      <c r="K43" s="2277"/>
      <c r="L43" s="2277"/>
      <c r="M43" s="2277"/>
      <c r="N43" s="2277"/>
      <c r="O43" s="2277"/>
      <c r="P43" s="2277"/>
      <c r="Q43" s="2277"/>
    </row>
    <row r="44" spans="2:17" s="751" customFormat="1">
      <c r="B44" s="2277"/>
      <c r="C44" s="2277"/>
      <c r="D44" s="2277"/>
      <c r="E44" s="2277"/>
      <c r="F44" s="2277"/>
      <c r="G44" s="2277"/>
      <c r="H44" s="2277"/>
      <c r="I44" s="2277"/>
      <c r="J44" s="2277"/>
      <c r="K44" s="2277"/>
      <c r="L44" s="2277"/>
      <c r="M44" s="2277"/>
      <c r="N44" s="2277"/>
      <c r="O44" s="2277"/>
      <c r="P44" s="2277"/>
      <c r="Q44" s="2277"/>
    </row>
    <row r="45" spans="2:17" s="751" customFormat="1">
      <c r="B45" s="2277"/>
      <c r="C45" s="2277"/>
      <c r="D45" s="2277"/>
      <c r="E45" s="2277"/>
      <c r="F45" s="2277"/>
      <c r="G45" s="2277"/>
      <c r="H45" s="2277"/>
      <c r="I45" s="2277"/>
      <c r="J45" s="2277"/>
      <c r="K45" s="2277"/>
      <c r="L45" s="2277"/>
      <c r="M45" s="2277"/>
      <c r="N45" s="2277"/>
      <c r="O45" s="2277"/>
      <c r="P45" s="2277"/>
      <c r="Q45" s="2277"/>
    </row>
    <row r="46" spans="2:17" s="751" customFormat="1">
      <c r="B46" s="2277"/>
      <c r="C46" s="2277"/>
      <c r="D46" s="2277"/>
      <c r="E46" s="2277"/>
      <c r="F46" s="2277"/>
      <c r="G46" s="2277"/>
      <c r="H46" s="2277"/>
      <c r="I46" s="2277"/>
      <c r="J46" s="2277"/>
      <c r="K46" s="2277"/>
      <c r="L46" s="2277"/>
      <c r="M46" s="2277"/>
      <c r="N46" s="2277"/>
      <c r="O46" s="2277"/>
      <c r="P46" s="2277"/>
      <c r="Q46" s="2277"/>
    </row>
    <row r="47" spans="2:17" s="751" customFormat="1">
      <c r="B47" s="2277"/>
      <c r="C47" s="2277"/>
      <c r="D47" s="2277"/>
      <c r="E47" s="2277"/>
      <c r="F47" s="2277"/>
      <c r="G47" s="2277"/>
      <c r="H47" s="2277"/>
      <c r="I47" s="2277"/>
      <c r="J47" s="2277"/>
      <c r="K47" s="2277"/>
      <c r="L47" s="2277"/>
      <c r="M47" s="2277"/>
      <c r="N47" s="2277"/>
      <c r="O47" s="2277"/>
      <c r="P47" s="2277"/>
      <c r="Q47" s="2277"/>
    </row>
    <row r="48" spans="2:17" s="751" customFormat="1">
      <c r="B48" s="2277"/>
      <c r="C48" s="2277"/>
      <c r="D48" s="2277"/>
      <c r="E48" s="2277"/>
      <c r="F48" s="2277"/>
      <c r="G48" s="2277"/>
      <c r="H48" s="2277"/>
      <c r="I48" s="2277"/>
      <c r="J48" s="2277"/>
      <c r="K48" s="2277"/>
      <c r="L48" s="2277"/>
      <c r="M48" s="2277"/>
      <c r="N48" s="2277"/>
      <c r="O48" s="2277"/>
      <c r="P48" s="2277"/>
      <c r="Q48" s="2277"/>
    </row>
    <row r="49" spans="2:17" s="751" customFormat="1">
      <c r="B49" s="2277"/>
      <c r="C49" s="2277"/>
      <c r="D49" s="2277"/>
      <c r="E49" s="2277"/>
      <c r="F49" s="2277"/>
      <c r="G49" s="2277"/>
      <c r="H49" s="2277"/>
      <c r="I49" s="2277"/>
      <c r="J49" s="2277"/>
      <c r="K49" s="2277"/>
      <c r="L49" s="2277"/>
      <c r="M49" s="2277"/>
      <c r="N49" s="2277"/>
      <c r="O49" s="2277"/>
      <c r="P49" s="2277"/>
      <c r="Q49" s="2277"/>
    </row>
    <row r="50" spans="2:17" s="751" customFormat="1">
      <c r="B50" s="2277"/>
      <c r="C50" s="2277"/>
      <c r="D50" s="2277"/>
      <c r="E50" s="2277"/>
      <c r="F50" s="2277"/>
      <c r="G50" s="2277"/>
      <c r="H50" s="2277"/>
      <c r="I50" s="2277"/>
      <c r="J50" s="2277"/>
      <c r="K50" s="2277"/>
      <c r="L50" s="2277"/>
      <c r="M50" s="2277"/>
      <c r="N50" s="2277"/>
      <c r="O50" s="2277"/>
      <c r="P50" s="2277"/>
      <c r="Q50" s="2277"/>
    </row>
    <row r="51" spans="2:17" s="751" customFormat="1">
      <c r="B51" s="2277"/>
      <c r="C51" s="2277"/>
      <c r="D51" s="2277"/>
      <c r="E51" s="2277"/>
      <c r="F51" s="2277"/>
      <c r="G51" s="2277"/>
      <c r="H51" s="2277"/>
      <c r="I51" s="2277"/>
      <c r="J51" s="2277"/>
      <c r="K51" s="2277"/>
      <c r="L51" s="2277"/>
      <c r="M51" s="2277"/>
      <c r="N51" s="2277"/>
      <c r="O51" s="2277"/>
      <c r="P51" s="2277"/>
      <c r="Q51" s="2277"/>
    </row>
    <row r="52" spans="2:17" s="751" customFormat="1">
      <c r="B52" s="2277"/>
      <c r="C52" s="2277"/>
      <c r="D52" s="2277"/>
      <c r="E52" s="2277"/>
      <c r="F52" s="2277"/>
      <c r="G52" s="2277"/>
      <c r="H52" s="2277"/>
      <c r="I52" s="2277"/>
      <c r="J52" s="2277"/>
      <c r="K52" s="2277"/>
      <c r="L52" s="2277"/>
      <c r="M52" s="2277"/>
      <c r="N52" s="2277"/>
      <c r="O52" s="2277"/>
      <c r="P52" s="2277"/>
      <c r="Q52" s="2277"/>
    </row>
    <row r="53" spans="2:17" s="751" customFormat="1">
      <c r="B53" s="2277"/>
      <c r="C53" s="2277"/>
      <c r="D53" s="2277"/>
      <c r="E53" s="2277"/>
      <c r="F53" s="2277"/>
      <c r="G53" s="2277"/>
      <c r="H53" s="2277"/>
      <c r="I53" s="2277"/>
      <c r="J53" s="2277"/>
      <c r="K53" s="2277"/>
      <c r="L53" s="2277"/>
      <c r="M53" s="2277"/>
      <c r="N53" s="2277"/>
      <c r="O53" s="2277"/>
      <c r="P53" s="2277"/>
      <c r="Q53" s="2277"/>
    </row>
    <row r="54" spans="2:17" s="751" customFormat="1">
      <c r="B54" s="2277"/>
      <c r="C54" s="2277"/>
      <c r="D54" s="2277"/>
      <c r="E54" s="2277"/>
      <c r="F54" s="2277"/>
      <c r="G54" s="2277"/>
      <c r="H54" s="2277"/>
      <c r="I54" s="2277"/>
      <c r="J54" s="2277"/>
      <c r="K54" s="2277"/>
      <c r="L54" s="2277"/>
      <c r="M54" s="2277"/>
      <c r="N54" s="2277"/>
      <c r="O54" s="2277"/>
      <c r="P54" s="2277"/>
      <c r="Q54" s="2277"/>
    </row>
    <row r="55" spans="2:17" s="751" customFormat="1">
      <c r="B55" s="2277"/>
      <c r="C55" s="2277"/>
      <c r="D55" s="2277"/>
      <c r="E55" s="2277"/>
      <c r="F55" s="2277"/>
      <c r="G55" s="2277"/>
      <c r="H55" s="2277"/>
      <c r="I55" s="2277"/>
      <c r="J55" s="2277"/>
      <c r="K55" s="2277"/>
      <c r="L55" s="2277"/>
      <c r="M55" s="2277"/>
      <c r="N55" s="2277"/>
      <c r="O55" s="2277"/>
      <c r="P55" s="2277"/>
      <c r="Q55" s="2277"/>
    </row>
    <row r="56" spans="2:17" s="751" customFormat="1">
      <c r="B56" s="2277"/>
      <c r="C56" s="2277"/>
      <c r="D56" s="2277"/>
      <c r="E56" s="2277"/>
      <c r="F56" s="2277"/>
      <c r="G56" s="2277"/>
      <c r="H56" s="2277"/>
      <c r="I56" s="2277"/>
      <c r="J56" s="2277"/>
      <c r="K56" s="2277"/>
      <c r="L56" s="2277"/>
      <c r="M56" s="2277"/>
      <c r="N56" s="2277"/>
      <c r="O56" s="2277"/>
      <c r="P56" s="2277"/>
      <c r="Q56" s="2277"/>
    </row>
    <row r="57" spans="2:17" s="751" customFormat="1">
      <c r="B57" s="2277"/>
      <c r="C57" s="2277"/>
      <c r="D57" s="2277"/>
      <c r="E57" s="2277"/>
      <c r="F57" s="2277"/>
      <c r="G57" s="2277"/>
      <c r="H57" s="2277"/>
      <c r="I57" s="2277"/>
      <c r="J57" s="2277"/>
      <c r="K57" s="2277"/>
      <c r="L57" s="2277"/>
      <c r="M57" s="2277"/>
      <c r="N57" s="2277"/>
      <c r="O57" s="2277"/>
      <c r="P57" s="2277"/>
      <c r="Q57" s="2277"/>
    </row>
    <row r="58" spans="2:17" s="751" customFormat="1">
      <c r="B58" s="2277"/>
      <c r="C58" s="2277"/>
      <c r="D58" s="2277"/>
      <c r="E58" s="2277"/>
      <c r="F58" s="2277"/>
      <c r="G58" s="2277"/>
      <c r="H58" s="2277"/>
      <c r="I58" s="2277"/>
      <c r="J58" s="2277"/>
      <c r="K58" s="2277"/>
      <c r="L58" s="2277"/>
      <c r="M58" s="2277"/>
      <c r="N58" s="2277"/>
      <c r="O58" s="2277"/>
      <c r="P58" s="2277"/>
      <c r="Q58" s="2277"/>
    </row>
    <row r="59" spans="2:17" s="751" customFormat="1">
      <c r="B59" s="2277"/>
      <c r="C59" s="2277"/>
      <c r="D59" s="2277"/>
      <c r="E59" s="2277"/>
      <c r="F59" s="2277"/>
      <c r="G59" s="2277"/>
      <c r="H59" s="2277"/>
      <c r="I59" s="2277"/>
      <c r="J59" s="2277"/>
      <c r="K59" s="2277"/>
      <c r="L59" s="2277"/>
      <c r="M59" s="2277"/>
      <c r="N59" s="2277"/>
      <c r="O59" s="2277"/>
      <c r="P59" s="2277"/>
      <c r="Q59" s="2277"/>
    </row>
    <row r="60" spans="2:17" s="751" customFormat="1">
      <c r="B60" s="2277"/>
      <c r="C60" s="2277"/>
      <c r="D60" s="2277"/>
      <c r="E60" s="2277"/>
      <c r="F60" s="2277"/>
      <c r="G60" s="2277"/>
      <c r="H60" s="2277"/>
      <c r="I60" s="2277"/>
      <c r="J60" s="2277"/>
      <c r="K60" s="2277"/>
      <c r="L60" s="2277"/>
      <c r="M60" s="2277"/>
      <c r="N60" s="2277"/>
      <c r="O60" s="2277"/>
      <c r="P60" s="2277"/>
      <c r="Q60" s="2277"/>
    </row>
    <row r="61" spans="2:17" s="751" customFormat="1">
      <c r="B61" s="2277"/>
      <c r="C61" s="2277"/>
      <c r="D61" s="2277"/>
      <c r="E61" s="2277"/>
      <c r="F61" s="2277"/>
      <c r="G61" s="2277"/>
      <c r="H61" s="2277"/>
      <c r="I61" s="2277"/>
      <c r="J61" s="2277"/>
      <c r="K61" s="2277"/>
      <c r="L61" s="2277"/>
      <c r="M61" s="2277"/>
      <c r="N61" s="2277"/>
      <c r="O61" s="2277"/>
      <c r="P61" s="2277"/>
      <c r="Q61" s="2277"/>
    </row>
    <row r="62" spans="2:17" s="751" customFormat="1">
      <c r="B62" s="2277"/>
      <c r="C62" s="2277"/>
      <c r="D62" s="2277"/>
      <c r="E62" s="2277"/>
      <c r="F62" s="2277"/>
      <c r="G62" s="2277"/>
      <c r="H62" s="2277"/>
      <c r="I62" s="2277"/>
      <c r="J62" s="2277"/>
      <c r="K62" s="2277"/>
      <c r="L62" s="2277"/>
      <c r="M62" s="2277"/>
      <c r="N62" s="2277"/>
      <c r="O62" s="2277"/>
      <c r="P62" s="2277"/>
      <c r="Q62" s="2277"/>
    </row>
    <row r="63" spans="2:17" s="751" customFormat="1">
      <c r="B63" s="2277"/>
      <c r="C63" s="2277"/>
      <c r="D63" s="2277"/>
      <c r="E63" s="2277"/>
      <c r="F63" s="2277"/>
      <c r="G63" s="2277"/>
      <c r="H63" s="2277"/>
      <c r="I63" s="2277"/>
      <c r="J63" s="2277"/>
      <c r="K63" s="2277"/>
      <c r="L63" s="2277"/>
      <c r="M63" s="2277"/>
      <c r="N63" s="2277"/>
      <c r="O63" s="2277"/>
      <c r="P63" s="2277"/>
      <c r="Q63" s="2277"/>
    </row>
    <row r="64" spans="2:17" s="751" customFormat="1">
      <c r="B64" s="2277"/>
      <c r="C64" s="2277"/>
      <c r="D64" s="2277"/>
      <c r="E64" s="2277"/>
      <c r="F64" s="2277"/>
      <c r="G64" s="2277"/>
      <c r="H64" s="2277"/>
      <c r="I64" s="2277"/>
      <c r="J64" s="2277"/>
      <c r="K64" s="2277"/>
      <c r="L64" s="2277"/>
      <c r="M64" s="2277"/>
      <c r="N64" s="2277"/>
      <c r="O64" s="2277"/>
      <c r="P64" s="2277"/>
      <c r="Q64" s="2277"/>
    </row>
    <row r="65" spans="2:17" s="751" customFormat="1">
      <c r="B65" s="2277"/>
      <c r="C65" s="2277"/>
      <c r="D65" s="2277"/>
      <c r="E65" s="2277"/>
      <c r="F65" s="2277"/>
      <c r="G65" s="2277"/>
      <c r="H65" s="2277"/>
      <c r="I65" s="2277"/>
      <c r="J65" s="2277"/>
      <c r="K65" s="2277"/>
      <c r="L65" s="2277"/>
      <c r="M65" s="2277"/>
      <c r="N65" s="2277"/>
      <c r="O65" s="2277"/>
      <c r="P65" s="2277"/>
      <c r="Q65" s="2277"/>
    </row>
    <row r="66" spans="2:17" s="751" customFormat="1">
      <c r="B66" s="2277"/>
      <c r="C66" s="2277"/>
      <c r="D66" s="2277"/>
      <c r="E66" s="2277"/>
      <c r="F66" s="2277"/>
      <c r="G66" s="2277"/>
      <c r="H66" s="2277"/>
      <c r="I66" s="2277"/>
      <c r="J66" s="2277"/>
      <c r="K66" s="2277"/>
      <c r="L66" s="2277"/>
      <c r="M66" s="2277"/>
      <c r="N66" s="2277"/>
      <c r="O66" s="2277"/>
      <c r="P66" s="2277"/>
      <c r="Q66" s="2277"/>
    </row>
    <row r="67" spans="2:17" s="751" customFormat="1">
      <c r="B67" s="2277"/>
      <c r="C67" s="2277"/>
      <c r="D67" s="2277"/>
      <c r="E67" s="2277"/>
      <c r="F67" s="2277"/>
      <c r="G67" s="2277"/>
      <c r="H67" s="2277"/>
      <c r="I67" s="2277"/>
      <c r="J67" s="2277"/>
      <c r="K67" s="2277"/>
      <c r="L67" s="2277"/>
      <c r="M67" s="2277"/>
      <c r="N67" s="2277"/>
      <c r="O67" s="2277"/>
      <c r="P67" s="2277"/>
      <c r="Q67" s="2277"/>
    </row>
    <row r="68" spans="2:17" s="751" customFormat="1">
      <c r="B68" s="2277"/>
      <c r="C68" s="2277"/>
      <c r="D68" s="2277"/>
      <c r="E68" s="2277"/>
      <c r="F68" s="2277"/>
      <c r="G68" s="2277"/>
      <c r="H68" s="2277"/>
      <c r="I68" s="2277"/>
      <c r="J68" s="2277"/>
      <c r="K68" s="2277"/>
      <c r="L68" s="2277"/>
      <c r="M68" s="2277"/>
      <c r="N68" s="2277"/>
      <c r="O68" s="2277"/>
      <c r="P68" s="2277"/>
      <c r="Q68" s="2277"/>
    </row>
    <row r="69" spans="2:17" s="751" customFormat="1">
      <c r="B69" s="2277"/>
      <c r="C69" s="2277"/>
      <c r="D69" s="2277"/>
      <c r="E69" s="2277"/>
      <c r="F69" s="2277"/>
      <c r="G69" s="2277"/>
      <c r="H69" s="2277"/>
      <c r="I69" s="2277"/>
      <c r="J69" s="2277"/>
      <c r="K69" s="2277"/>
      <c r="L69" s="2277"/>
      <c r="M69" s="2277"/>
      <c r="N69" s="2277"/>
      <c r="O69" s="2277"/>
      <c r="P69" s="2277"/>
      <c r="Q69" s="2277"/>
    </row>
    <row r="70" spans="2:17" s="751" customFormat="1">
      <c r="B70" s="2277"/>
      <c r="C70" s="2277"/>
      <c r="D70" s="2277"/>
      <c r="E70" s="2277"/>
      <c r="F70" s="2277"/>
      <c r="G70" s="2277"/>
      <c r="H70" s="2277"/>
      <c r="I70" s="2277"/>
      <c r="J70" s="2277"/>
      <c r="K70" s="2277"/>
      <c r="L70" s="2277"/>
      <c r="M70" s="2277"/>
      <c r="N70" s="2277"/>
      <c r="O70" s="2277"/>
      <c r="P70" s="2277"/>
      <c r="Q70" s="2277"/>
    </row>
    <row r="71" spans="2:17" s="751" customFormat="1">
      <c r="B71" s="2277"/>
      <c r="C71" s="2277"/>
      <c r="D71" s="2277"/>
      <c r="E71" s="2277"/>
      <c r="F71" s="2277"/>
      <c r="G71" s="2277"/>
      <c r="H71" s="2277"/>
      <c r="I71" s="2277"/>
      <c r="J71" s="2277"/>
      <c r="K71" s="2277"/>
      <c r="L71" s="2277"/>
      <c r="M71" s="2277"/>
      <c r="N71" s="2277"/>
      <c r="O71" s="2277"/>
      <c r="P71" s="2277"/>
      <c r="Q71" s="2277"/>
    </row>
    <row r="72" spans="2:17" s="751" customFormat="1">
      <c r="B72" s="2277"/>
      <c r="C72" s="2277"/>
      <c r="D72" s="2277"/>
      <c r="E72" s="2277"/>
      <c r="F72" s="2277"/>
      <c r="G72" s="2277"/>
      <c r="H72" s="2277"/>
      <c r="I72" s="2277"/>
      <c r="J72" s="2277"/>
      <c r="K72" s="2277"/>
      <c r="L72" s="2277"/>
      <c r="M72" s="2277"/>
      <c r="N72" s="2277"/>
      <c r="O72" s="2277"/>
      <c r="P72" s="2277"/>
      <c r="Q72" s="2277"/>
    </row>
    <row r="73" spans="2:17" s="751" customFormat="1">
      <c r="B73" s="2277"/>
      <c r="C73" s="2277"/>
      <c r="D73" s="2277"/>
      <c r="E73" s="2277"/>
      <c r="F73" s="2277"/>
      <c r="G73" s="2277"/>
      <c r="H73" s="2277"/>
      <c r="I73" s="2277"/>
      <c r="J73" s="2277"/>
      <c r="K73" s="2277"/>
      <c r="L73" s="2277"/>
      <c r="M73" s="2277"/>
      <c r="N73" s="2277"/>
      <c r="O73" s="2277"/>
      <c r="P73" s="2277"/>
      <c r="Q73" s="2277"/>
    </row>
    <row r="74" spans="2:17" s="751" customFormat="1">
      <c r="B74" s="2277"/>
      <c r="C74" s="2277"/>
      <c r="D74" s="2277"/>
      <c r="E74" s="2277"/>
      <c r="F74" s="2277"/>
      <c r="G74" s="2277"/>
      <c r="H74" s="2277"/>
      <c r="I74" s="2277"/>
      <c r="J74" s="2277"/>
      <c r="K74" s="2277"/>
      <c r="L74" s="2277"/>
      <c r="M74" s="2277"/>
      <c r="N74" s="2277"/>
      <c r="O74" s="2277"/>
      <c r="P74" s="2277"/>
      <c r="Q74" s="2277"/>
    </row>
    <row r="75" spans="2:17" s="751" customFormat="1">
      <c r="B75" s="2277"/>
      <c r="C75" s="2277"/>
      <c r="D75" s="2277"/>
      <c r="E75" s="2277"/>
      <c r="F75" s="2277"/>
      <c r="G75" s="2277"/>
      <c r="H75" s="2277"/>
      <c r="I75" s="2277"/>
      <c r="J75" s="2277"/>
      <c r="K75" s="2277"/>
      <c r="L75" s="2277"/>
      <c r="M75" s="2277"/>
      <c r="N75" s="2277"/>
      <c r="O75" s="2277"/>
      <c r="P75" s="2277"/>
      <c r="Q75" s="2277"/>
    </row>
    <row r="76" spans="2:17" s="751" customFormat="1">
      <c r="B76" s="2277"/>
      <c r="C76" s="2277"/>
      <c r="D76" s="2277"/>
      <c r="E76" s="2277"/>
      <c r="F76" s="2277"/>
      <c r="G76" s="2277"/>
      <c r="H76" s="2277"/>
      <c r="I76" s="2277"/>
      <c r="J76" s="2277"/>
      <c r="K76" s="2277"/>
      <c r="L76" s="2277"/>
      <c r="M76" s="2277"/>
      <c r="N76" s="2277"/>
      <c r="O76" s="2277"/>
      <c r="P76" s="2277"/>
      <c r="Q76" s="2277"/>
    </row>
    <row r="77" spans="2:17" s="751" customFormat="1">
      <c r="B77" s="2277"/>
      <c r="C77" s="2277"/>
      <c r="D77" s="2277"/>
      <c r="E77" s="2277"/>
      <c r="F77" s="2277"/>
      <c r="G77" s="2277"/>
      <c r="H77" s="2277"/>
      <c r="I77" s="2277"/>
      <c r="J77" s="2277"/>
      <c r="K77" s="2277"/>
      <c r="L77" s="2277"/>
      <c r="M77" s="2277"/>
      <c r="N77" s="2277"/>
      <c r="O77" s="2277"/>
      <c r="P77" s="2277"/>
      <c r="Q77" s="2277"/>
    </row>
    <row r="78" spans="2:17" s="751" customFormat="1">
      <c r="B78" s="2277"/>
      <c r="C78" s="2277"/>
      <c r="D78" s="2277"/>
      <c r="E78" s="2277"/>
      <c r="F78" s="2277"/>
      <c r="G78" s="2277"/>
      <c r="H78" s="2277"/>
      <c r="I78" s="2277"/>
      <c r="J78" s="2277"/>
      <c r="K78" s="2277"/>
      <c r="L78" s="2277"/>
      <c r="M78" s="2277"/>
      <c r="N78" s="2277"/>
      <c r="O78" s="2277"/>
      <c r="P78" s="2277"/>
      <c r="Q78" s="2277"/>
    </row>
    <row r="79" spans="2:17" s="751" customFormat="1">
      <c r="B79" s="2277"/>
      <c r="C79" s="2277"/>
      <c r="D79" s="2277"/>
      <c r="E79" s="2277"/>
      <c r="F79" s="2277"/>
      <c r="G79" s="2277"/>
      <c r="H79" s="2277"/>
      <c r="I79" s="2277"/>
      <c r="J79" s="2277"/>
      <c r="K79" s="2277"/>
      <c r="L79" s="2277"/>
      <c r="M79" s="2277"/>
      <c r="N79" s="2277"/>
      <c r="O79" s="2277"/>
      <c r="P79" s="2277"/>
      <c r="Q79" s="2277"/>
    </row>
    <row r="80" spans="2:17" s="751" customFormat="1">
      <c r="B80" s="2277"/>
      <c r="C80" s="2277"/>
      <c r="D80" s="2277"/>
      <c r="E80" s="2277"/>
      <c r="F80" s="2277"/>
      <c r="G80" s="2277"/>
      <c r="H80" s="2277"/>
      <c r="I80" s="2277"/>
      <c r="J80" s="2277"/>
      <c r="K80" s="2277"/>
      <c r="L80" s="2277"/>
      <c r="M80" s="2277"/>
      <c r="N80" s="2277"/>
      <c r="O80" s="2277"/>
      <c r="P80" s="2277"/>
      <c r="Q80" s="2277"/>
    </row>
    <row r="81" spans="2:17" s="751" customFormat="1">
      <c r="B81" s="2277"/>
      <c r="C81" s="2277"/>
      <c r="D81" s="2277"/>
      <c r="E81" s="2277"/>
      <c r="F81" s="2277"/>
      <c r="G81" s="2277"/>
      <c r="H81" s="2277"/>
      <c r="I81" s="2277"/>
      <c r="J81" s="2277"/>
      <c r="K81" s="2277"/>
      <c r="L81" s="2277"/>
      <c r="M81" s="2277"/>
      <c r="N81" s="2277"/>
      <c r="O81" s="2277"/>
      <c r="P81" s="2277"/>
      <c r="Q81" s="2277"/>
    </row>
    <row r="82" spans="2:17" s="751" customFormat="1">
      <c r="B82" s="2277"/>
      <c r="C82" s="2277"/>
      <c r="D82" s="2277"/>
      <c r="E82" s="2277"/>
      <c r="F82" s="2277"/>
      <c r="G82" s="2277"/>
      <c r="H82" s="2277"/>
      <c r="I82" s="2277"/>
      <c r="J82" s="2277"/>
      <c r="K82" s="2277"/>
      <c r="L82" s="2277"/>
      <c r="M82" s="2277"/>
      <c r="N82" s="2277"/>
      <c r="O82" s="2277"/>
      <c r="P82" s="2277"/>
      <c r="Q82" s="2277"/>
    </row>
    <row r="83" spans="2:17" s="751" customFormat="1">
      <c r="B83" s="2277"/>
      <c r="C83" s="2277"/>
      <c r="D83" s="2277"/>
      <c r="E83" s="2277"/>
      <c r="F83" s="2277"/>
      <c r="G83" s="2277"/>
      <c r="H83" s="2277"/>
      <c r="I83" s="2277"/>
      <c r="J83" s="2277"/>
      <c r="K83" s="2277"/>
      <c r="L83" s="2277"/>
      <c r="M83" s="2277"/>
      <c r="N83" s="2277"/>
      <c r="O83" s="2277"/>
      <c r="P83" s="2277"/>
      <c r="Q83" s="2277"/>
    </row>
    <row r="84" spans="2:17" s="751" customFormat="1">
      <c r="B84" s="2277"/>
      <c r="C84" s="2277"/>
      <c r="D84" s="2277"/>
      <c r="E84" s="2277"/>
      <c r="F84" s="2277"/>
      <c r="G84" s="2277"/>
      <c r="H84" s="2277"/>
      <c r="I84" s="2277"/>
      <c r="J84" s="2277"/>
      <c r="K84" s="2277"/>
      <c r="L84" s="2277"/>
      <c r="M84" s="2277"/>
      <c r="N84" s="2277"/>
      <c r="O84" s="2277"/>
      <c r="P84" s="2277"/>
      <c r="Q84" s="2277"/>
    </row>
    <row r="85" spans="2:17" s="751" customFormat="1">
      <c r="B85" s="2277"/>
      <c r="C85" s="2277"/>
      <c r="D85" s="2277"/>
      <c r="E85" s="2277"/>
      <c r="F85" s="2277"/>
      <c r="G85" s="2277"/>
      <c r="H85" s="2277"/>
      <c r="I85" s="2277"/>
      <c r="J85" s="2277"/>
      <c r="K85" s="2277"/>
      <c r="L85" s="2277"/>
      <c r="M85" s="2277"/>
      <c r="N85" s="2277"/>
      <c r="O85" s="2277"/>
      <c r="P85" s="2277"/>
      <c r="Q85" s="2277"/>
    </row>
    <row r="86" spans="2:17" s="751" customFormat="1">
      <c r="B86" s="2277"/>
      <c r="C86" s="2277"/>
      <c r="D86" s="2277"/>
      <c r="E86" s="2277"/>
      <c r="F86" s="2277"/>
      <c r="G86" s="2277"/>
      <c r="H86" s="2277"/>
      <c r="I86" s="2277"/>
      <c r="J86" s="2277"/>
      <c r="K86" s="2277"/>
      <c r="L86" s="2277"/>
      <c r="M86" s="2277"/>
      <c r="N86" s="2277"/>
      <c r="O86" s="2277"/>
      <c r="P86" s="2277"/>
      <c r="Q86" s="2277"/>
    </row>
    <row r="87" spans="2:17" s="751" customFormat="1">
      <c r="B87" s="2277"/>
      <c r="C87" s="2277"/>
      <c r="D87" s="2277"/>
      <c r="E87" s="2277"/>
      <c r="F87" s="2277"/>
      <c r="G87" s="2277"/>
      <c r="H87" s="2277"/>
      <c r="I87" s="2277"/>
      <c r="J87" s="2277"/>
      <c r="K87" s="2277"/>
      <c r="L87" s="2277"/>
      <c r="M87" s="2277"/>
      <c r="N87" s="2277"/>
      <c r="O87" s="2277"/>
      <c r="P87" s="2277"/>
      <c r="Q87" s="2277"/>
    </row>
    <row r="88" spans="2:17" s="751" customFormat="1">
      <c r="B88" s="2277"/>
      <c r="C88" s="2277"/>
      <c r="D88" s="2277"/>
      <c r="E88" s="2277"/>
      <c r="F88" s="2277"/>
      <c r="G88" s="2277"/>
      <c r="H88" s="2277"/>
      <c r="I88" s="2277"/>
      <c r="J88" s="2277"/>
      <c r="K88" s="2277"/>
      <c r="L88" s="2277"/>
      <c r="M88" s="2277"/>
      <c r="N88" s="2277"/>
      <c r="O88" s="2277"/>
      <c r="P88" s="2277"/>
      <c r="Q88" s="2277"/>
    </row>
    <row r="89" spans="2:17" s="751" customFormat="1">
      <c r="B89" s="2277"/>
      <c r="C89" s="2277"/>
      <c r="D89" s="2277"/>
      <c r="E89" s="2277"/>
      <c r="F89" s="2277"/>
      <c r="G89" s="2277"/>
      <c r="H89" s="2277"/>
      <c r="I89" s="2277"/>
      <c r="J89" s="2277"/>
      <c r="K89" s="2277"/>
      <c r="L89" s="2277"/>
      <c r="M89" s="2277"/>
      <c r="N89" s="2277"/>
      <c r="O89" s="2277"/>
      <c r="P89" s="2277"/>
      <c r="Q89" s="2277"/>
    </row>
    <row r="90" spans="2:17" s="751" customFormat="1">
      <c r="B90" s="2277"/>
      <c r="C90" s="2277"/>
      <c r="D90" s="2277"/>
      <c r="E90" s="2277"/>
      <c r="F90" s="2277"/>
      <c r="G90" s="2277"/>
      <c r="H90" s="2277"/>
      <c r="I90" s="2277"/>
      <c r="J90" s="2277"/>
      <c r="K90" s="2277"/>
      <c r="L90" s="2277"/>
      <c r="M90" s="2277"/>
      <c r="N90" s="2277"/>
      <c r="O90" s="2277"/>
      <c r="P90" s="2277"/>
      <c r="Q90" s="2277"/>
    </row>
    <row r="91" spans="2:17" s="751" customFormat="1">
      <c r="B91" s="2277"/>
      <c r="C91" s="2277"/>
      <c r="D91" s="2277"/>
      <c r="E91" s="2277"/>
      <c r="F91" s="2277"/>
      <c r="G91" s="2277"/>
      <c r="H91" s="2277"/>
      <c r="I91" s="2277"/>
      <c r="J91" s="2277"/>
      <c r="K91" s="2277"/>
      <c r="L91" s="2277"/>
      <c r="M91" s="2277"/>
      <c r="N91" s="2277"/>
      <c r="O91" s="2277"/>
      <c r="P91" s="2277"/>
      <c r="Q91" s="2277"/>
    </row>
    <row r="92" spans="2:17" s="751" customFormat="1">
      <c r="B92" s="2277"/>
      <c r="C92" s="2277"/>
      <c r="D92" s="2277"/>
      <c r="E92" s="2277"/>
      <c r="F92" s="2277"/>
      <c r="G92" s="2277"/>
      <c r="H92" s="2277"/>
      <c r="I92" s="2277"/>
      <c r="J92" s="2277"/>
      <c r="K92" s="2277"/>
      <c r="L92" s="2277"/>
      <c r="M92" s="2277"/>
      <c r="N92" s="2277"/>
      <c r="O92" s="2277"/>
      <c r="P92" s="2277"/>
      <c r="Q92" s="2277"/>
    </row>
    <row r="93" spans="2:17" s="751" customFormat="1">
      <c r="B93" s="2277"/>
      <c r="C93" s="2277"/>
      <c r="D93" s="2277"/>
      <c r="E93" s="2277"/>
      <c r="F93" s="2277"/>
      <c r="G93" s="2277"/>
      <c r="H93" s="2277"/>
      <c r="I93" s="2277"/>
      <c r="J93" s="2277"/>
      <c r="K93" s="2277"/>
      <c r="L93" s="2277"/>
      <c r="M93" s="2277"/>
      <c r="N93" s="2277"/>
      <c r="O93" s="2277"/>
      <c r="P93" s="2277"/>
      <c r="Q93" s="2277"/>
    </row>
    <row r="94" spans="2:17" s="751" customFormat="1">
      <c r="B94" s="2277"/>
      <c r="C94" s="2277"/>
      <c r="D94" s="2277"/>
      <c r="E94" s="2277"/>
      <c r="F94" s="2277"/>
      <c r="G94" s="2277"/>
      <c r="H94" s="2277"/>
      <c r="I94" s="2277"/>
      <c r="J94" s="2277"/>
      <c r="K94" s="2277"/>
      <c r="L94" s="2277"/>
      <c r="M94" s="2277"/>
      <c r="N94" s="2277"/>
      <c r="O94" s="2277"/>
      <c r="P94" s="2277"/>
      <c r="Q94" s="2277"/>
    </row>
    <row r="95" spans="2:17" s="751" customFormat="1">
      <c r="B95" s="2277"/>
      <c r="C95" s="2277"/>
      <c r="D95" s="2277"/>
      <c r="E95" s="2277"/>
      <c r="F95" s="2277"/>
      <c r="G95" s="2277"/>
      <c r="H95" s="2277"/>
      <c r="I95" s="2277"/>
      <c r="J95" s="2277"/>
      <c r="K95" s="2277"/>
      <c r="L95" s="2277"/>
      <c r="M95" s="2277"/>
      <c r="N95" s="2277"/>
      <c r="O95" s="2277"/>
      <c r="P95" s="2277"/>
      <c r="Q95" s="2277"/>
    </row>
    <row r="96" spans="2:17" s="751" customFormat="1">
      <c r="B96" s="2277"/>
      <c r="C96" s="2277"/>
      <c r="D96" s="2277"/>
      <c r="E96" s="2277"/>
      <c r="F96" s="2277"/>
      <c r="G96" s="2277"/>
      <c r="H96" s="2277"/>
      <c r="I96" s="2277"/>
      <c r="J96" s="2277"/>
      <c r="K96" s="2277"/>
      <c r="L96" s="2277"/>
      <c r="M96" s="2277"/>
      <c r="N96" s="2277"/>
      <c r="O96" s="2277"/>
      <c r="P96" s="2277"/>
      <c r="Q96" s="2277"/>
    </row>
    <row r="97" spans="2:17" s="751" customFormat="1">
      <c r="B97" s="2277"/>
      <c r="C97" s="2277"/>
      <c r="D97" s="2277"/>
      <c r="E97" s="2277"/>
      <c r="F97" s="2277"/>
      <c r="G97" s="2277"/>
      <c r="H97" s="2277"/>
      <c r="I97" s="2277"/>
      <c r="J97" s="2277"/>
      <c r="K97" s="2277"/>
      <c r="L97" s="2277"/>
      <c r="M97" s="2277"/>
      <c r="N97" s="2277"/>
      <c r="O97" s="2277"/>
      <c r="P97" s="2277"/>
      <c r="Q97" s="2277"/>
    </row>
    <row r="98" spans="2:17" s="751" customFormat="1">
      <c r="B98" s="2277"/>
      <c r="C98" s="2277"/>
      <c r="D98" s="2277"/>
      <c r="E98" s="2277"/>
      <c r="F98" s="2277"/>
      <c r="G98" s="2277"/>
      <c r="H98" s="2277"/>
      <c r="I98" s="2277"/>
      <c r="J98" s="2277"/>
      <c r="K98" s="2277"/>
      <c r="L98" s="2277"/>
      <c r="M98" s="2277"/>
      <c r="N98" s="2277"/>
      <c r="O98" s="2277"/>
      <c r="P98" s="2277"/>
      <c r="Q98" s="2277"/>
    </row>
    <row r="99" spans="2:17" s="751" customFormat="1">
      <c r="B99" s="2277"/>
      <c r="C99" s="2277"/>
      <c r="D99" s="2277"/>
      <c r="E99" s="2277"/>
      <c r="F99" s="2277"/>
      <c r="G99" s="2277"/>
      <c r="H99" s="2277"/>
      <c r="I99" s="2277"/>
      <c r="J99" s="2277"/>
      <c r="K99" s="2277"/>
      <c r="L99" s="2277"/>
      <c r="M99" s="2277"/>
      <c r="N99" s="2277"/>
      <c r="O99" s="2277"/>
      <c r="P99" s="2277"/>
      <c r="Q99" s="2277"/>
    </row>
    <row r="100" spans="2:17" s="751" customFormat="1">
      <c r="B100" s="2277"/>
      <c r="C100" s="2277"/>
      <c r="D100" s="2277"/>
      <c r="E100" s="2277"/>
      <c r="F100" s="2277"/>
      <c r="G100" s="2277"/>
      <c r="H100" s="2277"/>
      <c r="I100" s="2277"/>
      <c r="J100" s="2277"/>
      <c r="K100" s="2277"/>
      <c r="L100" s="2277"/>
      <c r="M100" s="2277"/>
      <c r="N100" s="2277"/>
      <c r="O100" s="2277"/>
      <c r="P100" s="2277"/>
      <c r="Q100" s="2277"/>
    </row>
    <row r="101" spans="2:17" s="751" customFormat="1">
      <c r="B101" s="2277"/>
      <c r="C101" s="2277"/>
      <c r="D101" s="2277"/>
      <c r="E101" s="2277"/>
      <c r="F101" s="2277"/>
      <c r="G101" s="2277"/>
      <c r="H101" s="2277"/>
      <c r="I101" s="2277"/>
      <c r="J101" s="2277"/>
      <c r="K101" s="2277"/>
      <c r="L101" s="2277"/>
      <c r="M101" s="2277"/>
      <c r="N101" s="2277"/>
      <c r="O101" s="2277"/>
      <c r="P101" s="2277"/>
      <c r="Q101" s="2277"/>
    </row>
    <row r="102" spans="2:17" s="751" customFormat="1">
      <c r="B102" s="2277"/>
      <c r="C102" s="2277"/>
      <c r="D102" s="2277"/>
      <c r="E102" s="2277"/>
      <c r="F102" s="2277"/>
      <c r="G102" s="2277"/>
      <c r="H102" s="2277"/>
      <c r="I102" s="2277"/>
      <c r="J102" s="2277"/>
      <c r="K102" s="2277"/>
      <c r="L102" s="2277"/>
      <c r="M102" s="2277"/>
      <c r="N102" s="2277"/>
      <c r="O102" s="2277"/>
      <c r="P102" s="2277"/>
      <c r="Q102" s="2277"/>
    </row>
    <row r="103" spans="2:17" s="751" customFormat="1">
      <c r="B103" s="2277"/>
      <c r="C103" s="2277"/>
      <c r="D103" s="2277"/>
      <c r="E103" s="2277"/>
      <c r="F103" s="2277"/>
      <c r="G103" s="2277"/>
      <c r="H103" s="2277"/>
      <c r="I103" s="2277"/>
      <c r="J103" s="2277"/>
      <c r="K103" s="2277"/>
      <c r="L103" s="2277"/>
      <c r="M103" s="2277"/>
      <c r="N103" s="2277"/>
      <c r="O103" s="2277"/>
      <c r="P103" s="2277"/>
      <c r="Q103" s="2277"/>
    </row>
    <row r="104" spans="2:17" s="751" customFormat="1">
      <c r="B104" s="2277"/>
      <c r="C104" s="2277"/>
      <c r="D104" s="2277"/>
      <c r="E104" s="2277"/>
      <c r="F104" s="2277"/>
      <c r="G104" s="2277"/>
      <c r="H104" s="2277"/>
      <c r="I104" s="2277"/>
      <c r="J104" s="2277"/>
      <c r="K104" s="2277"/>
      <c r="L104" s="2277"/>
      <c r="M104" s="2277"/>
      <c r="N104" s="2277"/>
      <c r="O104" s="2277"/>
      <c r="P104" s="2277"/>
      <c r="Q104" s="2277"/>
    </row>
    <row r="105" spans="2:17" s="751" customFormat="1">
      <c r="B105" s="2277"/>
      <c r="C105" s="2277"/>
      <c r="D105" s="2277"/>
      <c r="E105" s="2277"/>
      <c r="F105" s="2277"/>
      <c r="G105" s="2277"/>
      <c r="H105" s="2277"/>
      <c r="I105" s="2277"/>
      <c r="J105" s="2277"/>
      <c r="K105" s="2277"/>
      <c r="L105" s="2277"/>
      <c r="M105" s="2277"/>
      <c r="N105" s="2277"/>
      <c r="O105" s="2277"/>
      <c r="P105" s="2277"/>
      <c r="Q105" s="2277"/>
    </row>
    <row r="106" spans="2:17" s="751" customFormat="1">
      <c r="B106" s="2277"/>
      <c r="C106" s="2277"/>
      <c r="D106" s="2277"/>
      <c r="E106" s="2277"/>
      <c r="F106" s="2277"/>
      <c r="G106" s="2277"/>
      <c r="H106" s="2277"/>
      <c r="I106" s="2277"/>
      <c r="J106" s="2277"/>
      <c r="K106" s="2277"/>
      <c r="L106" s="2277"/>
      <c r="M106" s="2277"/>
      <c r="N106" s="2277"/>
      <c r="O106" s="2277"/>
      <c r="P106" s="2277"/>
      <c r="Q106" s="2277"/>
    </row>
    <row r="107" spans="2:17" s="751" customFormat="1">
      <c r="B107" s="2277"/>
      <c r="C107" s="2277"/>
      <c r="D107" s="2277"/>
      <c r="E107" s="2277"/>
      <c r="F107" s="2277"/>
      <c r="G107" s="2277"/>
      <c r="H107" s="2277"/>
      <c r="I107" s="2277"/>
      <c r="J107" s="2277"/>
      <c r="K107" s="2277"/>
      <c r="L107" s="2277"/>
      <c r="M107" s="2277"/>
      <c r="N107" s="2277"/>
      <c r="O107" s="2277"/>
      <c r="P107" s="2277"/>
      <c r="Q107" s="2277"/>
    </row>
    <row r="108" spans="2:17" s="751" customFormat="1">
      <c r="B108" s="2277"/>
      <c r="C108" s="2277"/>
      <c r="D108" s="2277"/>
      <c r="E108" s="2277"/>
      <c r="F108" s="2277"/>
      <c r="G108" s="2277"/>
      <c r="H108" s="2277"/>
      <c r="I108" s="2277"/>
      <c r="J108" s="2277"/>
      <c r="K108" s="2277"/>
      <c r="L108" s="2277"/>
      <c r="M108" s="2277"/>
      <c r="N108" s="2277"/>
      <c r="O108" s="2277"/>
      <c r="P108" s="2277"/>
      <c r="Q108" s="2277"/>
    </row>
    <row r="109" spans="2:17" s="751" customFormat="1">
      <c r="B109" s="2277"/>
      <c r="C109" s="2277"/>
      <c r="D109" s="2277"/>
      <c r="E109" s="2277"/>
      <c r="F109" s="2277"/>
      <c r="G109" s="2277"/>
      <c r="H109" s="2277"/>
      <c r="I109" s="2277"/>
      <c r="J109" s="2277"/>
      <c r="K109" s="2277"/>
      <c r="L109" s="2277"/>
      <c r="M109" s="2277"/>
      <c r="N109" s="2277"/>
      <c r="O109" s="2277"/>
      <c r="P109" s="2277"/>
      <c r="Q109" s="2277"/>
    </row>
    <row r="110" spans="2:17" s="751" customFormat="1">
      <c r="B110" s="2277"/>
      <c r="C110" s="2277"/>
      <c r="D110" s="2277"/>
      <c r="E110" s="2277"/>
      <c r="F110" s="2277"/>
      <c r="G110" s="2277"/>
      <c r="H110" s="2277"/>
      <c r="I110" s="2277"/>
      <c r="J110" s="2277"/>
      <c r="K110" s="2277"/>
      <c r="L110" s="2277"/>
      <c r="M110" s="2277"/>
      <c r="N110" s="2277"/>
      <c r="O110" s="2277"/>
      <c r="P110" s="2277"/>
      <c r="Q110" s="2277"/>
    </row>
    <row r="111" spans="2:17" s="751" customFormat="1">
      <c r="B111" s="2277"/>
      <c r="C111" s="2277"/>
      <c r="D111" s="2277"/>
      <c r="E111" s="2277"/>
      <c r="F111" s="2277"/>
      <c r="G111" s="2277"/>
      <c r="H111" s="2277"/>
      <c r="I111" s="2277"/>
      <c r="J111" s="2277"/>
      <c r="K111" s="2277"/>
      <c r="L111" s="2277"/>
      <c r="M111" s="2277"/>
      <c r="N111" s="2277"/>
      <c r="O111" s="2277"/>
      <c r="P111" s="2277"/>
      <c r="Q111" s="2277"/>
    </row>
    <row r="112" spans="2:17" s="751" customFormat="1">
      <c r="B112" s="2277"/>
      <c r="C112" s="2277"/>
      <c r="D112" s="2277"/>
      <c r="E112" s="2277"/>
      <c r="F112" s="2277"/>
      <c r="G112" s="2277"/>
      <c r="H112" s="2277"/>
      <c r="I112" s="2277"/>
      <c r="J112" s="2277"/>
      <c r="K112" s="2277"/>
      <c r="L112" s="2277"/>
      <c r="M112" s="2277"/>
      <c r="N112" s="2277"/>
      <c r="O112" s="2277"/>
      <c r="P112" s="2277"/>
      <c r="Q112" s="2277"/>
    </row>
    <row r="113" spans="2:17" s="751" customFormat="1">
      <c r="B113" s="2277"/>
      <c r="C113" s="2277"/>
      <c r="D113" s="2277"/>
      <c r="E113" s="2277"/>
      <c r="F113" s="2277"/>
      <c r="G113" s="2277"/>
      <c r="H113" s="2277"/>
      <c r="I113" s="2277"/>
      <c r="J113" s="2277"/>
      <c r="K113" s="2277"/>
      <c r="L113" s="2277"/>
      <c r="M113" s="2277"/>
      <c r="N113" s="2277"/>
      <c r="O113" s="2277"/>
      <c r="P113" s="2277"/>
      <c r="Q113" s="2277"/>
    </row>
    <row r="114" spans="2:17" s="751" customFormat="1">
      <c r="B114" s="2277"/>
      <c r="C114" s="2277"/>
      <c r="D114" s="2277"/>
      <c r="E114" s="2277"/>
      <c r="F114" s="2277"/>
      <c r="G114" s="2277"/>
      <c r="H114" s="2277"/>
      <c r="I114" s="2277"/>
      <c r="J114" s="2277"/>
      <c r="K114" s="2277"/>
      <c r="L114" s="2277"/>
      <c r="M114" s="2277"/>
      <c r="N114" s="2277"/>
      <c r="O114" s="2277"/>
      <c r="P114" s="2277"/>
      <c r="Q114" s="2277"/>
    </row>
    <row r="115" spans="2:17" s="751" customFormat="1">
      <c r="B115" s="2277"/>
      <c r="C115" s="2277"/>
      <c r="D115" s="2277"/>
      <c r="E115" s="2277"/>
      <c r="F115" s="2277"/>
      <c r="G115" s="2277"/>
      <c r="H115" s="2277"/>
      <c r="I115" s="2277"/>
      <c r="J115" s="2277"/>
      <c r="K115" s="2277"/>
      <c r="L115" s="2277"/>
      <c r="M115" s="2277"/>
      <c r="N115" s="2277"/>
      <c r="O115" s="2277"/>
      <c r="P115" s="2277"/>
      <c r="Q115" s="2277"/>
    </row>
    <row r="116" spans="2:17" s="751" customFormat="1">
      <c r="B116" s="2277"/>
      <c r="C116" s="2277"/>
      <c r="D116" s="2277"/>
      <c r="E116" s="2277"/>
      <c r="F116" s="2277"/>
      <c r="G116" s="2277"/>
      <c r="H116" s="2277"/>
      <c r="I116" s="2277"/>
      <c r="J116" s="2277"/>
      <c r="K116" s="2277"/>
      <c r="L116" s="2277"/>
      <c r="M116" s="2277"/>
      <c r="N116" s="2277"/>
      <c r="O116" s="2277"/>
      <c r="P116" s="2277"/>
      <c r="Q116" s="2277"/>
    </row>
    <row r="117" spans="2:17" s="751" customFormat="1">
      <c r="B117" s="2277"/>
      <c r="C117" s="2277"/>
      <c r="D117" s="2277"/>
      <c r="E117" s="2277"/>
      <c r="F117" s="2277"/>
      <c r="G117" s="2277"/>
      <c r="H117" s="2277"/>
      <c r="I117" s="2277"/>
      <c r="J117" s="2277"/>
      <c r="K117" s="2277"/>
      <c r="L117" s="2277"/>
      <c r="M117" s="2277"/>
      <c r="N117" s="2277"/>
      <c r="O117" s="2277"/>
      <c r="P117" s="2277"/>
      <c r="Q117" s="2277"/>
    </row>
    <row r="118" spans="2:17" s="751" customFormat="1">
      <c r="B118" s="2277"/>
      <c r="C118" s="2277"/>
      <c r="D118" s="2277"/>
      <c r="E118" s="2277"/>
      <c r="F118" s="2277"/>
      <c r="G118" s="2277"/>
      <c r="H118" s="2277"/>
      <c r="I118" s="2277"/>
      <c r="J118" s="2277"/>
      <c r="K118" s="2277"/>
      <c r="L118" s="2277"/>
      <c r="M118" s="2277"/>
      <c r="N118" s="2277"/>
      <c r="O118" s="2277"/>
      <c r="P118" s="2277"/>
      <c r="Q118" s="2277"/>
    </row>
    <row r="119" spans="2:17" s="751" customFormat="1">
      <c r="B119" s="2277"/>
      <c r="C119" s="2277"/>
      <c r="D119" s="2277"/>
      <c r="E119" s="2277"/>
      <c r="F119" s="2277"/>
      <c r="G119" s="2277"/>
      <c r="H119" s="2277"/>
      <c r="I119" s="2277"/>
      <c r="J119" s="2277"/>
      <c r="K119" s="2277"/>
      <c r="L119" s="2277"/>
      <c r="M119" s="2277"/>
      <c r="N119" s="2277"/>
      <c r="O119" s="2277"/>
      <c r="P119" s="2277"/>
      <c r="Q119" s="2277"/>
    </row>
    <row r="120" spans="2:17" s="751" customFormat="1">
      <c r="B120" s="2277"/>
      <c r="C120" s="2277"/>
      <c r="D120" s="2277"/>
      <c r="E120" s="2277"/>
      <c r="F120" s="2277"/>
      <c r="G120" s="2277"/>
      <c r="H120" s="2277"/>
      <c r="I120" s="2277"/>
      <c r="J120" s="2277"/>
      <c r="K120" s="2277"/>
      <c r="L120" s="2277"/>
      <c r="M120" s="2277"/>
      <c r="N120" s="2277"/>
      <c r="O120" s="2277"/>
      <c r="P120" s="2277"/>
      <c r="Q120" s="2277"/>
    </row>
    <row r="121" spans="2:17" s="751" customFormat="1">
      <c r="B121" s="2277"/>
      <c r="C121" s="2277"/>
      <c r="D121" s="2277"/>
      <c r="E121" s="2277"/>
      <c r="F121" s="2277"/>
      <c r="G121" s="2277"/>
      <c r="H121" s="2277"/>
      <c r="I121" s="2277"/>
      <c r="J121" s="2277"/>
      <c r="K121" s="2277"/>
      <c r="L121" s="2277"/>
      <c r="M121" s="2277"/>
      <c r="N121" s="2277"/>
      <c r="O121" s="2277"/>
      <c r="P121" s="2277"/>
      <c r="Q121" s="2277"/>
    </row>
    <row r="122" spans="2:17" s="751" customFormat="1">
      <c r="B122" s="2277"/>
      <c r="C122" s="2277"/>
      <c r="D122" s="2277"/>
      <c r="E122" s="2277"/>
      <c r="F122" s="2277"/>
      <c r="G122" s="2277"/>
      <c r="H122" s="2277"/>
      <c r="I122" s="2277"/>
      <c r="J122" s="2277"/>
      <c r="K122" s="2277"/>
      <c r="L122" s="2277"/>
      <c r="M122" s="2277"/>
      <c r="N122" s="2277"/>
      <c r="O122" s="2277"/>
      <c r="P122" s="2277"/>
      <c r="Q122" s="2277"/>
    </row>
    <row r="123" spans="2:17" s="751" customFormat="1">
      <c r="B123" s="2277"/>
      <c r="C123" s="2277"/>
      <c r="D123" s="2277"/>
      <c r="E123" s="2277"/>
      <c r="F123" s="2277"/>
      <c r="G123" s="2277"/>
      <c r="H123" s="2277"/>
      <c r="I123" s="2277"/>
      <c r="J123" s="2277"/>
      <c r="K123" s="2277"/>
      <c r="L123" s="2277"/>
      <c r="M123" s="2277"/>
      <c r="N123" s="2277"/>
      <c r="O123" s="2277"/>
      <c r="P123" s="2277"/>
      <c r="Q123" s="2277"/>
    </row>
    <row r="124" spans="2:17" s="751" customFormat="1">
      <c r="B124" s="2277"/>
      <c r="C124" s="2277"/>
      <c r="D124" s="2277"/>
      <c r="E124" s="2277"/>
      <c r="F124" s="2277"/>
      <c r="G124" s="2277"/>
      <c r="H124" s="2277"/>
      <c r="I124" s="2277"/>
      <c r="J124" s="2277"/>
      <c r="K124" s="2277"/>
      <c r="L124" s="2277"/>
      <c r="M124" s="2277"/>
      <c r="N124" s="2277"/>
      <c r="O124" s="2277"/>
      <c r="P124" s="2277"/>
      <c r="Q124" s="2277"/>
    </row>
    <row r="125" spans="2:17" s="751" customFormat="1">
      <c r="B125" s="2277"/>
      <c r="C125" s="2277"/>
      <c r="D125" s="2277"/>
      <c r="E125" s="2277"/>
      <c r="F125" s="2277"/>
      <c r="G125" s="2277"/>
      <c r="H125" s="2277"/>
      <c r="I125" s="2277"/>
      <c r="J125" s="2277"/>
      <c r="K125" s="2277"/>
      <c r="L125" s="2277"/>
      <c r="M125" s="2277"/>
      <c r="N125" s="2277"/>
      <c r="O125" s="2277"/>
      <c r="P125" s="2277"/>
      <c r="Q125" s="2277"/>
    </row>
    <row r="126" spans="2:17" s="751" customFormat="1">
      <c r="B126" s="2277"/>
      <c r="C126" s="2277"/>
      <c r="D126" s="2277"/>
      <c r="E126" s="2277"/>
      <c r="F126" s="2277"/>
      <c r="G126" s="2277"/>
      <c r="H126" s="2277"/>
      <c r="I126" s="2277"/>
      <c r="J126" s="2277"/>
      <c r="K126" s="2277"/>
      <c r="L126" s="2277"/>
      <c r="M126" s="2277"/>
      <c r="N126" s="2277"/>
      <c r="O126" s="2277"/>
      <c r="P126" s="2277"/>
      <c r="Q126" s="2277"/>
    </row>
    <row r="127" spans="2:17" s="751" customFormat="1">
      <c r="B127" s="2277"/>
      <c r="C127" s="2277"/>
      <c r="D127" s="2277"/>
      <c r="E127" s="2277"/>
      <c r="F127" s="2277"/>
      <c r="G127" s="2277"/>
      <c r="H127" s="2277"/>
      <c r="I127" s="2277"/>
      <c r="J127" s="2277"/>
      <c r="K127" s="2277"/>
      <c r="L127" s="2277"/>
      <c r="M127" s="2277"/>
      <c r="N127" s="2277"/>
      <c r="O127" s="2277"/>
      <c r="P127" s="2277"/>
      <c r="Q127" s="2277"/>
    </row>
    <row r="128" spans="2:17" s="751" customFormat="1">
      <c r="B128" s="2277"/>
      <c r="C128" s="2277"/>
      <c r="D128" s="2277"/>
      <c r="E128" s="2277"/>
      <c r="F128" s="2277"/>
      <c r="G128" s="2277"/>
      <c r="H128" s="2277"/>
      <c r="I128" s="2277"/>
      <c r="J128" s="2277"/>
      <c r="K128" s="2277"/>
      <c r="L128" s="2277"/>
      <c r="M128" s="2277"/>
      <c r="N128" s="2277"/>
      <c r="O128" s="2277"/>
      <c r="P128" s="2277"/>
      <c r="Q128" s="2277"/>
    </row>
    <row r="129" spans="2:17" s="751" customFormat="1">
      <c r="B129" s="2277"/>
      <c r="C129" s="2277"/>
      <c r="D129" s="2277"/>
      <c r="E129" s="2277"/>
      <c r="F129" s="2277"/>
      <c r="G129" s="2277"/>
      <c r="H129" s="2277"/>
      <c r="I129" s="2277"/>
      <c r="J129" s="2277"/>
      <c r="K129" s="2277"/>
      <c r="L129" s="2277"/>
      <c r="M129" s="2277"/>
      <c r="N129" s="2277"/>
      <c r="O129" s="2277"/>
      <c r="P129" s="2277"/>
      <c r="Q129" s="2277"/>
    </row>
    <row r="130" spans="2:17" s="751" customFormat="1">
      <c r="B130" s="2277"/>
      <c r="C130" s="2277"/>
      <c r="D130" s="2277"/>
      <c r="E130" s="2277"/>
      <c r="F130" s="2277"/>
      <c r="G130" s="2277"/>
      <c r="H130" s="2277"/>
      <c r="I130" s="2277"/>
      <c r="J130" s="2277"/>
      <c r="K130" s="2277"/>
      <c r="L130" s="2277"/>
      <c r="M130" s="2277"/>
      <c r="N130" s="2277"/>
      <c r="O130" s="2277"/>
      <c r="P130" s="2277"/>
      <c r="Q130" s="2277"/>
    </row>
    <row r="131" spans="2:17" s="751" customFormat="1">
      <c r="B131" s="2277"/>
      <c r="C131" s="2277"/>
      <c r="D131" s="2277"/>
      <c r="E131" s="2277"/>
      <c r="F131" s="2277"/>
      <c r="G131" s="2277"/>
      <c r="H131" s="2277"/>
      <c r="I131" s="2277"/>
      <c r="J131" s="2277"/>
      <c r="K131" s="2277"/>
      <c r="L131" s="2277"/>
      <c r="M131" s="2277"/>
      <c r="N131" s="2277"/>
      <c r="O131" s="2277"/>
      <c r="P131" s="2277"/>
      <c r="Q131" s="2277"/>
    </row>
    <row r="132" spans="2:17" s="751" customFormat="1">
      <c r="B132" s="2277"/>
      <c r="C132" s="2277"/>
      <c r="D132" s="2277"/>
      <c r="E132" s="2277"/>
      <c r="F132" s="2277"/>
      <c r="G132" s="2277"/>
      <c r="H132" s="2277"/>
      <c r="I132" s="2277"/>
      <c r="J132" s="2277"/>
      <c r="K132" s="2277"/>
      <c r="L132" s="2277"/>
      <c r="M132" s="2277"/>
      <c r="N132" s="2277"/>
      <c r="O132" s="2277"/>
      <c r="P132" s="2277"/>
      <c r="Q132" s="2277"/>
    </row>
    <row r="133" spans="2:17" s="751" customFormat="1">
      <c r="B133" s="2277"/>
      <c r="C133" s="2277"/>
      <c r="D133" s="2277"/>
      <c r="E133" s="2277"/>
      <c r="F133" s="2277"/>
      <c r="G133" s="2277"/>
      <c r="H133" s="2277"/>
      <c r="I133" s="2277"/>
      <c r="J133" s="2277"/>
      <c r="K133" s="2277"/>
      <c r="L133" s="2277"/>
      <c r="M133" s="2277"/>
      <c r="N133" s="2277"/>
      <c r="O133" s="2277"/>
      <c r="P133" s="2277"/>
      <c r="Q133" s="2277"/>
    </row>
    <row r="134" spans="2:17" s="751" customFormat="1">
      <c r="B134" s="2277"/>
      <c r="C134" s="2277"/>
      <c r="D134" s="2277"/>
      <c r="E134" s="2277"/>
      <c r="F134" s="2277"/>
      <c r="G134" s="2277"/>
      <c r="H134" s="2277"/>
      <c r="I134" s="2277"/>
      <c r="J134" s="2277"/>
      <c r="K134" s="2277"/>
      <c r="L134" s="2277"/>
      <c r="M134" s="2277"/>
      <c r="N134" s="2277"/>
      <c r="O134" s="2277"/>
      <c r="P134" s="2277"/>
      <c r="Q134" s="2277"/>
    </row>
    <row r="135" spans="2:17" s="751" customFormat="1">
      <c r="B135" s="2277"/>
      <c r="C135" s="2277"/>
      <c r="D135" s="2277"/>
      <c r="E135" s="2277"/>
      <c r="F135" s="2277"/>
      <c r="G135" s="2277"/>
      <c r="H135" s="2277"/>
      <c r="I135" s="2277"/>
      <c r="J135" s="2277"/>
      <c r="K135" s="2277"/>
      <c r="L135" s="2277"/>
      <c r="M135" s="2277"/>
      <c r="N135" s="2277"/>
      <c r="O135" s="2277"/>
      <c r="P135" s="2277"/>
      <c r="Q135" s="2277"/>
    </row>
    <row r="136" spans="2:17" s="751" customFormat="1">
      <c r="B136" s="2277"/>
      <c r="C136" s="2277"/>
      <c r="D136" s="2277"/>
      <c r="E136" s="2277"/>
      <c r="F136" s="2277"/>
      <c r="G136" s="2277"/>
      <c r="H136" s="2277"/>
      <c r="I136" s="2277"/>
      <c r="J136" s="2277"/>
      <c r="K136" s="2277"/>
      <c r="L136" s="2277"/>
      <c r="M136" s="2277"/>
      <c r="N136" s="2277"/>
      <c r="O136" s="2277"/>
      <c r="P136" s="2277"/>
      <c r="Q136" s="2277"/>
    </row>
    <row r="137" spans="2:17" s="751" customFormat="1">
      <c r="B137" s="2277"/>
      <c r="C137" s="2277"/>
      <c r="D137" s="2277"/>
      <c r="E137" s="2277"/>
      <c r="F137" s="2277"/>
      <c r="G137" s="2277"/>
      <c r="H137" s="2277"/>
      <c r="I137" s="2277"/>
      <c r="J137" s="2277"/>
      <c r="K137" s="2277"/>
      <c r="L137" s="2277"/>
      <c r="M137" s="2277"/>
      <c r="N137" s="2277"/>
      <c r="O137" s="2277"/>
      <c r="P137" s="2277"/>
      <c r="Q137" s="2277"/>
    </row>
    <row r="138" spans="2:17" s="751" customFormat="1">
      <c r="B138" s="2277"/>
      <c r="C138" s="2277"/>
      <c r="D138" s="2277"/>
      <c r="E138" s="2277"/>
      <c r="F138" s="2277"/>
      <c r="G138" s="2277"/>
      <c r="H138" s="2277"/>
      <c r="I138" s="2277"/>
      <c r="J138" s="2277"/>
      <c r="K138" s="2277"/>
      <c r="L138" s="2277"/>
      <c r="M138" s="2277"/>
      <c r="N138" s="2277"/>
      <c r="O138" s="2277"/>
      <c r="P138" s="2277"/>
      <c r="Q138" s="2277"/>
    </row>
    <row r="139" spans="2:17" s="751" customFormat="1">
      <c r="B139" s="2277"/>
      <c r="C139" s="2277"/>
      <c r="D139" s="2277"/>
      <c r="E139" s="2277"/>
      <c r="F139" s="2277"/>
      <c r="G139" s="2277"/>
      <c r="H139" s="2277"/>
      <c r="I139" s="2277"/>
      <c r="J139" s="2277"/>
      <c r="K139" s="2277"/>
      <c r="L139" s="2277"/>
      <c r="M139" s="2277"/>
      <c r="N139" s="2277"/>
      <c r="O139" s="2277"/>
      <c r="P139" s="2277"/>
      <c r="Q139" s="2277"/>
    </row>
    <row r="140" spans="2:17" s="751" customFormat="1">
      <c r="B140" s="2277"/>
      <c r="C140" s="2277"/>
      <c r="D140" s="2277"/>
      <c r="E140" s="2277"/>
      <c r="F140" s="2277"/>
      <c r="G140" s="2277"/>
      <c r="H140" s="2277"/>
      <c r="I140" s="2277"/>
      <c r="J140" s="2277"/>
      <c r="K140" s="2277"/>
      <c r="L140" s="2277"/>
      <c r="M140" s="2277"/>
      <c r="N140" s="2277"/>
      <c r="O140" s="2277"/>
      <c r="P140" s="2277"/>
      <c r="Q140" s="2277"/>
    </row>
    <row r="141" spans="2:17" s="751" customFormat="1">
      <c r="B141" s="2277"/>
      <c r="C141" s="2277"/>
      <c r="D141" s="2277"/>
      <c r="E141" s="2277"/>
      <c r="F141" s="2277"/>
      <c r="G141" s="2277"/>
      <c r="H141" s="2277"/>
      <c r="I141" s="2277"/>
      <c r="J141" s="2277"/>
      <c r="K141" s="2277"/>
      <c r="L141" s="2277"/>
      <c r="M141" s="2277"/>
      <c r="N141" s="2277"/>
      <c r="O141" s="2277"/>
      <c r="P141" s="2277"/>
      <c r="Q141" s="2277"/>
    </row>
    <row r="142" spans="2:17" s="751" customFormat="1">
      <c r="B142" s="2277"/>
      <c r="C142" s="2277"/>
      <c r="D142" s="2277"/>
      <c r="E142" s="2277"/>
      <c r="F142" s="2277"/>
      <c r="G142" s="2277"/>
      <c r="H142" s="2277"/>
      <c r="I142" s="2277"/>
      <c r="J142" s="2277"/>
      <c r="K142" s="2277"/>
      <c r="L142" s="2277"/>
      <c r="M142" s="2277"/>
      <c r="N142" s="2277"/>
      <c r="O142" s="2277"/>
      <c r="P142" s="2277"/>
      <c r="Q142" s="2277"/>
    </row>
    <row r="143" spans="2:17" s="751" customFormat="1">
      <c r="B143" s="2277"/>
      <c r="C143" s="2277"/>
      <c r="D143" s="2277"/>
      <c r="E143" s="2277"/>
      <c r="F143" s="2277"/>
      <c r="G143" s="2277"/>
      <c r="H143" s="2277"/>
      <c r="I143" s="2277"/>
      <c r="J143" s="2277"/>
      <c r="K143" s="2277"/>
      <c r="L143" s="2277"/>
      <c r="M143" s="2277"/>
      <c r="N143" s="2277"/>
      <c r="O143" s="2277"/>
      <c r="P143" s="2277"/>
      <c r="Q143" s="2277"/>
    </row>
    <row r="144" spans="2:17" s="751" customFormat="1">
      <c r="B144" s="2277"/>
      <c r="C144" s="2277"/>
      <c r="D144" s="2277"/>
      <c r="E144" s="2277"/>
      <c r="F144" s="2277"/>
      <c r="G144" s="2277"/>
      <c r="H144" s="2277"/>
      <c r="I144" s="2277"/>
      <c r="J144" s="2277"/>
      <c r="K144" s="2277"/>
      <c r="L144" s="2277"/>
      <c r="M144" s="2277"/>
      <c r="N144" s="2277"/>
      <c r="O144" s="2277"/>
      <c r="P144" s="2277"/>
      <c r="Q144" s="2277"/>
    </row>
    <row r="145" spans="2:17" s="751" customFormat="1">
      <c r="B145" s="2277"/>
      <c r="C145" s="2277"/>
      <c r="D145" s="2277"/>
      <c r="E145" s="2277"/>
      <c r="F145" s="2277"/>
      <c r="G145" s="2277"/>
      <c r="H145" s="2277"/>
      <c r="I145" s="2277"/>
      <c r="J145" s="2277"/>
      <c r="K145" s="2277"/>
      <c r="L145" s="2277"/>
      <c r="M145" s="2277"/>
      <c r="N145" s="2277"/>
      <c r="O145" s="2277"/>
      <c r="P145" s="2277"/>
      <c r="Q145" s="2277"/>
    </row>
    <row r="146" spans="2:17" s="751" customFormat="1">
      <c r="B146" s="2277"/>
      <c r="C146" s="2277"/>
      <c r="D146" s="2277"/>
      <c r="E146" s="2277"/>
      <c r="F146" s="2277"/>
      <c r="G146" s="2277"/>
      <c r="H146" s="2277"/>
      <c r="I146" s="2277"/>
      <c r="J146" s="2277"/>
      <c r="K146" s="2277"/>
      <c r="L146" s="2277"/>
      <c r="M146" s="2277"/>
      <c r="N146" s="2277"/>
      <c r="O146" s="2277"/>
      <c r="P146" s="2277"/>
      <c r="Q146" s="2277"/>
    </row>
    <row r="147" spans="2:17" s="751" customFormat="1">
      <c r="B147" s="2277"/>
      <c r="C147" s="2277"/>
      <c r="D147" s="2277"/>
      <c r="E147" s="2277"/>
      <c r="F147" s="2277"/>
      <c r="G147" s="2277"/>
      <c r="H147" s="2277"/>
      <c r="I147" s="2277"/>
      <c r="J147" s="2277"/>
      <c r="K147" s="2277"/>
      <c r="L147" s="2277"/>
      <c r="M147" s="2277"/>
      <c r="N147" s="2277"/>
      <c r="O147" s="2277"/>
      <c r="P147" s="2277"/>
      <c r="Q147" s="2277"/>
    </row>
    <row r="148" spans="2:17" s="751" customFormat="1">
      <c r="B148" s="2277"/>
      <c r="C148" s="2277"/>
      <c r="D148" s="2277"/>
      <c r="E148" s="2277"/>
      <c r="F148" s="2277"/>
      <c r="G148" s="2277"/>
      <c r="H148" s="2277"/>
      <c r="I148" s="2277"/>
      <c r="J148" s="2277"/>
      <c r="K148" s="2277"/>
      <c r="L148" s="2277"/>
      <c r="M148" s="2277"/>
      <c r="N148" s="2277"/>
      <c r="O148" s="2277"/>
      <c r="P148" s="2277"/>
      <c r="Q148" s="2277"/>
    </row>
    <row r="149" spans="2:17" s="751" customFormat="1">
      <c r="B149" s="2277"/>
      <c r="C149" s="2277"/>
      <c r="D149" s="2277"/>
      <c r="E149" s="2277"/>
      <c r="F149" s="2277"/>
      <c r="G149" s="2277"/>
      <c r="H149" s="2277"/>
      <c r="I149" s="2277"/>
      <c r="J149" s="2277"/>
      <c r="K149" s="2277"/>
      <c r="L149" s="2277"/>
      <c r="M149" s="2277"/>
      <c r="N149" s="2277"/>
      <c r="O149" s="2277"/>
      <c r="P149" s="2277"/>
      <c r="Q149" s="2277"/>
    </row>
    <row r="150" spans="2:17" s="751" customFormat="1">
      <c r="B150" s="2277"/>
      <c r="C150" s="2277"/>
      <c r="D150" s="2277"/>
      <c r="E150" s="2277"/>
      <c r="F150" s="2277"/>
      <c r="G150" s="2277"/>
      <c r="H150" s="2277"/>
      <c r="I150" s="2277"/>
      <c r="J150" s="2277"/>
      <c r="K150" s="2277"/>
      <c r="L150" s="2277"/>
      <c r="M150" s="2277"/>
      <c r="N150" s="2277"/>
      <c r="O150" s="2277"/>
      <c r="P150" s="2277"/>
      <c r="Q150" s="2277"/>
    </row>
    <row r="151" spans="2:17" s="751" customFormat="1">
      <c r="B151" s="2277"/>
      <c r="C151" s="2277"/>
      <c r="D151" s="2277"/>
      <c r="E151" s="2277"/>
      <c r="F151" s="2277"/>
      <c r="G151" s="2277"/>
      <c r="H151" s="2277"/>
      <c r="I151" s="2277"/>
      <c r="J151" s="2277"/>
      <c r="K151" s="2277"/>
      <c r="L151" s="2277"/>
      <c r="M151" s="2277"/>
      <c r="N151" s="2277"/>
      <c r="O151" s="2277"/>
      <c r="P151" s="2277"/>
      <c r="Q151" s="2277"/>
    </row>
    <row r="152" spans="2:17" s="751" customFormat="1">
      <c r="B152" s="2277"/>
      <c r="C152" s="2277"/>
      <c r="D152" s="2277"/>
      <c r="E152" s="2277"/>
      <c r="F152" s="2277"/>
      <c r="G152" s="2277"/>
      <c r="H152" s="2277"/>
      <c r="I152" s="2277"/>
      <c r="J152" s="2277"/>
      <c r="K152" s="2277"/>
      <c r="L152" s="2277"/>
      <c r="M152" s="2277"/>
      <c r="N152" s="2277"/>
      <c r="O152" s="2277"/>
      <c r="P152" s="2277"/>
      <c r="Q152" s="2277"/>
    </row>
    <row r="153" spans="2:17" s="751" customFormat="1">
      <c r="B153" s="2277"/>
      <c r="C153" s="2277"/>
      <c r="D153" s="2277"/>
      <c r="E153" s="2277"/>
      <c r="F153" s="2277"/>
      <c r="G153" s="2277"/>
      <c r="H153" s="2277"/>
      <c r="I153" s="2277"/>
      <c r="J153" s="2277"/>
      <c r="K153" s="2277"/>
      <c r="L153" s="2277"/>
      <c r="M153" s="2277"/>
      <c r="N153" s="2277"/>
      <c r="O153" s="2277"/>
      <c r="P153" s="2277"/>
      <c r="Q153" s="2277"/>
    </row>
    <row r="154" spans="2:17" s="751" customFormat="1">
      <c r="B154" s="2277"/>
      <c r="C154" s="2277"/>
      <c r="D154" s="2277"/>
      <c r="E154" s="2277"/>
      <c r="F154" s="2277"/>
      <c r="G154" s="2277"/>
      <c r="H154" s="2277"/>
      <c r="I154" s="2277"/>
      <c r="J154" s="2277"/>
      <c r="K154" s="2277"/>
      <c r="L154" s="2277"/>
      <c r="M154" s="2277"/>
      <c r="N154" s="2277"/>
      <c r="O154" s="2277"/>
      <c r="P154" s="2277"/>
      <c r="Q154" s="2277"/>
    </row>
    <row r="155" spans="2:17" s="751" customFormat="1">
      <c r="B155" s="2277"/>
      <c r="C155" s="2277"/>
      <c r="D155" s="2277"/>
      <c r="E155" s="2277"/>
      <c r="F155" s="2277"/>
      <c r="G155" s="2277"/>
      <c r="H155" s="2277"/>
      <c r="I155" s="2277"/>
      <c r="J155" s="2277"/>
      <c r="K155" s="2277"/>
      <c r="L155" s="2277"/>
      <c r="M155" s="2277"/>
      <c r="N155" s="2277"/>
      <c r="O155" s="2277"/>
      <c r="P155" s="2277"/>
      <c r="Q155" s="2277"/>
    </row>
    <row r="156" spans="2:17" s="751" customFormat="1">
      <c r="B156" s="2277"/>
      <c r="C156" s="2277"/>
      <c r="D156" s="2277"/>
      <c r="E156" s="2277"/>
      <c r="F156" s="2277"/>
      <c r="G156" s="2277"/>
      <c r="H156" s="2277"/>
      <c r="I156" s="2277"/>
      <c r="J156" s="2277"/>
      <c r="K156" s="2277"/>
      <c r="L156" s="2277"/>
      <c r="M156" s="2277"/>
      <c r="N156" s="2277"/>
      <c r="O156" s="2277"/>
      <c r="P156" s="2277"/>
      <c r="Q156" s="2277"/>
    </row>
    <row r="157" spans="2:17" s="751" customFormat="1">
      <c r="B157" s="2277"/>
      <c r="C157" s="2277"/>
      <c r="D157" s="2277"/>
      <c r="E157" s="2277"/>
      <c r="F157" s="2277"/>
      <c r="G157" s="2277"/>
      <c r="H157" s="2277"/>
      <c r="I157" s="2277"/>
      <c r="J157" s="2277"/>
      <c r="K157" s="2277"/>
      <c r="L157" s="2277"/>
      <c r="M157" s="2277"/>
      <c r="N157" s="2277"/>
      <c r="O157" s="2277"/>
      <c r="P157" s="2277"/>
      <c r="Q157" s="2277"/>
    </row>
    <row r="158" spans="2:17" s="751" customFormat="1">
      <c r="B158" s="2277"/>
      <c r="C158" s="2277"/>
      <c r="D158" s="2277"/>
      <c r="E158" s="2277"/>
      <c r="F158" s="2277"/>
      <c r="G158" s="2277"/>
      <c r="H158" s="2277"/>
      <c r="I158" s="2277"/>
      <c r="J158" s="2277"/>
      <c r="K158" s="2277"/>
      <c r="L158" s="2277"/>
      <c r="M158" s="2277"/>
      <c r="N158" s="2277"/>
      <c r="O158" s="2277"/>
      <c r="P158" s="2277"/>
      <c r="Q158" s="2277"/>
    </row>
    <row r="159" spans="2:17" s="751" customFormat="1">
      <c r="B159" s="2277"/>
      <c r="C159" s="2277"/>
      <c r="D159" s="2277"/>
      <c r="E159" s="2277"/>
      <c r="F159" s="2277"/>
      <c r="G159" s="2277"/>
      <c r="H159" s="2277"/>
      <c r="I159" s="2277"/>
      <c r="J159" s="2277"/>
      <c r="K159" s="2277"/>
      <c r="L159" s="2277"/>
      <c r="M159" s="2277"/>
      <c r="N159" s="2277"/>
      <c r="O159" s="2277"/>
      <c r="P159" s="2277"/>
      <c r="Q159" s="2277"/>
    </row>
    <row r="160" spans="2:17" s="751" customFormat="1">
      <c r="B160" s="2277"/>
      <c r="C160" s="2277"/>
      <c r="D160" s="2277"/>
      <c r="E160" s="2277"/>
      <c r="F160" s="2277"/>
      <c r="G160" s="2277"/>
      <c r="H160" s="2277"/>
      <c r="I160" s="2277"/>
      <c r="J160" s="2277"/>
      <c r="K160" s="2277"/>
      <c r="L160" s="2277"/>
      <c r="M160" s="2277"/>
      <c r="N160" s="2277"/>
      <c r="O160" s="2277"/>
      <c r="P160" s="2277"/>
      <c r="Q160" s="2277"/>
    </row>
    <row r="161" spans="2:17" s="751" customFormat="1">
      <c r="B161" s="2277"/>
      <c r="C161" s="2277"/>
      <c r="D161" s="2277"/>
      <c r="E161" s="2277"/>
      <c r="F161" s="2277"/>
      <c r="G161" s="2277"/>
      <c r="H161" s="2277"/>
      <c r="I161" s="2277"/>
      <c r="J161" s="2277"/>
      <c r="K161" s="2277"/>
      <c r="L161" s="2277"/>
      <c r="M161" s="2277"/>
      <c r="N161" s="2277"/>
      <c r="O161" s="2277"/>
      <c r="P161" s="2277"/>
      <c r="Q161" s="2277"/>
    </row>
    <row r="162" spans="2:17" s="751" customFormat="1">
      <c r="B162" s="2277"/>
      <c r="C162" s="2277"/>
      <c r="D162" s="2277"/>
      <c r="E162" s="2277"/>
      <c r="F162" s="2277"/>
      <c r="G162" s="2277"/>
      <c r="H162" s="2277"/>
      <c r="I162" s="2277"/>
      <c r="J162" s="2277"/>
      <c r="K162" s="2277"/>
      <c r="L162" s="2277"/>
      <c r="M162" s="2277"/>
      <c r="N162" s="2277"/>
      <c r="O162" s="2277"/>
      <c r="P162" s="2277"/>
      <c r="Q162" s="2277"/>
    </row>
    <row r="163" spans="2:17" s="751" customFormat="1">
      <c r="B163" s="2277"/>
      <c r="C163" s="2277"/>
      <c r="D163" s="2277"/>
      <c r="E163" s="2277"/>
      <c r="F163" s="2277"/>
      <c r="G163" s="2277"/>
      <c r="H163" s="2277"/>
      <c r="I163" s="2277"/>
      <c r="J163" s="2277"/>
      <c r="K163" s="2277"/>
      <c r="L163" s="2277"/>
      <c r="M163" s="2277"/>
      <c r="N163" s="2277"/>
      <c r="O163" s="2277"/>
      <c r="P163" s="2277"/>
      <c r="Q163" s="2277"/>
    </row>
    <row r="164" spans="2:17" s="751" customFormat="1">
      <c r="B164" s="2277"/>
      <c r="C164" s="2277"/>
      <c r="D164" s="2277"/>
      <c r="E164" s="2277"/>
      <c r="F164" s="2277"/>
      <c r="G164" s="2277"/>
      <c r="H164" s="2277"/>
      <c r="I164" s="2277"/>
      <c r="J164" s="2277"/>
      <c r="K164" s="2277"/>
      <c r="L164" s="2277"/>
      <c r="M164" s="2277"/>
      <c r="N164" s="2277"/>
      <c r="O164" s="2277"/>
      <c r="P164" s="2277"/>
      <c r="Q164" s="2277"/>
    </row>
    <row r="165" spans="2:17" s="751" customFormat="1">
      <c r="B165" s="2277"/>
      <c r="C165" s="2277"/>
      <c r="D165" s="2277"/>
      <c r="E165" s="2277"/>
      <c r="F165" s="2277"/>
      <c r="G165" s="2277"/>
      <c r="H165" s="2277"/>
      <c r="I165" s="2277"/>
      <c r="J165" s="2277"/>
      <c r="K165" s="2277"/>
      <c r="L165" s="2277"/>
      <c r="M165" s="2277"/>
      <c r="N165" s="2277"/>
      <c r="O165" s="2277"/>
      <c r="P165" s="2277"/>
      <c r="Q165" s="2277"/>
    </row>
    <row r="166" spans="2:17" s="751" customFormat="1">
      <c r="B166" s="2277"/>
      <c r="C166" s="2277"/>
      <c r="D166" s="2277"/>
      <c r="E166" s="2277"/>
      <c r="F166" s="2277"/>
      <c r="G166" s="2277"/>
      <c r="H166" s="2277"/>
      <c r="I166" s="2277"/>
      <c r="J166" s="2277"/>
      <c r="K166" s="2277"/>
      <c r="L166" s="2277"/>
      <c r="M166" s="2277"/>
      <c r="N166" s="2277"/>
      <c r="O166" s="2277"/>
      <c r="P166" s="2277"/>
      <c r="Q166" s="2277"/>
    </row>
    <row r="167" spans="2:17" s="751" customFormat="1">
      <c r="B167" s="2277"/>
      <c r="C167" s="2277"/>
      <c r="D167" s="2277"/>
      <c r="E167" s="2277"/>
      <c r="F167" s="2277"/>
      <c r="G167" s="2277"/>
      <c r="H167" s="2277"/>
      <c r="I167" s="2277"/>
      <c r="J167" s="2277"/>
      <c r="K167" s="2277"/>
      <c r="L167" s="2277"/>
      <c r="M167" s="2277"/>
      <c r="N167" s="2277"/>
      <c r="O167" s="2277"/>
      <c r="P167" s="2277"/>
      <c r="Q167" s="2277"/>
    </row>
    <row r="168" spans="2:17" s="751" customFormat="1">
      <c r="B168" s="2277"/>
      <c r="C168" s="2277"/>
      <c r="D168" s="2277"/>
      <c r="E168" s="2277"/>
      <c r="F168" s="2277"/>
      <c r="G168" s="2277"/>
      <c r="H168" s="2277"/>
      <c r="I168" s="2277"/>
      <c r="J168" s="2277"/>
      <c r="K168" s="2277"/>
      <c r="L168" s="2277"/>
      <c r="M168" s="2277"/>
      <c r="N168" s="2277"/>
      <c r="O168" s="2277"/>
      <c r="P168" s="2277"/>
      <c r="Q168" s="2277"/>
    </row>
    <row r="169" spans="2:17" s="751" customFormat="1">
      <c r="B169" s="2277"/>
      <c r="C169" s="2277"/>
      <c r="D169" s="2277"/>
      <c r="E169" s="2277"/>
      <c r="F169" s="2277"/>
      <c r="G169" s="2277"/>
      <c r="H169" s="2277"/>
      <c r="I169" s="2277"/>
      <c r="J169" s="2277"/>
      <c r="K169" s="2277"/>
      <c r="L169" s="2277"/>
      <c r="M169" s="2277"/>
      <c r="N169" s="2277"/>
      <c r="O169" s="2277"/>
      <c r="P169" s="2277"/>
      <c r="Q169" s="2277"/>
    </row>
    <row r="170" spans="2:17" s="751" customFormat="1">
      <c r="B170" s="2277"/>
      <c r="C170" s="2277"/>
      <c r="D170" s="2277"/>
      <c r="E170" s="2277"/>
      <c r="F170" s="2277"/>
      <c r="G170" s="2277"/>
      <c r="H170" s="2277"/>
      <c r="I170" s="2277"/>
      <c r="J170" s="2277"/>
      <c r="K170" s="2277"/>
      <c r="L170" s="2277"/>
      <c r="M170" s="2277"/>
      <c r="N170" s="2277"/>
      <c r="O170" s="2277"/>
      <c r="P170" s="2277"/>
      <c r="Q170" s="2277"/>
    </row>
    <row r="171" spans="2:17" s="751" customFormat="1">
      <c r="B171" s="2277"/>
      <c r="C171" s="2277"/>
      <c r="D171" s="2277"/>
      <c r="E171" s="2277"/>
      <c r="F171" s="2277"/>
      <c r="G171" s="2277"/>
      <c r="H171" s="2277"/>
      <c r="I171" s="2277"/>
      <c r="J171" s="2277"/>
      <c r="K171" s="2277"/>
      <c r="L171" s="2277"/>
      <c r="M171" s="2277"/>
      <c r="N171" s="2277"/>
      <c r="O171" s="2277"/>
      <c r="P171" s="2277"/>
      <c r="Q171" s="2277"/>
    </row>
    <row r="172" spans="2:17" s="751" customFormat="1">
      <c r="B172" s="2277"/>
      <c r="C172" s="2277"/>
      <c r="D172" s="2277"/>
      <c r="E172" s="2277"/>
      <c r="F172" s="2277"/>
      <c r="G172" s="2277"/>
      <c r="H172" s="2277"/>
      <c r="I172" s="2277"/>
      <c r="J172" s="2277"/>
      <c r="K172" s="2277"/>
      <c r="L172" s="2277"/>
      <c r="M172" s="2277"/>
      <c r="N172" s="2277"/>
      <c r="O172" s="2277"/>
      <c r="P172" s="2277"/>
      <c r="Q172" s="2277"/>
    </row>
    <row r="173" spans="2:17" s="751" customFormat="1">
      <c r="B173" s="2277"/>
      <c r="C173" s="2277"/>
      <c r="D173" s="2277"/>
      <c r="E173" s="2277"/>
      <c r="F173" s="2277"/>
      <c r="G173" s="2277"/>
      <c r="H173" s="2277"/>
      <c r="I173" s="2277"/>
      <c r="J173" s="2277"/>
      <c r="K173" s="2277"/>
      <c r="L173" s="2277"/>
      <c r="M173" s="2277"/>
      <c r="N173" s="2277"/>
      <c r="O173" s="2277"/>
      <c r="P173" s="2277"/>
      <c r="Q173" s="2277"/>
    </row>
    <row r="174" spans="2:17" s="751" customFormat="1">
      <c r="B174" s="2277"/>
      <c r="C174" s="2277"/>
      <c r="D174" s="2277"/>
      <c r="E174" s="2277"/>
      <c r="F174" s="2277"/>
      <c r="G174" s="2277"/>
      <c r="H174" s="2277"/>
      <c r="I174" s="2277"/>
      <c r="J174" s="2277"/>
      <c r="K174" s="2277"/>
      <c r="L174" s="2277"/>
      <c r="M174" s="2277"/>
      <c r="N174" s="2277"/>
      <c r="O174" s="2277"/>
      <c r="P174" s="2277"/>
      <c r="Q174" s="2277"/>
    </row>
    <row r="175" spans="2:17" s="751" customFormat="1">
      <c r="B175" s="2277"/>
      <c r="C175" s="2277"/>
      <c r="D175" s="2277"/>
      <c r="E175" s="2277"/>
      <c r="F175" s="2277"/>
      <c r="G175" s="2277"/>
      <c r="H175" s="2277"/>
      <c r="I175" s="2277"/>
      <c r="J175" s="2277"/>
      <c r="K175" s="2277"/>
      <c r="L175" s="2277"/>
      <c r="M175" s="2277"/>
      <c r="N175" s="2277"/>
      <c r="O175" s="2277"/>
      <c r="P175" s="2277"/>
      <c r="Q175" s="2277"/>
    </row>
    <row r="176" spans="2:17" s="751" customFormat="1">
      <c r="B176" s="2277"/>
      <c r="C176" s="2277"/>
      <c r="D176" s="2277"/>
      <c r="E176" s="2277"/>
      <c r="F176" s="2277"/>
      <c r="G176" s="2277"/>
      <c r="H176" s="2277"/>
      <c r="I176" s="2277"/>
      <c r="J176" s="2277"/>
      <c r="K176" s="2277"/>
      <c r="L176" s="2277"/>
      <c r="M176" s="2277"/>
      <c r="N176" s="2277"/>
      <c r="O176" s="2277"/>
      <c r="P176" s="2277"/>
      <c r="Q176" s="2277"/>
    </row>
    <row r="177" spans="1:17" s="751" customFormat="1">
      <c r="B177" s="2277"/>
      <c r="C177" s="2277"/>
      <c r="D177" s="2277"/>
      <c r="E177" s="2277"/>
      <c r="F177" s="2277"/>
      <c r="G177" s="2277"/>
      <c r="H177" s="2277"/>
      <c r="I177" s="2277"/>
      <c r="J177" s="2277"/>
      <c r="K177" s="2277"/>
      <c r="L177" s="2277"/>
      <c r="M177" s="2277"/>
      <c r="N177" s="2277"/>
      <c r="O177" s="2277"/>
      <c r="P177" s="2277"/>
      <c r="Q177" s="2277"/>
    </row>
    <row r="178" spans="1:17" s="751" customFormat="1">
      <c r="B178" s="2277"/>
      <c r="C178" s="2277"/>
      <c r="D178" s="2277"/>
      <c r="E178" s="2277"/>
      <c r="F178" s="2277"/>
      <c r="G178" s="2277"/>
      <c r="H178" s="2277"/>
      <c r="I178" s="2277"/>
      <c r="J178" s="2277"/>
      <c r="K178" s="2277"/>
      <c r="L178" s="2277"/>
      <c r="M178" s="2277"/>
      <c r="N178" s="2277"/>
      <c r="O178" s="2277"/>
      <c r="P178" s="2277"/>
      <c r="Q178" s="2277"/>
    </row>
    <row r="179" spans="1:17" s="751" customFormat="1">
      <c r="B179" s="2277"/>
      <c r="C179" s="2277"/>
      <c r="D179" s="2277"/>
      <c r="E179" s="2277"/>
      <c r="F179" s="2277"/>
      <c r="G179" s="2277"/>
      <c r="H179" s="2277"/>
      <c r="I179" s="2277"/>
      <c r="J179" s="2277"/>
      <c r="K179" s="2277"/>
      <c r="L179" s="2277"/>
      <c r="M179" s="2277"/>
      <c r="N179" s="2277"/>
      <c r="O179" s="2277"/>
      <c r="P179" s="2277"/>
      <c r="Q179" s="2277"/>
    </row>
    <row r="180" spans="1:17" s="751" customFormat="1">
      <c r="B180" s="2277"/>
      <c r="C180" s="2277"/>
      <c r="D180" s="2277"/>
      <c r="E180" s="2277"/>
      <c r="F180" s="2277"/>
      <c r="G180" s="2277"/>
      <c r="H180" s="2277"/>
      <c r="I180" s="2277"/>
      <c r="J180" s="2277"/>
      <c r="K180" s="2277"/>
      <c r="L180" s="2277"/>
      <c r="M180" s="2277"/>
      <c r="N180" s="2277"/>
      <c r="O180" s="2277"/>
      <c r="P180" s="2277"/>
      <c r="Q180" s="2277"/>
    </row>
    <row r="181" spans="1:17" s="751" customFormat="1">
      <c r="B181" s="2277"/>
      <c r="C181" s="2277"/>
      <c r="D181" s="2277"/>
      <c r="E181" s="2277"/>
      <c r="F181" s="2277"/>
      <c r="G181" s="2277"/>
      <c r="H181" s="2277"/>
      <c r="I181" s="2277"/>
      <c r="J181" s="2277"/>
      <c r="K181" s="2277"/>
      <c r="L181" s="2277"/>
      <c r="M181" s="2277"/>
      <c r="N181" s="2277"/>
      <c r="O181" s="2277"/>
      <c r="P181" s="2277"/>
      <c r="Q181" s="2277"/>
    </row>
    <row r="182" spans="1:17" s="751" customFormat="1">
      <c r="B182" s="2277"/>
      <c r="C182" s="2277"/>
      <c r="D182" s="2277"/>
      <c r="E182" s="2277"/>
      <c r="F182" s="2277"/>
      <c r="G182" s="2277"/>
      <c r="H182" s="2277"/>
      <c r="I182" s="2277"/>
      <c r="J182" s="2277"/>
      <c r="K182" s="2277"/>
      <c r="L182" s="2277"/>
      <c r="M182" s="2277"/>
      <c r="N182" s="2277"/>
      <c r="O182" s="2277"/>
      <c r="P182" s="2277"/>
      <c r="Q182" s="2277"/>
    </row>
    <row r="183" spans="1:17" s="751" customFormat="1">
      <c r="B183" s="2277"/>
      <c r="C183" s="2277"/>
      <c r="D183" s="2277"/>
      <c r="E183" s="2277"/>
      <c r="F183" s="2277"/>
      <c r="G183" s="2277"/>
      <c r="H183" s="2277"/>
      <c r="I183" s="2277"/>
      <c r="J183" s="2277"/>
      <c r="K183" s="2277"/>
      <c r="L183" s="2277"/>
      <c r="M183" s="2277"/>
      <c r="N183" s="2277"/>
      <c r="O183" s="2277"/>
      <c r="P183" s="2277"/>
      <c r="Q183" s="2277"/>
    </row>
    <row r="184" spans="1:17" s="751" customFormat="1">
      <c r="B184" s="2277"/>
      <c r="C184" s="2277"/>
      <c r="D184" s="2277"/>
      <c r="E184" s="2277"/>
      <c r="F184" s="2277"/>
      <c r="G184" s="2277"/>
      <c r="H184" s="2277"/>
      <c r="I184" s="2277"/>
      <c r="J184" s="2277"/>
      <c r="K184" s="2277"/>
      <c r="L184" s="2277"/>
      <c r="M184" s="2277"/>
      <c r="N184" s="2277"/>
      <c r="O184" s="2277"/>
      <c r="P184" s="2277"/>
      <c r="Q184" s="2277"/>
    </row>
    <row r="185" spans="1:17" s="751" customFormat="1">
      <c r="B185" s="2277"/>
      <c r="C185" s="2277"/>
      <c r="D185" s="2277"/>
      <c r="E185" s="2277"/>
      <c r="F185" s="2277"/>
      <c r="G185" s="2277"/>
      <c r="H185" s="2277"/>
      <c r="I185" s="2277"/>
      <c r="J185" s="2277"/>
      <c r="K185" s="2277"/>
      <c r="L185" s="2277"/>
      <c r="M185" s="2277"/>
      <c r="N185" s="2277"/>
      <c r="O185" s="2277"/>
      <c r="P185" s="2277"/>
      <c r="Q185" s="2277"/>
    </row>
    <row r="186" spans="1:17">
      <c r="A186" s="751"/>
      <c r="B186" s="2277"/>
      <c r="C186" s="2277"/>
      <c r="E186" s="2277"/>
      <c r="F186" s="2277"/>
      <c r="G186" s="2277"/>
    </row>
    <row r="187" spans="1:17">
      <c r="A187" s="751"/>
      <c r="B187" s="2277"/>
      <c r="C187" s="2277"/>
      <c r="E187" s="2277"/>
      <c r="F187" s="2277"/>
      <c r="G187" s="227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20" sqref="G20"/>
    </sheetView>
  </sheetViews>
  <sheetFormatPr defaultColWidth="9" defaultRowHeight="13.5"/>
  <cols>
    <col min="1" max="1" width="25" style="2301" customWidth="1"/>
    <col min="2" max="9" width="15.75" style="2301" customWidth="1"/>
    <col min="10" max="16384" width="9" style="2301"/>
  </cols>
  <sheetData>
    <row r="1" spans="1:11" ht="16.5">
      <c r="A1" s="2300" t="s">
        <v>665</v>
      </c>
      <c r="B1" s="2300">
        <f>SUM(B14:B23)</f>
        <v>103889.93000000002</v>
      </c>
      <c r="C1" s="2462"/>
      <c r="D1" s="2462"/>
      <c r="E1" s="2462"/>
      <c r="F1" s="2462"/>
      <c r="G1" s="2463"/>
      <c r="H1" s="2463"/>
      <c r="I1" s="2463"/>
      <c r="J1" s="2463"/>
      <c r="K1" s="2463"/>
    </row>
    <row r="2" spans="1:11" ht="16.5">
      <c r="A2" s="2300" t="s">
        <v>653</v>
      </c>
      <c r="B2" s="2300">
        <f>SUM(C14:C23)</f>
        <v>0</v>
      </c>
      <c r="C2" s="2462"/>
      <c r="D2" s="2462"/>
      <c r="E2" s="2462"/>
      <c r="F2" s="2462"/>
      <c r="G2" s="2463"/>
      <c r="H2" s="2463"/>
      <c r="I2" s="2463"/>
      <c r="J2" s="2463"/>
      <c r="K2" s="2463"/>
    </row>
    <row r="3" spans="1:11" ht="16.5">
      <c r="A3" s="2300" t="s">
        <v>662</v>
      </c>
      <c r="B3" s="2302">
        <f>项目基本情况!D3</f>
        <v>45785</v>
      </c>
      <c r="C3" s="2462"/>
      <c r="D3" s="2462"/>
      <c r="E3" s="2462"/>
      <c r="F3" s="2462"/>
      <c r="G3" s="2463"/>
      <c r="H3" s="2463"/>
      <c r="I3" s="2463"/>
      <c r="J3" s="2463"/>
      <c r="K3" s="2463"/>
    </row>
    <row r="4" spans="1:11" ht="33">
      <c r="A4" s="2300" t="s">
        <v>661</v>
      </c>
      <c r="B4" s="2300" t="s">
        <v>660</v>
      </c>
      <c r="C4" s="2300" t="s">
        <v>659</v>
      </c>
      <c r="D4" s="2300" t="s">
        <v>658</v>
      </c>
      <c r="E4" s="2462"/>
      <c r="F4" s="2463"/>
      <c r="G4" s="2463"/>
      <c r="H4" s="2463"/>
      <c r="I4" s="2463"/>
      <c r="J4" s="2463"/>
      <c r="K4" s="2463"/>
    </row>
    <row r="5" spans="1:11" ht="16.5">
      <c r="A5" s="2300" t="s">
        <v>657</v>
      </c>
      <c r="B5" s="2300">
        <f ca="1">SUM(D14:D23)</f>
        <v>252404</v>
      </c>
      <c r="C5" s="2300">
        <f ca="1">IF(B5=D14,结果表!H102,ROUND(B5*10000/$B$1,0))</f>
        <v>24295</v>
      </c>
      <c r="D5" s="2300" t="e">
        <f ca="1">ROUND(B5*10000/$B$2,0)</f>
        <v>#DIV/0!</v>
      </c>
      <c r="E5" s="2462"/>
      <c r="F5" s="2463"/>
      <c r="G5" s="2463"/>
      <c r="H5" s="2463"/>
      <c r="I5" s="2463"/>
      <c r="J5" s="2463"/>
      <c r="K5" s="2463"/>
    </row>
    <row r="6" spans="1:11" ht="16.5">
      <c r="A6" s="2300" t="s">
        <v>656</v>
      </c>
      <c r="B6" s="2300">
        <f ca="1">SUM(G14:G23)</f>
        <v>252404</v>
      </c>
      <c r="C6" s="2300">
        <f ca="1">IF(B6=G14,结果表!H108,ROUND(B6*10000/$B$1,0))</f>
        <v>24295</v>
      </c>
      <c r="D6" s="2300" t="e">
        <f ca="1">ROUND(B6*10000/$B$2,0)</f>
        <v>#DIV/0!</v>
      </c>
      <c r="E6" s="2462"/>
      <c r="F6" s="2463"/>
      <c r="G6" s="2463"/>
      <c r="H6" s="2463"/>
      <c r="I6" s="2463"/>
      <c r="J6" s="2463"/>
      <c r="K6" s="2463"/>
    </row>
    <row r="7" spans="1:11" ht="16.5">
      <c r="A7" s="2300" t="s">
        <v>664</v>
      </c>
      <c r="B7" s="2300">
        <f>SUM(H14:H23)</f>
        <v>0</v>
      </c>
      <c r="C7" s="2300" t="str">
        <f>IF(B7=H14,结果表!H110,ROUND(B7*10000/$B$1,0))</f>
        <v>——</v>
      </c>
      <c r="D7" s="2300" t="e">
        <f>ROUND(B7*10000/$B$2,0)</f>
        <v>#DIV/0!</v>
      </c>
      <c r="E7" s="2462"/>
      <c r="F7" s="2463"/>
      <c r="G7" s="2463"/>
      <c r="H7" s="2463"/>
      <c r="I7" s="2463"/>
      <c r="J7" s="2463"/>
      <c r="K7" s="2463"/>
    </row>
    <row r="8" spans="1:11" ht="16.5">
      <c r="A8" s="2300" t="s">
        <v>587</v>
      </c>
      <c r="B8" s="2300">
        <f>SUM(I14:I23)</f>
        <v>0</v>
      </c>
      <c r="C8" s="2300" t="str">
        <f>IF(B8=I14,结果表!H112,ROUND(B8*10000/$B$1,0))</f>
        <v>——</v>
      </c>
      <c r="D8" s="2300" t="e">
        <f>ROUND(B8*10000/$B$2,0)</f>
        <v>#DIV/0!</v>
      </c>
      <c r="E8" s="2462"/>
      <c r="F8" s="2463"/>
      <c r="G8" s="2463"/>
      <c r="H8" s="2463"/>
      <c r="I8" s="2463"/>
      <c r="J8" s="2463"/>
      <c r="K8" s="2463"/>
    </row>
    <row r="9" spans="1:11" ht="16.5">
      <c r="A9" s="2300" t="s">
        <v>655</v>
      </c>
      <c r="B9" s="1244"/>
      <c r="C9" s="2462"/>
      <c r="D9" s="2462"/>
      <c r="E9" s="2462"/>
      <c r="F9" s="2463"/>
      <c r="G9" s="2463"/>
      <c r="H9" s="2463"/>
      <c r="I9" s="2463"/>
      <c r="J9" s="2463"/>
      <c r="K9" s="2463"/>
    </row>
    <row r="10" spans="1:11" ht="16.5">
      <c r="A10" s="2300" t="s">
        <v>654</v>
      </c>
      <c r="B10" s="2300">
        <f>IF(E10="",0,ROUND(B1*(E10*365/G10)/10000,0))</f>
        <v>0</v>
      </c>
      <c r="C10" s="2300" t="s">
        <v>3346</v>
      </c>
      <c r="D10" s="2300" t="s">
        <v>3347</v>
      </c>
      <c r="E10" s="3136"/>
      <c r="F10" s="3140" t="s">
        <v>3348</v>
      </c>
      <c r="G10" s="3137"/>
      <c r="H10" s="2463"/>
      <c r="I10" s="2463"/>
      <c r="J10" s="2463"/>
      <c r="K10" s="2463"/>
    </row>
    <row r="11" spans="1:11" ht="16.5">
      <c r="A11" s="2300" t="s">
        <v>670</v>
      </c>
      <c r="B11" s="1244"/>
      <c r="C11" s="2462"/>
      <c r="D11" s="2462"/>
      <c r="E11" s="2462"/>
      <c r="F11" s="2463"/>
      <c r="G11" s="2463"/>
      <c r="H11" s="2463"/>
      <c r="I11" s="2463"/>
      <c r="J11" s="2463"/>
      <c r="K11" s="2463"/>
    </row>
    <row r="12" spans="1:11" ht="16.5">
      <c r="A12" s="2462"/>
      <c r="B12" s="2462"/>
      <c r="C12" s="2462"/>
      <c r="D12" s="2462"/>
      <c r="E12" s="2462"/>
      <c r="F12" s="2463"/>
      <c r="G12" s="2463"/>
      <c r="H12" s="2463"/>
      <c r="I12" s="2463"/>
      <c r="J12" s="2463"/>
      <c r="K12" s="2463"/>
    </row>
    <row r="13" spans="1:11" ht="33">
      <c r="A13" s="2303" t="s">
        <v>669</v>
      </c>
      <c r="B13" s="2304" t="s">
        <v>666</v>
      </c>
      <c r="C13" s="2304" t="s">
        <v>668</v>
      </c>
      <c r="D13" s="2304" t="s">
        <v>667</v>
      </c>
      <c r="E13" s="2300" t="s">
        <v>659</v>
      </c>
      <c r="F13" s="2300" t="s">
        <v>658</v>
      </c>
      <c r="G13" s="2304" t="s">
        <v>652</v>
      </c>
      <c r="H13" s="2304" t="s">
        <v>663</v>
      </c>
      <c r="I13" s="2304" t="s">
        <v>651</v>
      </c>
      <c r="J13" s="2463"/>
      <c r="K13" s="2463"/>
    </row>
    <row r="14" spans="1:11" ht="16.5">
      <c r="A14" s="2305" t="s">
        <v>650</v>
      </c>
      <c r="B14" s="2306">
        <f>'数据-汇总表'!E3</f>
        <v>103889.93000000002</v>
      </c>
      <c r="C14" s="2306">
        <f>'数据-汇总表'!D3</f>
        <v>0</v>
      </c>
      <c r="D14" s="2306">
        <f ca="1">结果表!H118</f>
        <v>252404</v>
      </c>
      <c r="E14" s="2306">
        <f ca="1">ROUND(D14*10000/B14,0)</f>
        <v>24295</v>
      </c>
      <c r="F14" s="2306" t="e">
        <f ca="1">ROUND(D14*10000/C14,0)</f>
        <v>#DIV/0!</v>
      </c>
      <c r="G14" s="2306">
        <f ca="1">D14</f>
        <v>252404</v>
      </c>
      <c r="H14" s="2306"/>
      <c r="I14" s="2306"/>
      <c r="J14" s="2463"/>
      <c r="K14" s="2463"/>
    </row>
    <row r="15" spans="1:11" ht="16.5">
      <c r="A15" s="2305" t="s">
        <v>649</v>
      </c>
      <c r="B15" s="2307"/>
      <c r="C15" s="2307"/>
      <c r="D15" s="2307"/>
      <c r="E15" s="2306" t="e">
        <f t="shared" ref="E15:E23" si="0">ROUND(D15*10000/B15,0)</f>
        <v>#DIV/0!</v>
      </c>
      <c r="F15" s="2306" t="e">
        <f t="shared" ref="F15:F23" si="1">ROUND(D15*10000/C15,0)</f>
        <v>#DIV/0!</v>
      </c>
      <c r="G15" s="1244"/>
      <c r="H15" s="1244"/>
      <c r="I15" s="2307"/>
      <c r="J15" s="2463"/>
      <c r="K15" s="2463"/>
    </row>
    <row r="16" spans="1:11" ht="16.5">
      <c r="A16" s="2305" t="s">
        <v>648</v>
      </c>
      <c r="B16" s="2307"/>
      <c r="C16" s="2307"/>
      <c r="D16" s="2307"/>
      <c r="E16" s="2306" t="e">
        <f t="shared" si="0"/>
        <v>#DIV/0!</v>
      </c>
      <c r="F16" s="2306" t="e">
        <f t="shared" si="1"/>
        <v>#DIV/0!</v>
      </c>
      <c r="G16" s="1244"/>
      <c r="H16" s="1244"/>
      <c r="I16" s="2307"/>
      <c r="J16" s="2463"/>
      <c r="K16" s="2463"/>
    </row>
    <row r="17" spans="1:11" ht="16.5">
      <c r="A17" s="2305" t="s">
        <v>647</v>
      </c>
      <c r="B17" s="2307"/>
      <c r="C17" s="2307"/>
      <c r="D17" s="2307"/>
      <c r="E17" s="2306" t="e">
        <f t="shared" si="0"/>
        <v>#DIV/0!</v>
      </c>
      <c r="F17" s="2306" t="e">
        <f t="shared" si="1"/>
        <v>#DIV/0!</v>
      </c>
      <c r="G17" s="1244"/>
      <c r="H17" s="1244"/>
      <c r="I17" s="2307"/>
      <c r="J17" s="2463"/>
      <c r="K17" s="2463"/>
    </row>
    <row r="18" spans="1:11" ht="16.5">
      <c r="A18" s="2305" t="s">
        <v>646</v>
      </c>
      <c r="B18" s="2307"/>
      <c r="C18" s="2307"/>
      <c r="D18" s="2307"/>
      <c r="E18" s="2306" t="e">
        <f t="shared" si="0"/>
        <v>#DIV/0!</v>
      </c>
      <c r="F18" s="2306" t="e">
        <f t="shared" si="1"/>
        <v>#DIV/0!</v>
      </c>
      <c r="G18" s="2307"/>
      <c r="H18" s="2307"/>
      <c r="I18" s="2307"/>
      <c r="J18" s="2463"/>
      <c r="K18" s="2463"/>
    </row>
    <row r="19" spans="1:11" ht="16.5">
      <c r="A19" s="2305" t="s">
        <v>645</v>
      </c>
      <c r="B19" s="2307"/>
      <c r="C19" s="2307"/>
      <c r="D19" s="2307"/>
      <c r="E19" s="2306" t="e">
        <f t="shared" si="0"/>
        <v>#DIV/0!</v>
      </c>
      <c r="F19" s="2306" t="e">
        <f t="shared" si="1"/>
        <v>#DIV/0!</v>
      </c>
      <c r="G19" s="2307"/>
      <c r="H19" s="2307"/>
      <c r="I19" s="2307"/>
      <c r="J19" s="2463"/>
      <c r="K19" s="2463"/>
    </row>
    <row r="20" spans="1:11" ht="16.5">
      <c r="A20" s="2305" t="s">
        <v>644</v>
      </c>
      <c r="B20" s="2307"/>
      <c r="C20" s="2307"/>
      <c r="D20" s="2307"/>
      <c r="E20" s="2306" t="e">
        <f t="shared" si="0"/>
        <v>#DIV/0!</v>
      </c>
      <c r="F20" s="2306" t="e">
        <f t="shared" si="1"/>
        <v>#DIV/0!</v>
      </c>
      <c r="G20" s="2307"/>
      <c r="H20" s="2307"/>
      <c r="I20" s="2307"/>
      <c r="J20" s="2463"/>
      <c r="K20" s="2463"/>
    </row>
    <row r="21" spans="1:11" ht="16.5">
      <c r="A21" s="2305" t="s">
        <v>643</v>
      </c>
      <c r="B21" s="2307"/>
      <c r="C21" s="2307"/>
      <c r="D21" s="2307"/>
      <c r="E21" s="2306" t="e">
        <f t="shared" si="0"/>
        <v>#DIV/0!</v>
      </c>
      <c r="F21" s="2306" t="e">
        <f t="shared" si="1"/>
        <v>#DIV/0!</v>
      </c>
      <c r="G21" s="2307"/>
      <c r="H21" s="2307"/>
      <c r="I21" s="2307"/>
      <c r="J21" s="2463"/>
      <c r="K21" s="2463"/>
    </row>
    <row r="22" spans="1:11" ht="16.5">
      <c r="A22" s="2305" t="s">
        <v>642</v>
      </c>
      <c r="B22" s="2307"/>
      <c r="C22" s="2307"/>
      <c r="D22" s="2307"/>
      <c r="E22" s="2306" t="e">
        <f t="shared" si="0"/>
        <v>#DIV/0!</v>
      </c>
      <c r="F22" s="2306" t="e">
        <f t="shared" si="1"/>
        <v>#DIV/0!</v>
      </c>
      <c r="G22" s="2307"/>
      <c r="H22" s="2307"/>
      <c r="I22" s="2307"/>
      <c r="J22" s="2463"/>
      <c r="K22" s="2463"/>
    </row>
    <row r="23" spans="1:11" ht="16.5">
      <c r="A23" s="2305" t="s">
        <v>641</v>
      </c>
      <c r="B23" s="2307"/>
      <c r="C23" s="2307"/>
      <c r="D23" s="2307"/>
      <c r="E23" s="1244" t="e">
        <f t="shared" si="0"/>
        <v>#DIV/0!</v>
      </c>
      <c r="F23" s="1244" t="e">
        <f t="shared" si="1"/>
        <v>#DIV/0!</v>
      </c>
      <c r="G23" s="2307"/>
      <c r="H23" s="2307"/>
      <c r="I23" s="2307"/>
      <c r="J23" s="2463"/>
      <c r="K23" s="2463"/>
    </row>
    <row r="24" spans="1:11">
      <c r="A24" s="2463"/>
      <c r="B24" s="2463"/>
      <c r="C24" s="2463"/>
      <c r="D24" s="2463"/>
      <c r="E24" s="2463"/>
      <c r="F24" s="2463"/>
      <c r="G24" s="2463"/>
      <c r="H24" s="2463"/>
      <c r="I24" s="2463"/>
      <c r="J24" s="2463"/>
      <c r="K24" s="2463"/>
    </row>
    <row r="25" spans="1:11">
      <c r="A25" s="2463"/>
      <c r="B25" s="2463"/>
      <c r="C25" s="2463"/>
      <c r="D25" s="2463"/>
      <c r="E25" s="2463"/>
      <c r="F25" s="2463"/>
      <c r="G25" s="2463"/>
      <c r="H25" s="2463"/>
      <c r="I25" s="2463"/>
      <c r="J25" s="2463"/>
      <c r="K25" s="2463"/>
    </row>
    <row r="26" spans="1:11">
      <c r="A26" s="2463"/>
      <c r="B26" s="2463"/>
      <c r="C26" s="2463"/>
      <c r="D26" s="2463"/>
      <c r="E26" s="2463"/>
      <c r="F26" s="2463"/>
      <c r="G26" s="2463"/>
      <c r="H26" s="2463"/>
      <c r="I26" s="2463"/>
      <c r="J26" s="2463"/>
      <c r="K26" s="246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SheetLayoutView="100" zoomScalePageLayoutView="80" workbookViewId="0">
      <selection activeCell="K9" sqref="K9"/>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t="s">
        <v>3522</v>
      </c>
      <c r="D1" s="646"/>
      <c r="E1" s="646"/>
      <c r="F1" s="1621" t="s">
        <v>1263</v>
      </c>
      <c r="G1" s="1453" t="s">
        <v>3535</v>
      </c>
      <c r="H1" s="1621" t="str">
        <f>IF(G1="现房","——","估价对象范围")</f>
        <v>——</v>
      </c>
      <c r="I1" s="1622" t="s">
        <v>3536</v>
      </c>
    </row>
    <row r="2" spans="1:12" ht="21.75" customHeight="1" thickBot="1">
      <c r="A2" s="3333" t="str">
        <f>项目基本情况!S2</f>
        <v>北京市房地产</v>
      </c>
      <c r="B2" s="3334"/>
      <c r="C2" s="3334"/>
      <c r="D2" s="3334"/>
      <c r="E2" s="3334"/>
      <c r="F2" s="3334"/>
      <c r="G2" s="3334"/>
      <c r="H2" s="3334"/>
      <c r="I2" s="3335"/>
    </row>
    <row r="3" spans="1:12" ht="12.75">
      <c r="A3" s="3337" t="s">
        <v>1264</v>
      </c>
      <c r="B3" s="3338"/>
      <c r="C3" s="3338"/>
      <c r="D3" s="3338"/>
      <c r="E3" s="3338"/>
      <c r="F3" s="3338"/>
      <c r="G3" s="3338"/>
      <c r="H3" s="3338"/>
      <c r="I3" s="3338"/>
    </row>
    <row r="4" spans="1:12" ht="14.25">
      <c r="A4" s="1624" t="s">
        <v>1265</v>
      </c>
      <c r="B4" s="1625" t="s">
        <v>1266</v>
      </c>
      <c r="C4" s="1626" t="s">
        <v>3534</v>
      </c>
      <c r="D4" s="1626" t="s">
        <v>3525</v>
      </c>
      <c r="E4" s="3339" t="s">
        <v>1267</v>
      </c>
      <c r="F4" s="3340"/>
      <c r="G4" s="3340"/>
      <c r="H4" s="3340"/>
      <c r="I4" s="334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313" t="s">
        <v>1268</v>
      </c>
      <c r="B5" s="3300">
        <v>25</v>
      </c>
      <c r="C5" s="3316"/>
      <c r="D5" s="3336"/>
      <c r="E5" s="123" t="s">
        <v>1269</v>
      </c>
      <c r="F5" s="1627"/>
      <c r="G5" s="1627"/>
      <c r="H5" s="1627"/>
      <c r="I5" s="1281"/>
    </row>
    <row r="6" spans="1:12" ht="12.75">
      <c r="A6" s="3313"/>
      <c r="B6" s="3300"/>
      <c r="C6" s="3317"/>
      <c r="D6" s="3336"/>
      <c r="E6" s="123" t="s">
        <v>1270</v>
      </c>
      <c r="F6" s="1627"/>
      <c r="G6" s="1627"/>
      <c r="H6" s="1627"/>
      <c r="I6" s="1281"/>
    </row>
    <row r="7" spans="1:12" ht="12.75">
      <c r="A7" s="3313"/>
      <c r="B7" s="3300"/>
      <c r="C7" s="3318"/>
      <c r="D7" s="3336"/>
      <c r="E7" s="123" t="s">
        <v>1271</v>
      </c>
      <c r="F7" s="1627"/>
      <c r="G7" s="1627"/>
      <c r="H7" s="1627"/>
      <c r="I7" s="1281"/>
    </row>
    <row r="8" spans="1:12" ht="12.75">
      <c r="A8" s="3313" t="s">
        <v>1272</v>
      </c>
      <c r="B8" s="3300">
        <v>15</v>
      </c>
      <c r="C8" s="3316"/>
      <c r="D8" s="3336"/>
      <c r="E8" s="123" t="s">
        <v>1273</v>
      </c>
      <c r="F8" s="1627"/>
      <c r="G8" s="1627"/>
      <c r="H8" s="1627"/>
      <c r="I8" s="1281"/>
    </row>
    <row r="9" spans="1:12" ht="12.75">
      <c r="A9" s="3313"/>
      <c r="B9" s="3300"/>
      <c r="C9" s="3318"/>
      <c r="D9" s="3336"/>
      <c r="E9" s="123" t="s">
        <v>1274</v>
      </c>
      <c r="F9" s="1627"/>
      <c r="G9" s="1627"/>
      <c r="H9" s="1627"/>
      <c r="I9" s="1281"/>
    </row>
    <row r="10" spans="1:12" ht="12.75">
      <c r="A10" s="3313" t="s">
        <v>1275</v>
      </c>
      <c r="B10" s="3300">
        <v>15</v>
      </c>
      <c r="C10" s="3316"/>
      <c r="D10" s="3336"/>
      <c r="E10" s="123" t="s">
        <v>1276</v>
      </c>
      <c r="F10" s="1627"/>
      <c r="G10" s="1627"/>
      <c r="H10" s="1627"/>
      <c r="I10" s="1281"/>
    </row>
    <row r="11" spans="1:12" ht="12.75">
      <c r="A11" s="3313"/>
      <c r="B11" s="3300"/>
      <c r="C11" s="3318"/>
      <c r="D11" s="3336"/>
      <c r="E11" s="123" t="s">
        <v>1277</v>
      </c>
      <c r="F11" s="1627"/>
      <c r="G11" s="1627"/>
      <c r="H11" s="1627"/>
      <c r="I11" s="1281"/>
    </row>
    <row r="12" spans="1:12" ht="12.75">
      <c r="A12" s="3313" t="s">
        <v>1278</v>
      </c>
      <c r="B12" s="3300">
        <v>15</v>
      </c>
      <c r="C12" s="3316"/>
      <c r="D12" s="3336"/>
      <c r="E12" s="123" t="s">
        <v>1279</v>
      </c>
      <c r="F12" s="1627"/>
      <c r="G12" s="1627"/>
      <c r="H12" s="1627"/>
      <c r="I12" s="1281"/>
    </row>
    <row r="13" spans="1:12" ht="12.75">
      <c r="A13" s="3313"/>
      <c r="B13" s="3300"/>
      <c r="C13" s="3318"/>
      <c r="D13" s="3336"/>
      <c r="E13" s="123" t="s">
        <v>1280</v>
      </c>
      <c r="F13" s="1627"/>
      <c r="G13" s="1627"/>
      <c r="H13" s="1627"/>
      <c r="I13" s="1281"/>
    </row>
    <row r="14" spans="1:12" ht="12.75">
      <c r="A14" s="3313" t="s">
        <v>1281</v>
      </c>
      <c r="B14" s="3300">
        <v>30</v>
      </c>
      <c r="C14" s="3316">
        <v>4</v>
      </c>
      <c r="D14" s="3336">
        <v>6</v>
      </c>
      <c r="E14" s="123" t="s">
        <v>1282</v>
      </c>
      <c r="F14" s="1627"/>
      <c r="G14" s="1627"/>
      <c r="H14" s="1627"/>
      <c r="I14" s="1281"/>
    </row>
    <row r="15" spans="1:12" ht="12.75">
      <c r="A15" s="3313"/>
      <c r="B15" s="3300"/>
      <c r="C15" s="3317"/>
      <c r="D15" s="3336"/>
      <c r="E15" s="123" t="s">
        <v>1283</v>
      </c>
      <c r="F15" s="1627"/>
      <c r="G15" s="1627"/>
      <c r="H15" s="1627"/>
      <c r="I15" s="1281"/>
    </row>
    <row r="16" spans="1:12" ht="12.75">
      <c r="A16" s="3313"/>
      <c r="B16" s="3300"/>
      <c r="C16" s="3318"/>
      <c r="D16" s="3336"/>
      <c r="E16" s="123" t="s">
        <v>1284</v>
      </c>
      <c r="F16" s="1627"/>
      <c r="G16" s="1627"/>
      <c r="H16" s="1627"/>
      <c r="I16" s="1281"/>
    </row>
    <row r="17" spans="1:36" ht="15">
      <c r="A17" s="1628" t="s">
        <v>1285</v>
      </c>
      <c r="B17" s="54"/>
      <c r="C17" s="124">
        <f>SUM(C5:C16)</f>
        <v>4</v>
      </c>
      <c r="D17" s="124">
        <f>SUM(D5:D16)</f>
        <v>6</v>
      </c>
      <c r="E17" s="121"/>
      <c r="F17" s="121"/>
      <c r="G17" s="121"/>
      <c r="H17" s="121"/>
      <c r="I17" s="121"/>
      <c r="K17" s="294"/>
      <c r="L17" s="294" t="s">
        <v>1286</v>
      </c>
      <c r="M17" s="294" t="s">
        <v>1287</v>
      </c>
    </row>
    <row r="18" spans="1:36" ht="31.9" customHeight="1" thickBot="1">
      <c r="A18" s="1629" t="s">
        <v>1288</v>
      </c>
      <c r="B18" s="1542"/>
      <c r="C18" s="125">
        <f>ROUND(C17/SUM(C17:D17),2)</f>
        <v>0.4</v>
      </c>
      <c r="D18" s="125">
        <f>1-C18</f>
        <v>0.6</v>
      </c>
      <c r="E18" s="3323" t="s">
        <v>2131</v>
      </c>
      <c r="F18" s="3324"/>
      <c r="G18" s="3324"/>
      <c r="H18" s="3324"/>
      <c r="I18" s="3324"/>
      <c r="K18" s="294" t="s">
        <v>1289</v>
      </c>
      <c r="L18" s="294">
        <f>IF(C1="",'数据-汇总表'!E3,SUMIF(项目类型,C1,'数据-汇总表'!E17:E26)+SUMIF(项目类型,C1,'数据-汇总表'!I17:I26))</f>
        <v>103889.93000000002</v>
      </c>
      <c r="M18" s="294">
        <f>IF(C1="",'数据-汇总表'!E3,SUMIF(项目类型,C1,'数据-汇总表'!E17:E26))</f>
        <v>103889.93000000002</v>
      </c>
    </row>
    <row r="19" spans="1:36" ht="15">
      <c r="A19" s="1630" t="s">
        <v>1290</v>
      </c>
      <c r="B19" s="1631" t="s">
        <v>1291</v>
      </c>
      <c r="C19" s="126">
        <f ca="1">SUMIF(INDIRECT("'"&amp;C4&amp;"'"&amp;"!A:A"),结果表!B19,INDIRECT("'"&amp;C4&amp;"'"&amp;"!B:B"))</f>
        <v>324363</v>
      </c>
      <c r="D19" s="127">
        <f ca="1">SUMIF(INDIRECT("'"&amp;D4&amp;"'"&amp;"!A:A"),结果表!B19,INDIRECT("'"&amp;D4&amp;"'"&amp;"!B:B"))</f>
        <v>204432</v>
      </c>
      <c r="E19" s="1630" t="s">
        <v>1292</v>
      </c>
      <c r="F19" s="1631" t="s">
        <v>1291</v>
      </c>
      <c r="G19" s="128">
        <f ca="1">ROUND(C19*$C$18+D19*$D$18,0)</f>
        <v>252404</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31222</v>
      </c>
      <c r="D20" s="130">
        <f ca="1">SUMIF(INDIRECT("'"&amp;D4&amp;"'"&amp;"!A:A"),结果表!B20,INDIRECT("'"&amp;D4&amp;"'"&amp;"!B:B"))</f>
        <v>19678</v>
      </c>
      <c r="E20" s="1633"/>
      <c r="F20" s="43" t="s">
        <v>1295</v>
      </c>
      <c r="G20" s="131">
        <f ca="1">ROUND(C20*$C$18+D20*$D$18,0)</f>
        <v>24296</v>
      </c>
      <c r="H20" s="760" t="s">
        <v>1296</v>
      </c>
      <c r="I20" s="3202">
        <f ca="1">G19/'数据-汇总表'!F19*10000</f>
        <v>37434.851561449046</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0.58665473115754874</v>
      </c>
      <c r="E22" s="121"/>
      <c r="F22" s="121"/>
      <c r="G22" s="121"/>
      <c r="H22" s="121"/>
      <c r="I22" s="121"/>
    </row>
    <row r="23" spans="1:36" ht="13.5" thickBot="1">
      <c r="A23" s="646"/>
      <c r="B23" s="646"/>
      <c r="C23" s="646"/>
      <c r="D23" s="646"/>
      <c r="E23" s="121"/>
      <c r="F23" s="121"/>
      <c r="G23" s="121"/>
      <c r="H23" s="121"/>
      <c r="I23" s="121"/>
    </row>
    <row r="24" spans="1:36" ht="14.25">
      <c r="A24" s="3307" t="s">
        <v>1299</v>
      </c>
      <c r="B24" s="1631" t="s">
        <v>1291</v>
      </c>
      <c r="C24" s="128">
        <f>IF(B30=0,0,D30)</f>
        <v>0</v>
      </c>
      <c r="D24" s="1637"/>
      <c r="E24" s="121"/>
      <c r="F24" s="121"/>
      <c r="G24" s="121"/>
      <c r="H24" s="121"/>
      <c r="I24" s="121"/>
    </row>
    <row r="25" spans="1:36" ht="14.25">
      <c r="A25" s="3308"/>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2.5" thickTop="1" thickBot="1">
      <c r="A31" s="2128"/>
      <c r="B31" s="2129"/>
      <c r="C31" s="2129"/>
      <c r="D31" s="2129"/>
      <c r="E31" s="2129"/>
      <c r="F31" s="2129"/>
      <c r="G31" s="2129"/>
      <c r="H31" s="2129"/>
      <c r="I31" s="2130" t="s">
        <v>2133</v>
      </c>
      <c r="J31" s="2464"/>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f ca="1">IF(D32="总价",G19-C24,G20-C25)</f>
        <v>252404</v>
      </c>
      <c r="D32" s="1641" t="s">
        <v>3571</v>
      </c>
      <c r="E32" s="121"/>
      <c r="F32" s="121"/>
      <c r="G32" s="121"/>
      <c r="H32" s="121"/>
      <c r="I32" s="121"/>
    </row>
    <row r="33" spans="1:15" ht="15">
      <c r="A33" s="740" t="s">
        <v>1306</v>
      </c>
      <c r="B33" s="123"/>
      <c r="C33" s="1642" t="s">
        <v>3572</v>
      </c>
      <c r="D33" s="1643" t="s">
        <v>3534</v>
      </c>
      <c r="E33" s="1644" t="s">
        <v>1307</v>
      </c>
      <c r="F33" s="1645" t="str">
        <f>IF(D32="楼面单价","取值（单价）","取值（总价）")</f>
        <v>取值（总价）</v>
      </c>
      <c r="G33" s="121"/>
      <c r="H33" s="121"/>
      <c r="I33" s="121"/>
    </row>
    <row r="34" spans="1:15" ht="15">
      <c r="A34" s="1646"/>
      <c r="B34" s="1647" t="s">
        <v>1308</v>
      </c>
      <c r="C34" s="140">
        <f ca="1">IF(C33="自定义",F34,C32-C35)</f>
        <v>186527</v>
      </c>
      <c r="D34" s="808">
        <f ca="1">IF(C33="自定义",ROUND(C34/C32,3),IF(C33="收益比率",SUMIF(INDIRECT("'"&amp;D33&amp;"'"&amp;"!b:b"),"土地收益比率",INDIRECT("'"&amp;D33&amp;"'"&amp;"!c:c")),SUMIF(INDIRECT("'"&amp;D33&amp;"'"&amp;"!b:b"),"土地成本比率",INDIRECT("'"&amp;D33&amp;"'"&amp;"!c:c"))))</f>
        <v>0.73899999999999999</v>
      </c>
      <c r="E34" s="1648" t="s">
        <v>1309</v>
      </c>
      <c r="F34" s="1243"/>
      <c r="G34" s="121"/>
      <c r="H34" s="121"/>
      <c r="I34" s="121"/>
    </row>
    <row r="35" spans="1:15" ht="15.75" thickBot="1">
      <c r="A35" s="1649"/>
      <c r="B35" s="1650" t="s">
        <v>1310</v>
      </c>
      <c r="C35" s="1090">
        <f ca="1">IF(C33="自定义",F35,ROUND(C32*D35,0))</f>
        <v>65877</v>
      </c>
      <c r="D35" s="1091">
        <f ca="1">IF(C33="自定义",ROUND(C35/C32,3),IF(C33="收益比率",SUMIF(INDIRECT("'"&amp;D33&amp;"'"&amp;"!b:b"),"建筑物收益比率",INDIRECT("'"&amp;D33&amp;"'"&amp;"!c:c")),SUMIF(INDIRECT("'"&amp;D33&amp;"'"&amp;"!b:b"),"建筑物成本比率",INDIRECT("'"&amp;D33&amp;"'"&amp;"!c:c"))))</f>
        <v>0.26100000000000001</v>
      </c>
      <c r="E35" s="1651" t="s">
        <v>1311</v>
      </c>
      <c r="F35" s="146"/>
      <c r="G35" s="121"/>
      <c r="H35" s="121"/>
      <c r="I35" s="121"/>
    </row>
    <row r="36" spans="1:15" ht="15.75" thickBot="1">
      <c r="A36" s="3327" t="s">
        <v>1312</v>
      </c>
      <c r="B36" s="1652" t="s">
        <v>1313</v>
      </c>
      <c r="C36" s="137"/>
      <c r="D36" s="1653"/>
      <c r="E36" s="1567"/>
      <c r="F36" s="1654"/>
      <c r="G36" s="121"/>
      <c r="H36" s="121"/>
      <c r="I36" s="121"/>
    </row>
    <row r="37" spans="1:15" ht="15.75" thickBot="1">
      <c r="A37" s="3328"/>
      <c r="B37" s="1555" t="s">
        <v>1314</v>
      </c>
      <c r="C37" s="139"/>
      <c r="D37" s="1071"/>
      <c r="E37" s="1071"/>
      <c r="F37" s="1654"/>
      <c r="G37" s="121"/>
      <c r="H37" s="121"/>
      <c r="I37" s="121"/>
    </row>
    <row r="38" spans="1:15" ht="15.75" thickBot="1">
      <c r="A38" s="3329"/>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04" t="s">
        <v>1326</v>
      </c>
      <c r="B45" s="3305"/>
      <c r="C45" s="3306"/>
      <c r="D45" s="147">
        <f ca="1">ROUND(H101*F45,0)</f>
        <v>252404</v>
      </c>
      <c r="E45" s="148" t="s">
        <v>1327</v>
      </c>
      <c r="F45" s="149">
        <v>1</v>
      </c>
      <c r="G45" s="150" t="s">
        <v>1328</v>
      </c>
      <c r="H45" s="121"/>
      <c r="I45" s="121"/>
      <c r="J45" s="3382" t="s">
        <v>1329</v>
      </c>
      <c r="K45" s="3382"/>
      <c r="L45" s="3382"/>
      <c r="M45" s="3382"/>
      <c r="N45" s="3382"/>
      <c r="O45" s="3382"/>
    </row>
    <row r="46" spans="1:15" ht="14.25" customHeight="1">
      <c r="A46" s="3301" t="s">
        <v>1330</v>
      </c>
      <c r="B46" s="3302"/>
      <c r="C46" s="3302"/>
      <c r="D46" s="3302"/>
      <c r="E46" s="3302"/>
      <c r="F46" s="3302"/>
      <c r="G46" s="3303"/>
      <c r="H46" s="1668"/>
      <c r="I46" s="151"/>
      <c r="J46" s="2310">
        <v>1</v>
      </c>
      <c r="K46" s="3363" t="s">
        <v>1331</v>
      </c>
      <c r="L46" s="3363"/>
      <c r="M46" s="3383"/>
      <c r="N46" s="3383"/>
      <c r="O46" s="3383"/>
    </row>
    <row r="47" spans="1:15" ht="12" customHeight="1">
      <c r="A47" s="152" t="s">
        <v>1332</v>
      </c>
      <c r="B47" s="153"/>
      <c r="C47" s="154"/>
      <c r="D47" s="1024" t="s">
        <v>1333</v>
      </c>
      <c r="E47" s="294" t="s">
        <v>1334</v>
      </c>
      <c r="F47" s="155" t="s">
        <v>1335</v>
      </c>
      <c r="G47" s="2333" t="s">
        <v>1336</v>
      </c>
      <c r="H47" s="2334"/>
      <c r="I47" s="151"/>
      <c r="J47" s="2310">
        <v>2</v>
      </c>
      <c r="K47" s="3363" t="s">
        <v>1337</v>
      </c>
      <c r="L47" s="3363"/>
      <c r="M47" s="3384">
        <f>'数据-取费表'!B2</f>
        <v>45785</v>
      </c>
      <c r="N47" s="3384"/>
      <c r="O47" s="3384"/>
    </row>
    <row r="48" spans="1:15" ht="25.5">
      <c r="A48" s="3332" t="s">
        <v>1338</v>
      </c>
      <c r="B48" s="3315"/>
      <c r="C48" s="3315"/>
      <c r="D48" s="12">
        <f ca="1">IF(H48="情况1",0,IF(H48="情况2",D52,IF(H48="情况3",D53,IF(H48="情况4",D54))))</f>
        <v>13462</v>
      </c>
      <c r="E48" s="1256" t="str">
        <f>IF(H48="情况4","(销售额-原购置价)×税（费）率","销售额×税（费）率")</f>
        <v>(销售额-原购置价)×税（费）率</v>
      </c>
      <c r="F48" s="2335">
        <f>IF(H48="情况1","免征",'数据-取费表'!B41)</f>
        <v>5.6000000000000001E-2</v>
      </c>
      <c r="G48" s="2336" t="s">
        <v>1339</v>
      </c>
      <c r="H48" s="2337" t="s">
        <v>3574</v>
      </c>
      <c r="I48" s="1668"/>
      <c r="J48" s="2310">
        <v>3</v>
      </c>
      <c r="K48" s="3363" t="s">
        <v>1340</v>
      </c>
      <c r="L48" s="3363"/>
      <c r="M48" s="3385">
        <f ca="1">H101</f>
        <v>252404</v>
      </c>
      <c r="N48" s="3385"/>
      <c r="O48" s="3385"/>
    </row>
    <row r="49" spans="1:35" ht="25.5" customHeight="1">
      <c r="A49" s="2152" t="s">
        <v>1341</v>
      </c>
      <c r="B49" s="3299" t="s">
        <v>1342</v>
      </c>
      <c r="C49" s="3299"/>
      <c r="D49" s="1478">
        <v>0</v>
      </c>
      <c r="E49" s="316" t="s">
        <v>1343</v>
      </c>
      <c r="F49" s="2233" t="s">
        <v>28</v>
      </c>
      <c r="G49" s="3369"/>
      <c r="H49" s="2134" t="s">
        <v>2134</v>
      </c>
      <c r="I49" s="2135"/>
      <c r="J49" s="2310">
        <v>4</v>
      </c>
      <c r="K49" s="3363" t="str">
        <f>IF(项目基本情况!E8="房地产抵押价值","房地产抵押价值","抵押担保权已注销时的房地产抵押价值")</f>
        <v>房地产抵押价值</v>
      </c>
      <c r="L49" s="3363"/>
      <c r="M49" s="3385">
        <f ca="1">IF(项目基本情况!E8="房地产抵押价值",H107,H109)</f>
        <v>252404</v>
      </c>
      <c r="N49" s="3385"/>
      <c r="O49" s="3385"/>
    </row>
    <row r="50" spans="1:35" ht="25.5" customHeight="1">
      <c r="A50" s="2338"/>
      <c r="B50" s="3299" t="s">
        <v>1344</v>
      </c>
      <c r="C50" s="3299"/>
      <c r="D50" s="2189"/>
      <c r="E50" s="323"/>
      <c r="F50" s="2233"/>
      <c r="G50" s="3370"/>
      <c r="H50" s="2136" t="s">
        <v>2135</v>
      </c>
      <c r="I50" s="2135"/>
      <c r="J50" s="3382" t="s">
        <v>1345</v>
      </c>
      <c r="K50" s="3382"/>
      <c r="L50" s="3382"/>
      <c r="M50" s="3382"/>
      <c r="N50" s="3382"/>
      <c r="O50" s="3382"/>
    </row>
    <row r="51" spans="1:35" ht="20.45" customHeight="1">
      <c r="A51" s="2339"/>
      <c r="B51" s="3299" t="s">
        <v>1346</v>
      </c>
      <c r="C51" s="3299"/>
      <c r="D51" s="1024"/>
      <c r="E51" s="319"/>
      <c r="F51" s="2233"/>
      <c r="G51" s="3371"/>
      <c r="H51" s="2136" t="s">
        <v>2136</v>
      </c>
      <c r="I51" s="2135"/>
      <c r="J51" s="2311" t="s">
        <v>1347</v>
      </c>
      <c r="K51" s="3363" t="s">
        <v>1348</v>
      </c>
      <c r="L51" s="3363"/>
      <c r="M51" s="2311" t="s">
        <v>1349</v>
      </c>
      <c r="N51" s="2311" t="s">
        <v>1350</v>
      </c>
      <c r="O51" s="2311" t="s">
        <v>1351</v>
      </c>
    </row>
    <row r="52" spans="1:35" ht="24" customHeight="1">
      <c r="A52" s="2153" t="s">
        <v>1352</v>
      </c>
      <c r="B52" s="3299" t="s">
        <v>1353</v>
      </c>
      <c r="C52" s="3299"/>
      <c r="D52" s="1024">
        <f ca="1">ROUND(D45*'数据-取费表'!B41/(1+'数据-取费表'!C42),0)</f>
        <v>13462</v>
      </c>
      <c r="E52" s="1256" t="s">
        <v>1354</v>
      </c>
      <c r="F52" s="2340">
        <f>'数据-取费表'!B41</f>
        <v>5.6000000000000001E-2</v>
      </c>
      <c r="G52" s="2341"/>
      <c r="H52" s="2331"/>
      <c r="I52" s="1669"/>
      <c r="J52" s="2310">
        <v>1</v>
      </c>
      <c r="K52" s="3364" t="s">
        <v>1355</v>
      </c>
      <c r="L52" s="3364"/>
      <c r="M52" s="2312">
        <f ca="1">D48</f>
        <v>13462</v>
      </c>
      <c r="N52" s="2310" t="str">
        <f>E48</f>
        <v>(销售额-原购置价)×税（费）率</v>
      </c>
      <c r="O52" s="2313">
        <f>F48</f>
        <v>5.6000000000000001E-2</v>
      </c>
    </row>
    <row r="53" spans="1:35" ht="12" customHeight="1">
      <c r="A53" s="2153" t="s">
        <v>1356</v>
      </c>
      <c r="B53" s="3325" t="s">
        <v>2282</v>
      </c>
      <c r="C53" s="3326"/>
      <c r="D53" s="1024">
        <f ca="1">ROUND(D45*'数据-取费表'!B41/(1+'数据-取费表'!C42),0)</f>
        <v>13462</v>
      </c>
      <c r="E53" s="1256" t="s">
        <v>1354</v>
      </c>
      <c r="F53" s="2340">
        <f>'数据-取费表'!B41</f>
        <v>5.6000000000000001E-2</v>
      </c>
      <c r="G53" s="2341"/>
      <c r="H53" s="2331"/>
      <c r="I53" s="1669"/>
      <c r="J53" s="2310">
        <v>2</v>
      </c>
      <c r="K53" s="3364" t="s">
        <v>1357</v>
      </c>
      <c r="L53" s="3364"/>
      <c r="M53" s="2312">
        <f t="shared" ref="M53:O54" ca="1" si="0">D55</f>
        <v>126</v>
      </c>
      <c r="N53" s="2310" t="str">
        <f t="shared" si="0"/>
        <v>销售额×税（费）率</v>
      </c>
      <c r="O53" s="2313">
        <f t="shared" si="0"/>
        <v>5.0000000000000001E-4</v>
      </c>
    </row>
    <row r="54" spans="1:35" ht="12" customHeight="1">
      <c r="A54" s="2153" t="s">
        <v>1358</v>
      </c>
      <c r="B54" s="3325" t="s">
        <v>2283</v>
      </c>
      <c r="C54" s="3326"/>
      <c r="D54" s="1024">
        <f ca="1">C68</f>
        <v>13462</v>
      </c>
      <c r="E54" s="319" t="s">
        <v>1359</v>
      </c>
      <c r="F54" s="2340">
        <f>'数据-取费表'!B41</f>
        <v>5.6000000000000001E-2</v>
      </c>
      <c r="G54" s="2341"/>
      <c r="H54" s="2342"/>
      <c r="I54" s="1669"/>
      <c r="J54" s="2310">
        <v>3</v>
      </c>
      <c r="K54" s="3364" t="s">
        <v>1360</v>
      </c>
      <c r="L54" s="3364"/>
      <c r="M54" s="2312">
        <f t="shared" ca="1" si="0"/>
        <v>142861</v>
      </c>
      <c r="N54" s="2310" t="str">
        <f t="shared" si="0"/>
        <v>增值额×税（费）率</v>
      </c>
      <c r="O54" s="2314" t="str">
        <f t="shared" si="0"/>
        <v>——</v>
      </c>
    </row>
    <row r="55" spans="1:35" ht="24" customHeight="1">
      <c r="A55" s="3314" t="s">
        <v>1361</v>
      </c>
      <c r="B55" s="3315"/>
      <c r="C55" s="3315"/>
      <c r="D55" s="12">
        <f ca="1">IF(H55="个人住宅",0,ROUND(D45*I55,0))</f>
        <v>126</v>
      </c>
      <c r="E55" s="1256" t="s">
        <v>1362</v>
      </c>
      <c r="F55" s="2340">
        <f>IF(H55="正常",I55,"免征")</f>
        <v>5.0000000000000001E-4</v>
      </c>
      <c r="G55" s="2341"/>
      <c r="H55" s="2337" t="s">
        <v>3543</v>
      </c>
      <c r="I55" s="157">
        <f>'数据-取费表'!B49</f>
        <v>5.0000000000000001E-4</v>
      </c>
      <c r="J55" s="2310" t="str">
        <f>IF(H59="非个人房产","",4)</f>
        <v/>
      </c>
      <c r="K55" s="3364" t="str">
        <f>IF(H59="非个人房产","——","个人所得税")</f>
        <v>——</v>
      </c>
      <c r="L55" s="3364"/>
      <c r="M55" s="2315" t="str">
        <f>D59</f>
        <v>——</v>
      </c>
      <c r="N55" s="1883" t="str">
        <f>E59</f>
        <v>——</v>
      </c>
      <c r="O55" s="2316" t="str">
        <f>F59</f>
        <v>——</v>
      </c>
    </row>
    <row r="56" spans="1:35" ht="24.75">
      <c r="A56" s="3314" t="s">
        <v>1363</v>
      </c>
      <c r="B56" s="3315"/>
      <c r="C56" s="3315"/>
      <c r="D56" s="12">
        <f ca="1">IF(H56="个人住宅",D57,D58)</f>
        <v>142861</v>
      </c>
      <c r="E56" s="1256" t="s">
        <v>1364</v>
      </c>
      <c r="F56" s="2340" t="str">
        <f>IF(H56="正常",F58,"免征")</f>
        <v>——</v>
      </c>
      <c r="G56" s="2343" t="s">
        <v>1365</v>
      </c>
      <c r="H56" s="2344" t="s">
        <v>3543</v>
      </c>
      <c r="I56" s="1670"/>
      <c r="J56" s="2310" t="str">
        <f>IF(项目基本情况!K6="上海银行",IF(J55="",4,J55+1),"")</f>
        <v/>
      </c>
      <c r="K56" s="3387" t="str">
        <f>IF(项目基本情况!K6="上海银行","其他处置费用","")</f>
        <v/>
      </c>
      <c r="L56" s="3388"/>
      <c r="M56" s="2312" t="str">
        <f>IF(项目基本情况!K6="上海银行",M69,"")</f>
        <v/>
      </c>
      <c r="N56" s="3387" t="str">
        <f>IF(项目基本情况!K6="上海银行","包含处置中涉及的律师、诉讼、拍卖、评估等费用","")</f>
        <v/>
      </c>
      <c r="O56" s="3390"/>
    </row>
    <row r="57" spans="1:35" ht="12.75">
      <c r="A57" s="2153" t="s">
        <v>1341</v>
      </c>
      <c r="B57" s="3325" t="s">
        <v>1366</v>
      </c>
      <c r="C57" s="3326"/>
      <c r="D57" s="1478">
        <v>0</v>
      </c>
      <c r="E57" s="316" t="s">
        <v>1343</v>
      </c>
      <c r="F57" s="294"/>
      <c r="G57" s="2341"/>
      <c r="H57" s="2345"/>
      <c r="I57" s="1670"/>
      <c r="J57" s="3364">
        <f>IF(AND(J55="",J56=""),4,IF(项目基本情况!K6="上海银行",结果表!J56+1,结果表!J55+1))</f>
        <v>4</v>
      </c>
      <c r="K57" s="3364" t="s">
        <v>1367</v>
      </c>
      <c r="L57" s="2317" t="s">
        <v>1368</v>
      </c>
      <c r="M57" s="2318"/>
      <c r="N57" s="2319">
        <f ca="1">SUMIF(M52:M56,"&lt;9e307")</f>
        <v>156449</v>
      </c>
      <c r="O57" s="2320"/>
      <c r="P57" s="2465">
        <f ca="1">N57/M49</f>
        <v>0.61983566029064519</v>
      </c>
    </row>
    <row r="58" spans="1:35" ht="24.75">
      <c r="A58" s="2153" t="s">
        <v>1352</v>
      </c>
      <c r="B58" s="3325" t="s">
        <v>1369</v>
      </c>
      <c r="C58" s="3299"/>
      <c r="D58" s="12">
        <f ca="1">IF(H58="转让取得",C81,C97)</f>
        <v>142861</v>
      </c>
      <c r="E58" s="1256" t="s">
        <v>1364</v>
      </c>
      <c r="F58" s="294" t="s">
        <v>28</v>
      </c>
      <c r="G58" s="2341"/>
      <c r="H58" s="2344" t="s">
        <v>3575</v>
      </c>
      <c r="I58" s="1670"/>
      <c r="J58" s="3364"/>
      <c r="K58" s="3364"/>
      <c r="L58" s="2317" t="s">
        <v>1370</v>
      </c>
      <c r="M58" s="2321"/>
      <c r="N58" s="2322" t="str">
        <f ca="1">NUMBERSTRING(INT(N57*10000),2)&amp;"元整"</f>
        <v>壹拾伍亿陆仟肆佰肆拾玖万元整</v>
      </c>
      <c r="O58" s="2323"/>
    </row>
    <row r="59" spans="1:35" ht="24.75" thickBot="1">
      <c r="A59" s="3367" t="s">
        <v>1371</v>
      </c>
      <c r="B59" s="3368"/>
      <c r="C59" s="3368"/>
      <c r="D59" s="2346" t="str">
        <f>IF(H59="非个人房产","——",IF(H59="个人住宅（满五唯一有凭证）",0,IF(H59="个人其他（无凭证）",ROUND(D45*F59,0),ROUND(C67*F59,0))))</f>
        <v>——</v>
      </c>
      <c r="E59" s="2347" t="str">
        <f>IF(H59="非个人房产","——",IF(H59="个人其他（无凭证）","销售额×税（费）率",IF(H59="个人住宅（满五唯一有凭证）","免征","差额计税")))</f>
        <v>——</v>
      </c>
      <c r="F59" s="2348" t="str">
        <f>IF(OR(H59="非个人房产",H59="个人住宅（满五唯一有凭证）"),"——",IF(H59="个人其他（有凭证）",20%,1%))</f>
        <v>——</v>
      </c>
      <c r="G59" s="2349" t="s">
        <v>1365</v>
      </c>
      <c r="H59" s="2138" t="s">
        <v>3576</v>
      </c>
      <c r="I59" s="2137" t="s">
        <v>2137</v>
      </c>
      <c r="J59" s="3365">
        <f>J57+1</f>
        <v>5</v>
      </c>
      <c r="K59" s="3364" t="s">
        <v>1372</v>
      </c>
      <c r="L59" s="2310" t="s">
        <v>1368</v>
      </c>
      <c r="M59" s="2324"/>
      <c r="N59" s="2325">
        <f ca="1">M49-N57</f>
        <v>95955</v>
      </c>
      <c r="O59" s="2326"/>
    </row>
    <row r="60" spans="1:35" ht="12" customHeight="1">
      <c r="A60" s="1671"/>
      <c r="B60" s="646"/>
      <c r="C60" s="646"/>
      <c r="D60" s="646"/>
      <c r="E60" s="1466"/>
      <c r="F60" s="1670"/>
      <c r="G60" s="1670"/>
      <c r="H60" s="151"/>
      <c r="I60" s="121"/>
      <c r="J60" s="3366"/>
      <c r="K60" s="3364"/>
      <c r="L60" s="2317" t="s">
        <v>1370</v>
      </c>
      <c r="M60" s="2321"/>
      <c r="N60" s="2322" t="str">
        <f ca="1">NUMBERSTRING(INT(N59*10000),2)&amp;"元整"</f>
        <v>玖亿伍仟玖佰伍拾伍万元整</v>
      </c>
      <c r="O60" s="2323"/>
    </row>
    <row r="61" spans="1:35" ht="13.5" thickBot="1">
      <c r="A61" s="3312" t="s">
        <v>1373</v>
      </c>
      <c r="B61" s="3312"/>
      <c r="C61" s="3312"/>
      <c r="D61" s="3312"/>
      <c r="E61" s="3312"/>
      <c r="F61" s="1670"/>
      <c r="G61" s="1670"/>
      <c r="H61" s="151"/>
      <c r="I61" s="121"/>
      <c r="J61" s="2310">
        <f>J59+1</f>
        <v>6</v>
      </c>
      <c r="K61" s="3364" t="s">
        <v>1374</v>
      </c>
      <c r="L61" s="3364"/>
      <c r="M61" s="2327"/>
      <c r="N61" s="2328">
        <f ca="1">ROUND(N59*10000/'数据-汇总表'!E3,0)</f>
        <v>9236</v>
      </c>
      <c r="O61" s="2329"/>
    </row>
    <row r="62" spans="1:35" ht="12.75">
      <c r="A62" s="3330" t="s">
        <v>1375</v>
      </c>
      <c r="B62" s="3331"/>
      <c r="C62" s="1865"/>
      <c r="D62" s="1865" t="s">
        <v>1376</v>
      </c>
      <c r="E62" s="158" t="s">
        <v>1377</v>
      </c>
      <c r="F62" s="1670"/>
      <c r="G62" s="1670"/>
      <c r="H62" s="151"/>
      <c r="I62" s="121"/>
    </row>
    <row r="63" spans="1:35" ht="12.75">
      <c r="A63" s="165" t="s">
        <v>330</v>
      </c>
      <c r="B63" s="159" t="s">
        <v>1378</v>
      </c>
      <c r="C63" s="2350">
        <f ca="1">ROUND((C64+C65)/(1+'数据-取费表'!C42),0)</f>
        <v>240385</v>
      </c>
      <c r="D63" s="159"/>
      <c r="E63" s="160"/>
      <c r="F63" s="1670"/>
      <c r="G63" s="1670"/>
      <c r="H63" s="151"/>
      <c r="I63" s="121"/>
      <c r="J63" s="3389" t="s">
        <v>1379</v>
      </c>
      <c r="K63" s="1245" t="s">
        <v>1380</v>
      </c>
      <c r="L63" s="1245">
        <f ca="1">IF(M49&gt;10000,M49*0.5%,IF(AND(M49&gt;1000,M49&lt;=10000),M49*1%,IF(AND(M49&gt;100,M49&lt;=1000),M49*3%,IF(AND(M49&gt;10,M49&lt;=100),M49*5%,M49*8%))))</f>
        <v>1262.02</v>
      </c>
      <c r="M63" s="294">
        <f ca="1">ROUND(L63,1)</f>
        <v>1262</v>
      </c>
      <c r="N63" s="2330"/>
      <c r="Z63" s="1623"/>
      <c r="AI63" s="1561"/>
    </row>
    <row r="64" spans="1:35" ht="14.25" customHeight="1">
      <c r="A64" s="161" t="s">
        <v>325</v>
      </c>
      <c r="B64" s="162" t="s">
        <v>1381</v>
      </c>
      <c r="C64" s="2351">
        <f ca="1">D45</f>
        <v>252404</v>
      </c>
      <c r="D64" s="162" t="s">
        <v>26</v>
      </c>
      <c r="E64" s="164"/>
      <c r="F64" s="1670"/>
      <c r="G64" s="1670"/>
      <c r="H64" s="151"/>
      <c r="I64" s="121"/>
      <c r="J64" s="3389"/>
      <c r="K64" s="1245" t="s">
        <v>1382</v>
      </c>
      <c r="L64" s="1245">
        <f ca="1">IF(M49&gt;2000,M49*0.5%,IF(AND(M49&gt;1000,M49&lt;=2000),M49*0.6%,IF(AND(M49&gt;500,M49&lt;=1000),M49*0.7%,IF(AND(M49&gt;200,M49&lt;=500),M49*0.8%,IF(AND(M49&gt;100,M49&lt;=200),M49*0.9%,IF(AND(M49&gt;50,M49&lt;=100),M49*1%,IF(AND(M49&gt;20,M49&lt;=50),M49*1.5%,IF(AND(M49&gt;10,M49&lt;=20),M49*2%,IF(AND(M49&gt;1,M49&lt;=10),M49*2.5%)))))))))</f>
        <v>1262.02</v>
      </c>
      <c r="M64" s="294">
        <f t="shared" ref="M64:M65" ca="1" si="1">ROUND(L64,1)</f>
        <v>1262</v>
      </c>
      <c r="N64" s="2331" t="s">
        <v>1383</v>
      </c>
      <c r="Z64" s="1623"/>
      <c r="AI64" s="1561"/>
    </row>
    <row r="65" spans="1:35" ht="14.25" customHeight="1">
      <c r="A65" s="161" t="s">
        <v>326</v>
      </c>
      <c r="B65" s="162" t="s">
        <v>1384</v>
      </c>
      <c r="C65" s="2352"/>
      <c r="D65" s="162"/>
      <c r="E65" s="164"/>
      <c r="F65" s="1670"/>
      <c r="G65" s="1670"/>
      <c r="H65" s="151"/>
      <c r="I65" s="121"/>
      <c r="J65" s="3389"/>
      <c r="K65" s="1245" t="s">
        <v>1385</v>
      </c>
      <c r="L65" s="1245">
        <f ca="1">IF(M49&gt;1000,M49*0.1%,IF(AND(M49&gt;500,M49&lt;=1000),M49*0.5%,IF(AND(M49&gt;50,M49&lt;=500),M49*1%,IF(AND(M49&gt;1,M49&lt;=50),M49*1.5%))))</f>
        <v>252.404</v>
      </c>
      <c r="M65" s="294">
        <f t="shared" ca="1" si="1"/>
        <v>252.4</v>
      </c>
      <c r="N65" s="2331" t="s">
        <v>1383</v>
      </c>
      <c r="Z65" s="1623"/>
      <c r="AI65" s="1561"/>
    </row>
    <row r="66" spans="1:35" ht="14.25" customHeight="1">
      <c r="A66" s="165" t="s">
        <v>327</v>
      </c>
      <c r="B66" s="166" t="s">
        <v>1386</v>
      </c>
      <c r="C66" s="2353"/>
      <c r="D66" s="166" t="s">
        <v>26</v>
      </c>
      <c r="E66" s="1251" t="s">
        <v>671</v>
      </c>
      <c r="F66" s="1670"/>
      <c r="G66" s="1670"/>
      <c r="H66" s="151"/>
      <c r="I66" s="121"/>
      <c r="J66" s="3389"/>
      <c r="K66" s="1245" t="s">
        <v>1387</v>
      </c>
      <c r="L66" s="1245">
        <f ca="1">M49*0.5%</f>
        <v>1262.02</v>
      </c>
      <c r="M66" s="294">
        <f ca="1">IF(L66&gt;0.5,0.5,ROUND(L66,0))</f>
        <v>0.5</v>
      </c>
      <c r="N66" s="2331" t="s">
        <v>1388</v>
      </c>
      <c r="Z66" s="1623"/>
      <c r="AI66" s="1561"/>
    </row>
    <row r="67" spans="1:35" ht="14.25" customHeight="1">
      <c r="A67" s="165" t="s">
        <v>328</v>
      </c>
      <c r="B67" s="166" t="s">
        <v>1389</v>
      </c>
      <c r="C67" s="2354">
        <f ca="1">C63-C66</f>
        <v>240385</v>
      </c>
      <c r="D67" s="162" t="s">
        <v>26</v>
      </c>
      <c r="E67" s="164"/>
      <c r="F67" s="1670"/>
      <c r="G67" s="1670"/>
      <c r="H67" s="151"/>
      <c r="I67" s="121"/>
      <c r="J67" s="3389"/>
      <c r="K67" s="1245" t="s">
        <v>1390</v>
      </c>
      <c r="L67" s="1245">
        <f ca="1">IF(M49&gt;=10000,(8.25+(M49-10000)*0.01%),IF(AND(M49&gt;=8000,M49&lt;10000),(7.85+(M49-8000)*0.02%),IF(AND(M49&gt;=5000,M49&lt;8000),(6.65+(M49-5000)*0.04%),IF(AND(M49&gt;=2000,M49&lt;5000),(4.25+(PM49-2000)*0.08%),IF(AND(M49&gt;=1000,M49&lt;2000),(2.75+(M49-1000)*0.15%),IF(AND(M49&gt;=100,M49&lt;1000),(0.5+(M49-100)*0.25%),IF(AND(M49&gt;0,M49&lt;100),M49*0.5%)))))))</f>
        <v>32.490400000000001</v>
      </c>
      <c r="M67" s="294">
        <f ca="1">ROUND(L67*0.9,1)</f>
        <v>29.2</v>
      </c>
      <c r="N67" s="2330"/>
      <c r="Z67" s="1623"/>
      <c r="AI67" s="1561"/>
    </row>
    <row r="68" spans="1:35" ht="14.25" customHeight="1" thickBot="1">
      <c r="A68" s="168" t="s">
        <v>329</v>
      </c>
      <c r="B68" s="169" t="s">
        <v>1391</v>
      </c>
      <c r="C68" s="2355">
        <f ca="1">IF(C67&lt;=0,0,ROUND(C67*D68,0))</f>
        <v>13462</v>
      </c>
      <c r="D68" s="2356">
        <f>'数据-取费表'!B41</f>
        <v>5.6000000000000001E-2</v>
      </c>
      <c r="E68" s="170"/>
      <c r="F68" s="1670"/>
      <c r="G68" s="1670"/>
      <c r="H68" s="151"/>
      <c r="I68" s="121"/>
      <c r="J68" s="3389"/>
      <c r="K68" s="1245" t="s">
        <v>1392</v>
      </c>
      <c r="L68" s="1245">
        <f ca="1">IF(M49&gt;10000,M49*0.5%,IF(AND(M49&gt;5000,M49&lt;=10000),M49*1%,IF(AND(M49&gt;1000,M49&lt;=5000),M49*2%,IF(AND(M49&gt;200,M49&lt;=1000),M49*3%,M49*5%))))</f>
        <v>1262.02</v>
      </c>
      <c r="M68" s="294">
        <f ca="1">ROUND(L68,1)</f>
        <v>1262</v>
      </c>
      <c r="N68" s="2330"/>
      <c r="Z68" s="1623"/>
      <c r="AI68" s="1561"/>
    </row>
    <row r="69" spans="1:35" ht="16.5" customHeight="1">
      <c r="A69" s="1672"/>
      <c r="B69" s="1673"/>
      <c r="C69" s="1674"/>
      <c r="D69" s="1675"/>
      <c r="E69" s="1676"/>
      <c r="F69" s="1466"/>
      <c r="G69" s="1466"/>
      <c r="H69" s="1467"/>
      <c r="I69" s="646"/>
      <c r="J69" s="3389"/>
      <c r="K69" s="1245" t="s">
        <v>1393</v>
      </c>
      <c r="L69" s="1245"/>
      <c r="M69" s="294">
        <f ca="1">ROUND(SUM(M63:M68),0)</f>
        <v>4068</v>
      </c>
      <c r="N69" s="2332">
        <f ca="1">M69/M49</f>
        <v>1.6117018747721906E-2</v>
      </c>
      <c r="Z69" s="1623"/>
      <c r="AI69" s="1561"/>
    </row>
    <row r="70" spans="1:35" s="642" customFormat="1" ht="15" thickBot="1">
      <c r="A70" s="3351" t="s">
        <v>1394</v>
      </c>
      <c r="B70" s="3352"/>
      <c r="C70" s="3352"/>
      <c r="D70" s="3352"/>
      <c r="E70" s="3352"/>
      <c r="F70" s="3352"/>
      <c r="G70" s="3352"/>
      <c r="H70" s="3352"/>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0" t="s">
        <v>1375</v>
      </c>
      <c r="B71" s="333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4">
        <f ca="1">ROUND(D45/(1+'数据-取费表'!C42),0)</f>
        <v>240385</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4">
        <f ca="1">C74+C78</f>
        <v>1442</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7"/>
      <c r="D75" s="162" t="s">
        <v>26</v>
      </c>
      <c r="E75" s="176" t="s">
        <v>1399</v>
      </c>
      <c r="F75" s="2358"/>
      <c r="G75" s="176" t="s">
        <v>1400</v>
      </c>
      <c r="H75" s="2359"/>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60">
        <v>0.05</v>
      </c>
      <c r="E76" s="3325" t="s">
        <v>1402</v>
      </c>
      <c r="F76" s="3299"/>
      <c r="G76" s="3299"/>
      <c r="H76" s="3350"/>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1">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2">
        <f ca="1">ROUND(D45*D78/(1+'数据-取费表'!C42),0)</f>
        <v>1442</v>
      </c>
      <c r="D78" s="2363">
        <f>'数据-取费表'!B43</f>
        <v>6.000000000000001E-3</v>
      </c>
      <c r="E78" s="3309" t="s">
        <v>1406</v>
      </c>
      <c r="F78" s="3310"/>
      <c r="G78" s="3310"/>
      <c r="H78" s="331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4">
        <f ca="1">C72-C73</f>
        <v>238943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4">
        <f ca="1">IF(C79&lt;=0,0,C79/C73)</f>
        <v>165.70249653259361</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5">
        <f ca="1">ROUND(IF(C79&lt;=0,0,IF(C80&gt;=200%,C79*60%-C73*35%,IF(C80&gt;=100%,C79*50%-C73*15%,IF(C80&gt;=50%,C79*40%-C73*5%,IF(C80&lt;50%,C79*30%,0))))),0)</f>
        <v>142861</v>
      </c>
      <c r="D81" s="2366"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1" t="s">
        <v>1410</v>
      </c>
      <c r="B83" s="3352"/>
      <c r="C83" s="3352"/>
      <c r="D83" s="3352"/>
      <c r="E83" s="3352"/>
      <c r="F83" s="3352"/>
      <c r="G83" s="3352"/>
      <c r="H83" s="3352"/>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0" t="s">
        <v>1375</v>
      </c>
      <c r="B84" s="333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4">
        <f ca="1">ROUND(D45/(1+'数据-取费表'!C42),0)</f>
        <v>240385</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4">
        <f ca="1">IF(H88="仅含出让金",C87+C90+C91+C92+C93+C94,C87+C91+C92+C93+C94)</f>
        <v>1442</v>
      </c>
      <c r="D86" s="2367"/>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2">
        <f>C88+C89</f>
        <v>0</v>
      </c>
      <c r="D87" s="2363"/>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8"/>
      <c r="D88" s="2363"/>
      <c r="E88" s="185" t="s">
        <v>1413</v>
      </c>
      <c r="F88" s="2148"/>
      <c r="G88" s="186" t="s">
        <v>1414</v>
      </c>
      <c r="H88" s="1684"/>
      <c r="I88" s="1681"/>
      <c r="J88" s="2308" t="s">
        <v>2279</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2">
        <f>ROUND(C88*D89,0)</f>
        <v>0</v>
      </c>
      <c r="D89" s="2363">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8"/>
      <c r="D90" s="2363"/>
      <c r="E90" s="185" t="str">
        <f>IF(H88="-","土地取得成本中已包含该笔费用"," ")</f>
        <v xml:space="preserve"> </v>
      </c>
      <c r="F90" s="2148"/>
      <c r="G90" s="3391" t="s">
        <v>2129</v>
      </c>
      <c r="H90" s="3392"/>
      <c r="I90" s="1681"/>
      <c r="J90" s="2308" t="s">
        <v>2280</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2">
        <f>IF(H91="——",成本法!C33,I91)</f>
        <v>0</v>
      </c>
      <c r="D91" s="2363"/>
      <c r="E91" s="3309" t="s">
        <v>1419</v>
      </c>
      <c r="F91" s="3310"/>
      <c r="G91" s="3310"/>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2">
        <f>ROUND((C87+C90+C91)*D92,0)</f>
        <v>0</v>
      </c>
      <c r="D92" s="2369"/>
      <c r="E92" s="3309" t="s">
        <v>1422</v>
      </c>
      <c r="F92" s="3310"/>
      <c r="G92" s="3310"/>
      <c r="H92" s="3319"/>
      <c r="I92" s="1681"/>
      <c r="J92" s="2309" t="s">
        <v>2281</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2">
        <f ca="1">ROUND(D45*D93/(1+'数据-取费表'!C42),0)</f>
        <v>1442</v>
      </c>
      <c r="D93" s="2363">
        <f>'数据-取费表'!B43</f>
        <v>6.000000000000001E-3</v>
      </c>
      <c r="E93" s="3309" t="s">
        <v>1406</v>
      </c>
      <c r="F93" s="3310"/>
      <c r="G93" s="3310"/>
      <c r="H93" s="331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8">
        <f>ROUND((C87+C90+C91)*D94,0)</f>
        <v>0</v>
      </c>
      <c r="D94" s="2363">
        <v>0.2</v>
      </c>
      <c r="E94" s="3320" t="s">
        <v>1426</v>
      </c>
      <c r="F94" s="3321"/>
      <c r="G94" s="3321"/>
      <c r="H94" s="3322"/>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4">
        <f ca="1">ROUND(C85-C86,0)</f>
        <v>238943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4">
        <f ca="1">IF(C95&lt;=0,0,C95/C86)</f>
        <v>165.70249653259361</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5">
        <f ca="1">ROUND(IF(C95&lt;=0,0,IF(C96&gt;=200%,C95*60%-C86*35%,IF(C96&gt;=100%,C95*50%-C86*15%,IF(C96&gt;=50%,C95*40%-C86*5%,IF(C96&lt;50%,C95*30%,0))))),0)</f>
        <v>142861</v>
      </c>
      <c r="D97" s="2366"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93" t="s">
        <v>1428</v>
      </c>
      <c r="B100" s="3294"/>
      <c r="C100" s="3294"/>
      <c r="D100" s="3311"/>
      <c r="E100" s="3294" t="s">
        <v>1429</v>
      </c>
      <c r="F100" s="3294"/>
      <c r="G100" s="3294"/>
      <c r="H100" s="3311"/>
      <c r="I100" s="121"/>
    </row>
    <row r="101" spans="1:35" ht="18.75" customHeight="1">
      <c r="A101" s="3372" t="s">
        <v>1430</v>
      </c>
      <c r="B101" s="3373"/>
      <c r="C101" s="2371" t="str">
        <f>C4</f>
        <v>成本法</v>
      </c>
      <c r="D101" s="2372" t="str">
        <f>D4</f>
        <v>收益法</v>
      </c>
      <c r="E101" s="3386" t="s">
        <v>1431</v>
      </c>
      <c r="F101" s="3343"/>
      <c r="G101" s="1687" t="s">
        <v>1432</v>
      </c>
      <c r="H101" s="2381">
        <f ca="1">H118</f>
        <v>252404</v>
      </c>
      <c r="I101" s="121"/>
    </row>
    <row r="102" spans="1:35" ht="18.75" customHeight="1">
      <c r="A102" s="3345" t="s">
        <v>1433</v>
      </c>
      <c r="B102" s="2370" t="s">
        <v>1432</v>
      </c>
      <c r="C102" s="2371">
        <f ca="1">IF(D32="楼面单价",ROUND(C19,0),C19)</f>
        <v>324363</v>
      </c>
      <c r="D102" s="2372">
        <f ca="1">IF(D32="楼面单价",ROUND(D19,0),D19)</f>
        <v>204432</v>
      </c>
      <c r="E102" s="3386"/>
      <c r="F102" s="3343"/>
      <c r="G102" s="1687" t="s">
        <v>1434</v>
      </c>
      <c r="H102" s="2341">
        <f ca="1">I118</f>
        <v>24295</v>
      </c>
      <c r="I102" s="121"/>
    </row>
    <row r="103" spans="1:35" ht="42.75" customHeight="1">
      <c r="A103" s="3345"/>
      <c r="B103" s="2370" t="s">
        <v>1434</v>
      </c>
      <c r="C103" s="2373">
        <f ca="1">C20</f>
        <v>31222</v>
      </c>
      <c r="D103" s="2374">
        <f ca="1">D20</f>
        <v>19678</v>
      </c>
      <c r="E103" s="3380" t="s">
        <v>1435</v>
      </c>
      <c r="F103" s="3381"/>
      <c r="G103" s="1688" t="s">
        <v>1436</v>
      </c>
      <c r="H103" s="2381">
        <f>IF(D36="正常操作",H104+H105+H106,H105+H106)</f>
        <v>0</v>
      </c>
      <c r="I103" s="121"/>
    </row>
    <row r="104" spans="1:35" ht="18.75" customHeight="1">
      <c r="A104" s="3345" t="s">
        <v>1437</v>
      </c>
      <c r="B104" s="2375" t="s">
        <v>1432</v>
      </c>
      <c r="C104" s="2376">
        <f ca="1">H118</f>
        <v>252404</v>
      </c>
      <c r="D104" s="2377"/>
      <c r="E104" s="1555" t="s">
        <v>1438</v>
      </c>
      <c r="F104" s="1548"/>
      <c r="G104" s="1688" t="s">
        <v>1436</v>
      </c>
      <c r="H104" s="2382">
        <f>IF(D36="同一抵押权人同一抵押物续贷",C36&amp;"（续贷，未扣减，详见特别提示）",C36)</f>
        <v>0</v>
      </c>
      <c r="I104" s="121"/>
    </row>
    <row r="105" spans="1:35" ht="18.75" customHeight="1" thickBot="1">
      <c r="A105" s="3346"/>
      <c r="B105" s="2378" t="s">
        <v>1434</v>
      </c>
      <c r="C105" s="2379">
        <f ca="1">I118</f>
        <v>24295</v>
      </c>
      <c r="D105" s="2380"/>
      <c r="E105" s="1555" t="s">
        <v>1439</v>
      </c>
      <c r="F105" s="1548"/>
      <c r="G105" s="1688" t="s">
        <v>1436</v>
      </c>
      <c r="H105" s="2383">
        <f>C37</f>
        <v>0</v>
      </c>
      <c r="I105" s="121"/>
    </row>
    <row r="106" spans="1:35" ht="18.75" customHeight="1">
      <c r="A106" s="646" t="s">
        <v>1440</v>
      </c>
      <c r="B106" s="646"/>
      <c r="C106" s="646"/>
      <c r="D106" s="646"/>
      <c r="E106" s="1689" t="s">
        <v>1441</v>
      </c>
      <c r="F106" s="1548"/>
      <c r="G106" s="1688" t="s">
        <v>1436</v>
      </c>
      <c r="H106" s="2383">
        <f>C38</f>
        <v>0</v>
      </c>
      <c r="I106" s="121"/>
    </row>
    <row r="107" spans="1:35" ht="18.75" customHeight="1">
      <c r="A107" s="121"/>
      <c r="B107" s="121"/>
      <c r="C107" s="121"/>
      <c r="D107" s="121"/>
      <c r="E107" s="3342" t="str">
        <f>IF(项目基本情况!E8="已注销","——","3.房地产抵押价值")</f>
        <v>3.房地产抵押价值</v>
      </c>
      <c r="F107" s="3343"/>
      <c r="G107" s="1687" t="s">
        <v>1432</v>
      </c>
      <c r="H107" s="2381">
        <f ca="1">IF(E107="——","——",H101-H103)</f>
        <v>252404</v>
      </c>
      <c r="I107" s="121"/>
    </row>
    <row r="108" spans="1:35" ht="18.75" customHeight="1">
      <c r="A108" s="121"/>
      <c r="B108" s="121"/>
      <c r="C108" s="121"/>
      <c r="D108" s="121"/>
      <c r="E108" s="3342"/>
      <c r="F108" s="3343"/>
      <c r="G108" s="1687" t="s">
        <v>1434</v>
      </c>
      <c r="H108" s="2341">
        <f ca="1">IF(H107=H101,H102,ROUND(H107*10000/'数据-汇总表'!E3,0))</f>
        <v>24295</v>
      </c>
      <c r="I108" s="121"/>
    </row>
    <row r="109" spans="1:35" ht="18.75" customHeight="1">
      <c r="A109" s="121"/>
      <c r="B109" s="121"/>
      <c r="C109" s="121"/>
      <c r="D109" s="121"/>
      <c r="E109" s="3342" t="str">
        <f>IF(项目基本情况!E8="已注销及未注销","4.抵押担保权已注销时的房地产抵押价值",IF(项目基本情况!E8="已注销","3.抵押担保权已注销时的房地产抵押价值","——"))</f>
        <v>——</v>
      </c>
      <c r="F109" s="3343"/>
      <c r="G109" s="1687" t="s">
        <v>1432</v>
      </c>
      <c r="H109" s="2384" t="str">
        <f>IF(E109="——","——",H101-H105-H106)</f>
        <v>——</v>
      </c>
      <c r="I109" s="121"/>
    </row>
    <row r="110" spans="1:35" ht="18.75" customHeight="1">
      <c r="A110" s="121"/>
      <c r="B110" s="121"/>
      <c r="C110" s="121"/>
      <c r="D110" s="121"/>
      <c r="E110" s="3342"/>
      <c r="F110" s="3343"/>
      <c r="G110" s="1687" t="s">
        <v>1434</v>
      </c>
      <c r="H110" s="2341" t="str">
        <f>IF(H109="——","——",ROUND(H109*10000/'数据-汇总表'!E3,0))</f>
        <v>——</v>
      </c>
      <c r="I110" s="121"/>
    </row>
    <row r="111" spans="1:35" ht="18.75" customHeight="1">
      <c r="A111" s="121"/>
      <c r="B111" s="121"/>
      <c r="C111" s="121"/>
      <c r="D111" s="121"/>
      <c r="E111" s="3374" t="str">
        <f>IF(项目基本情况!E9="抵押净值",IF(OR(项目基本情况!E8="已注销",项目基本情况!E8="房地产抵押价值"),"4.抵押净值","5.抵押净值"),"——")</f>
        <v>——</v>
      </c>
      <c r="F111" s="3344"/>
      <c r="G111" s="1687" t="s">
        <v>1432</v>
      </c>
      <c r="H111" s="2381" t="str">
        <f>IF(E111="——","——",N59)</f>
        <v>——</v>
      </c>
      <c r="I111" s="121"/>
    </row>
    <row r="112" spans="1:35" ht="18.75" customHeight="1" thickBot="1">
      <c r="A112" s="121"/>
      <c r="B112" s="121"/>
      <c r="C112" s="121"/>
      <c r="D112" s="121"/>
      <c r="E112" s="3375"/>
      <c r="F112" s="3376"/>
      <c r="G112" s="1690" t="s">
        <v>1434</v>
      </c>
      <c r="H112" s="2385" t="str">
        <f>IF(E111="——","——",N61)</f>
        <v>——</v>
      </c>
      <c r="I112" s="121"/>
    </row>
    <row r="113" spans="1:27" ht="18.75" customHeight="1">
      <c r="A113" s="121"/>
      <c r="B113" s="121"/>
      <c r="C113" s="121"/>
      <c r="D113" s="121"/>
      <c r="E113" s="3347" t="s">
        <v>1440</v>
      </c>
      <c r="F113" s="3347"/>
      <c r="G113" s="3347"/>
      <c r="H113" s="3347"/>
      <c r="I113" s="121"/>
    </row>
    <row r="114" spans="1:27" ht="3.75" customHeight="1">
      <c r="A114" s="646"/>
      <c r="B114" s="646"/>
      <c r="C114" s="646"/>
      <c r="D114" s="646"/>
      <c r="E114" s="1671"/>
      <c r="F114" s="1671"/>
      <c r="G114" s="1671"/>
      <c r="H114" s="1671"/>
      <c r="I114" s="646"/>
    </row>
    <row r="115" spans="1:27" ht="18.75" customHeight="1">
      <c r="A115" s="3357" t="s">
        <v>1442</v>
      </c>
      <c r="B115" s="3358"/>
      <c r="C115" s="3358"/>
      <c r="D115" s="3358"/>
      <c r="E115" s="3358"/>
      <c r="F115" s="3358"/>
      <c r="G115" s="3358"/>
      <c r="H115" s="3358"/>
      <c r="I115" s="3359"/>
    </row>
    <row r="116" spans="1:27" ht="27" customHeight="1">
      <c r="A116" s="3313" t="s">
        <v>1443</v>
      </c>
      <c r="B116" s="3348" t="s">
        <v>1444</v>
      </c>
      <c r="C116" s="3348" t="s">
        <v>1445</v>
      </c>
      <c r="D116" s="3361" t="s">
        <v>1446</v>
      </c>
      <c r="E116" s="3362"/>
      <c r="F116" s="3356" t="s">
        <v>1447</v>
      </c>
      <c r="G116" s="3356"/>
      <c r="H116" s="3313" t="s">
        <v>1448</v>
      </c>
      <c r="I116" s="3313"/>
    </row>
    <row r="117" spans="1:27" ht="18.75" customHeight="1">
      <c r="A117" s="3313"/>
      <c r="B117" s="3349"/>
      <c r="C117" s="3349"/>
      <c r="D117" s="2150" t="s">
        <v>1449</v>
      </c>
      <c r="E117" s="2150" t="s">
        <v>1450</v>
      </c>
      <c r="F117" s="2150" t="s">
        <v>1449</v>
      </c>
      <c r="G117" s="2150" t="s">
        <v>1451</v>
      </c>
      <c r="H117" s="2150" t="s">
        <v>1449</v>
      </c>
      <c r="I117" s="2150" t="s">
        <v>1451</v>
      </c>
    </row>
    <row r="118" spans="1:27" ht="24.75" customHeight="1">
      <c r="A118" s="2386" t="str">
        <f>项目基本情况!S2</f>
        <v>北京市房地产</v>
      </c>
      <c r="B118" s="2150">
        <f>M18</f>
        <v>103889.93000000002</v>
      </c>
      <c r="C118" s="2150">
        <f>M19</f>
        <v>0</v>
      </c>
      <c r="D118" s="2150">
        <f ca="1">ROUND(IF(D32="总价",C34,E118*B118/10000),0)</f>
        <v>186527</v>
      </c>
      <c r="E118" s="2150">
        <f ca="1">ROUND(IF(C33="自定义",IF(D32="楼面单价",C34,D118*10000/B118),I118-G118),0)</f>
        <v>17954</v>
      </c>
      <c r="F118" s="2150">
        <f ca="1">ROUND(IF(D32="总价",C35,G118*B118/10000),0)</f>
        <v>65877</v>
      </c>
      <c r="G118" s="2150">
        <f ca="1">ROUND(IF(D32="楼面单价",C35,F118*10000/B118),0)</f>
        <v>6341</v>
      </c>
      <c r="H118" s="2150">
        <f ca="1">ROUND(IF(D32="总价",C32,I118*B118/10000),0)</f>
        <v>252404</v>
      </c>
      <c r="I118" s="2150">
        <f ca="1">ROUND(IF(D32="楼面单价",C32,H118*10000/B118),0)</f>
        <v>24295</v>
      </c>
    </row>
    <row r="119" spans="1:27" ht="18.75" customHeight="1">
      <c r="A119" s="3313" t="s">
        <v>1452</v>
      </c>
      <c r="B119" s="3313"/>
      <c r="C119" s="3313"/>
      <c r="D119" s="3353" t="str">
        <f ca="1">NUMBERSTRING(INT(D118*10000),2)&amp;"元整"</f>
        <v>壹拾捌亿陆仟伍佰贰拾柒万元整</v>
      </c>
      <c r="E119" s="3355"/>
      <c r="F119" s="3353" t="str">
        <f ca="1">NUMBERSTRING(INT(F118*10000),2)&amp;"元整"</f>
        <v>陆亿伍仟捌佰柒拾柒万元整</v>
      </c>
      <c r="G119" s="3355"/>
      <c r="H119" s="3353" t="str">
        <f ca="1">NUMBERSTRING(INT(H118*10000),2)&amp;"元整"</f>
        <v>贰拾伍亿贰仟肆佰零肆万元整</v>
      </c>
      <c r="I119" s="3355"/>
    </row>
    <row r="120" spans="1:27" ht="18.75" customHeight="1">
      <c r="A120" s="3377" t="str">
        <f>IF(项目基本情况!B9="房地产市场价值","",MID(E103,3,LEN(E103)-2))</f>
        <v>估价师知悉的法定优先受偿款</v>
      </c>
      <c r="B120" s="3378"/>
      <c r="C120" s="3379"/>
      <c r="D120" s="3377">
        <f>H103</f>
        <v>0</v>
      </c>
      <c r="E120" s="3378"/>
      <c r="F120" s="3378"/>
      <c r="G120" s="3378"/>
      <c r="H120" s="3378"/>
      <c r="I120" s="337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53" t="s">
        <v>1452</v>
      </c>
      <c r="B121" s="3354"/>
      <c r="C121" s="3355"/>
      <c r="D121" s="3353" t="str">
        <f>IF(D120=0,"零元整",NUMBERSTRING(INT(D120*10000),2)&amp;"元整")</f>
        <v>零元整</v>
      </c>
      <c r="E121" s="3354"/>
      <c r="F121" s="3354"/>
      <c r="G121" s="3354"/>
      <c r="H121" s="3354"/>
      <c r="I121" s="3355"/>
      <c r="AA121" s="684"/>
    </row>
    <row r="122" spans="1:27" ht="18.75" customHeight="1">
      <c r="A122" s="3344" t="str">
        <f>IF(项目基本情况!B9="房地产市场价值","",MID(E107,3,LEN(E107)-2))</f>
        <v>房地产抵押价值</v>
      </c>
      <c r="B122" s="3344"/>
      <c r="C122" s="3344"/>
      <c r="D122" s="3377">
        <f ca="1">H107</f>
        <v>252404</v>
      </c>
      <c r="E122" s="3378"/>
      <c r="F122" s="3378"/>
      <c r="G122" s="3378"/>
      <c r="H122" s="3378"/>
      <c r="I122" s="3379"/>
      <c r="AA122" s="684"/>
    </row>
    <row r="123" spans="1:27" ht="18.75" customHeight="1">
      <c r="A123" s="3313" t="s">
        <v>1452</v>
      </c>
      <c r="B123" s="3313"/>
      <c r="C123" s="3313"/>
      <c r="D123" s="3353" t="str">
        <f ca="1">NUMBERSTRING(INT(D122*10000),2)&amp;"元整"</f>
        <v>贰拾伍亿贰仟肆佰零肆万元整</v>
      </c>
      <c r="E123" s="3354"/>
      <c r="F123" s="3354"/>
      <c r="G123" s="3354"/>
      <c r="H123" s="3354"/>
      <c r="I123" s="3355"/>
      <c r="AA123" s="684"/>
    </row>
    <row r="124" spans="1:27" ht="18.75" customHeight="1">
      <c r="A124" s="3344" t="str">
        <f>IF(项目基本情况!B9="房地产市场价值","",MID(E109,3,LEN(E109)-2))</f>
        <v/>
      </c>
      <c r="B124" s="3344"/>
      <c r="C124" s="3344"/>
      <c r="D124" s="3377" t="str">
        <f>H109</f>
        <v>——</v>
      </c>
      <c r="E124" s="3378"/>
      <c r="F124" s="3378"/>
      <c r="G124" s="3378"/>
      <c r="H124" s="3378"/>
      <c r="I124" s="3379"/>
      <c r="AA124" s="684"/>
    </row>
    <row r="125" spans="1:27" ht="18.75" customHeight="1">
      <c r="A125" s="3313" t="s">
        <v>1452</v>
      </c>
      <c r="B125" s="3313"/>
      <c r="C125" s="3313"/>
      <c r="D125" s="3353" t="e">
        <f>NUMBERSTRING(INT(D124*10000),2)&amp;"元整"</f>
        <v>#VALUE!</v>
      </c>
      <c r="E125" s="3354"/>
      <c r="F125" s="3354"/>
      <c r="G125" s="3354"/>
      <c r="H125" s="3354"/>
      <c r="I125" s="3355"/>
      <c r="AA125" s="684"/>
    </row>
    <row r="126" spans="1:27" ht="18.75" customHeight="1">
      <c r="A126" s="3344" t="str">
        <f>IF(项目基本情况!B9="房地产市场价值","",MID(E111,3,LEN(E111)-2))</f>
        <v/>
      </c>
      <c r="B126" s="3344"/>
      <c r="C126" s="3344"/>
      <c r="D126" s="3377" t="str">
        <f>H111</f>
        <v>——</v>
      </c>
      <c r="E126" s="3378"/>
      <c r="F126" s="3378"/>
      <c r="G126" s="3378"/>
      <c r="H126" s="3378"/>
      <c r="I126" s="3379"/>
      <c r="AA126" s="684"/>
    </row>
    <row r="127" spans="1:27" ht="18.75" customHeight="1">
      <c r="A127" s="3313" t="s">
        <v>1452</v>
      </c>
      <c r="B127" s="3313"/>
      <c r="C127" s="3313"/>
      <c r="D127" s="3353" t="e">
        <f>NUMBERSTRING(INT(D126*10000),2)&amp;"元整"</f>
        <v>#VALUE!</v>
      </c>
      <c r="E127" s="3354"/>
      <c r="F127" s="3354"/>
      <c r="G127" s="3354"/>
      <c r="H127" s="3354"/>
      <c r="I127" s="3355"/>
      <c r="AA127" s="684"/>
    </row>
    <row r="128" spans="1:27" ht="21.75" customHeight="1">
      <c r="A128" s="3360" t="s">
        <v>1453</v>
      </c>
      <c r="B128" s="3360"/>
      <c r="C128" s="3360"/>
      <c r="D128" s="3360"/>
      <c r="E128" s="3360"/>
      <c r="F128" s="3360"/>
      <c r="G128" s="3360"/>
      <c r="H128" s="3360"/>
      <c r="I128" s="3360"/>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8" priority="3" stopIfTrue="1">
      <formula>$H$88&lt;&gt;"仅含出让金"</formula>
    </cfRule>
  </conditionalFormatting>
  <conditionalFormatting sqref="C91">
    <cfRule type="expression" dxfId="137" priority="2" stopIfTrue="1">
      <formula>$H$91="由企业提供"</formula>
    </cfRule>
  </conditionalFormatting>
  <conditionalFormatting sqref="C5:D7">
    <cfRule type="cellIs" dxfId="136" priority="10" stopIfTrue="1" operator="equal">
      <formula>25</formula>
    </cfRule>
  </conditionalFormatting>
  <conditionalFormatting sqref="C8:D13">
    <cfRule type="cellIs" dxfId="135" priority="8" stopIfTrue="1" operator="equal">
      <formula>15</formula>
    </cfRule>
  </conditionalFormatting>
  <conditionalFormatting sqref="C14:D16">
    <cfRule type="cellIs" dxfId="134" priority="6" stopIfTrue="1" operator="equal">
      <formula>30</formula>
    </cfRule>
  </conditionalFormatting>
  <conditionalFormatting sqref="E36">
    <cfRule type="expression" dxfId="133"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07" t="str">
        <f>项目基本情况!B1</f>
        <v>北京市房地产抵押价值预评估</v>
      </c>
      <c r="C37" s="3207"/>
      <c r="D37" s="3207"/>
      <c r="E37" s="3207"/>
      <c r="F37" s="3207"/>
      <c r="G37" s="3207"/>
      <c r="H37" s="3207"/>
      <c r="I37" s="3207"/>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90" zoomScaleNormal="70" zoomScaleSheetLayoutView="90" workbookViewId="0">
      <selection activeCell="C7" sqref="C7"/>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324363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31222</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163576</v>
      </c>
      <c r="D5" s="203" t="s">
        <v>1469</v>
      </c>
      <c r="E5" s="204" t="s">
        <v>1470</v>
      </c>
      <c r="F5" s="204" t="s">
        <v>1471</v>
      </c>
      <c r="G5" s="205"/>
    </row>
    <row r="6" spans="1:9" s="206" customFormat="1" ht="13.5" customHeight="1">
      <c r="A6" s="732" t="s">
        <v>1472</v>
      </c>
      <c r="B6" s="207" t="s">
        <v>1473</v>
      </c>
      <c r="C6" s="208">
        <f>基准地价修正!V20+基准地价修正!I37+基准地价修正!I38+基准地价修正!I42</f>
        <v>156718</v>
      </c>
      <c r="D6" s="209"/>
      <c r="E6" s="210"/>
      <c r="F6" s="210"/>
      <c r="G6" s="211"/>
    </row>
    <row r="7" spans="1:9" s="206" customFormat="1" ht="13.5" customHeight="1">
      <c r="A7" s="732" t="s">
        <v>1474</v>
      </c>
      <c r="B7" s="207" t="s">
        <v>1475</v>
      </c>
      <c r="C7" s="212">
        <f>ROUND(C6*F7,0)</f>
        <v>4780</v>
      </c>
      <c r="D7" s="212"/>
      <c r="E7" s="210"/>
      <c r="F7" s="213">
        <f>IF(项目基本情况!B8="出让",0,'数据-取费表'!B48+'数据-取费表'!B49)</f>
        <v>3.0499999999999999E-2</v>
      </c>
      <c r="G7" s="211"/>
    </row>
    <row r="8" spans="1:9" s="215" customFormat="1">
      <c r="A8" s="732" t="s">
        <v>1476</v>
      </c>
      <c r="B8" s="207" t="s">
        <v>1477</v>
      </c>
      <c r="C8" s="212">
        <f ca="1">IF(G8="已包含在土地购买价格中","0",IF(B1="",'数据-取费表'!B29,IF(G9="全部缴纳",C9+C10,H9)))</f>
        <v>2078</v>
      </c>
      <c r="D8" s="214"/>
      <c r="E8" s="212"/>
      <c r="F8" s="213"/>
      <c r="G8" s="1714" t="s">
        <v>3531</v>
      </c>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t="s">
        <v>3532</v>
      </c>
      <c r="H9" s="1070"/>
      <c r="I9" s="1716" t="s">
        <v>1479</v>
      </c>
    </row>
    <row r="10" spans="1:9" s="206" customFormat="1" ht="13.5" customHeight="1">
      <c r="A10" s="733" t="s">
        <v>356</v>
      </c>
      <c r="B10" s="216" t="s">
        <v>1480</v>
      </c>
      <c r="C10" s="217">
        <f ca="1">ROUND(D10*E10/10000,0)</f>
        <v>2078</v>
      </c>
      <c r="D10" s="795">
        <f ca="1">IF(B1="",'数据-汇总表'!E6,IF(INDIRECT("'数据-取费表'!c"&amp;$G$1)="住宅",INDIRECT("'数据-取费表'!s"&amp;$G$1),INDIRECT("'数据-取费表'!k"&amp;$G$1)+INDIRECT("'数据-取费表'!s"&amp;$G$1)))</f>
        <v>103889.93000000002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103889.93000000002</v>
      </c>
      <c r="E19" s="203">
        <f>'数据-取费表'!B31</f>
        <v>200</v>
      </c>
      <c r="F19" s="223"/>
      <c r="G19" s="1714" t="s">
        <v>3533</v>
      </c>
    </row>
    <row r="20" spans="1:7" s="206" customFormat="1" ht="13.5" customHeight="1">
      <c r="A20" s="247" t="s">
        <v>1493</v>
      </c>
      <c r="B20" s="202" t="s">
        <v>1494</v>
      </c>
      <c r="C20" s="224">
        <f ca="1">ROUND((C5+C19)*F20,0)</f>
        <v>4907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15919</v>
      </c>
      <c r="D22" s="227">
        <f ca="1">C26</f>
        <v>1.4E-3</v>
      </c>
      <c r="E22" s="228" t="s">
        <v>1498</v>
      </c>
      <c r="F22" s="229">
        <f ca="1">'数据-取费表'!B40</f>
        <v>3.1E-2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15689</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230</v>
      </c>
      <c r="D25" s="230"/>
      <c r="E25" s="233"/>
      <c r="F25" s="231"/>
      <c r="G25" s="234" t="s">
        <v>1510</v>
      </c>
    </row>
    <row r="26" spans="1:7" s="206" customFormat="1">
      <c r="A26" s="734" t="s">
        <v>350</v>
      </c>
      <c r="B26" s="207" t="s">
        <v>1511</v>
      </c>
      <c r="C26" s="230">
        <f ca="1">ROUND(IF('数据-取费表'!B22&lt;=1,F21*F22*'数据-取费表'!B23/2,F21*(POWER((1+F22),'数据-取费表'!B23/2)-1)),4)</f>
        <v>1.4E-3</v>
      </c>
      <c r="D26" s="230"/>
      <c r="E26" s="233"/>
      <c r="F26" s="231"/>
      <c r="G26" s="235"/>
    </row>
    <row r="27" spans="1:7" s="206" customFormat="1" ht="24.75">
      <c r="A27" s="247" t="s">
        <v>1512</v>
      </c>
      <c r="B27" s="236" t="s">
        <v>1513</v>
      </c>
      <c r="C27" s="237">
        <f ca="1">C28</f>
        <v>33697</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33697</v>
      </c>
      <c r="D28" s="227"/>
      <c r="E28" s="228"/>
      <c r="F28" s="238"/>
      <c r="G28" s="239"/>
    </row>
    <row r="29" spans="1:7" s="206" customFormat="1" ht="13.5" customHeight="1">
      <c r="A29" s="734" t="s">
        <v>347</v>
      </c>
      <c r="B29" s="240" t="s">
        <v>1517</v>
      </c>
      <c r="C29" s="230">
        <f ca="1">ROUND(C21*F27*'数据-取费表'!B21/'数据-取费表'!B20,4)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239854</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68776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62334</v>
      </c>
      <c r="D34" s="209"/>
      <c r="E34" s="212"/>
      <c r="F34" s="249">
        <f ca="1">IF('数据-取费表'!B24=0,1,IF(B1="",'数据-取费表'!N16,INDIRECT("'数据-取费表'!n"&amp;$G$1)))</f>
        <v>1</v>
      </c>
      <c r="G34" s="211" t="s">
        <v>1526</v>
      </c>
    </row>
    <row r="35" spans="1:7" ht="13.5" customHeight="1">
      <c r="A35" s="734" t="s">
        <v>351</v>
      </c>
      <c r="B35" s="207" t="s">
        <v>1527</v>
      </c>
      <c r="C35" s="212">
        <f ca="1">ROUND(C34*F35,0)</f>
        <v>3117</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2078</v>
      </c>
      <c r="D37" s="209">
        <f ca="1">D19</f>
        <v>103889.93000000002</v>
      </c>
      <c r="E37" s="241">
        <f>'数据-取费表'!B35</f>
        <v>200</v>
      </c>
      <c r="F37" s="251"/>
      <c r="G37" s="253" t="s">
        <v>1532</v>
      </c>
    </row>
    <row r="38" spans="1:7" ht="13.5" customHeight="1">
      <c r="A38" s="734" t="s">
        <v>354</v>
      </c>
      <c r="B38" s="207" t="s">
        <v>1533</v>
      </c>
      <c r="C38" s="212">
        <f ca="1">ROUND(C34*F38,0)</f>
        <v>1247</v>
      </c>
      <c r="D38" s="212"/>
      <c r="E38" s="212"/>
      <c r="F38" s="251">
        <f>'数据-取费表'!B36</f>
        <v>0.02</v>
      </c>
      <c r="G38" s="211" t="s">
        <v>1528</v>
      </c>
    </row>
    <row r="39" spans="1:7" s="206" customFormat="1" ht="13.5" customHeight="1">
      <c r="A39" s="247" t="s">
        <v>1534</v>
      </c>
      <c r="B39" s="202" t="s">
        <v>1535</v>
      </c>
      <c r="C39" s="224">
        <f ca="1">ROUND(C33*F20,0)</f>
        <v>2063</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3320</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3223</v>
      </c>
      <c r="D42" s="230"/>
      <c r="E42" s="230"/>
      <c r="F42" s="231"/>
      <c r="G42" s="3393" t="s">
        <v>1544</v>
      </c>
    </row>
    <row r="43" spans="1:7" ht="13.5" customHeight="1">
      <c r="A43" s="734" t="s">
        <v>347</v>
      </c>
      <c r="B43" s="207" t="s">
        <v>1545</v>
      </c>
      <c r="C43" s="230">
        <f ca="1">ROUND(IF('数据-取费表'!B22&lt;=1,C39*F22*'数据-取费表'!B21/2,C39*(POWER((1+F22),'数据-取费表'!B21/2)-1)),0)</f>
        <v>97</v>
      </c>
      <c r="D43" s="230"/>
      <c r="E43" s="230"/>
      <c r="F43" s="231"/>
      <c r="G43" s="3394"/>
    </row>
    <row r="44" spans="1:7" ht="13.5" customHeight="1">
      <c r="A44" s="734" t="s">
        <v>348</v>
      </c>
      <c r="B44" s="207" t="s">
        <v>1546</v>
      </c>
      <c r="C44" s="230">
        <f ca="1">ROUND(IF('数据-取费表'!B22&lt;=1,C40*F22*'数据-取费表'!B21/2,C40*(POWER((1+F22),'数据-取费表'!B21/2)-1)),4)</f>
        <v>1.4E-3</v>
      </c>
      <c r="D44" s="230"/>
      <c r="E44" s="230"/>
      <c r="F44" s="231"/>
      <c r="G44" s="3395"/>
    </row>
    <row r="45" spans="1:7" s="206" customFormat="1" ht="13.5" customHeight="1">
      <c r="A45" s="247" t="s">
        <v>1547</v>
      </c>
      <c r="B45" s="236" t="s">
        <v>1513</v>
      </c>
      <c r="C45" s="237">
        <f ca="1">C46</f>
        <v>14168</v>
      </c>
      <c r="D45" s="227">
        <f ca="1">C47</f>
        <v>6.0000000000000001E-3</v>
      </c>
      <c r="E45" s="228" t="s">
        <v>1539</v>
      </c>
      <c r="F45" s="238">
        <f ca="1">F27</f>
        <v>0.2</v>
      </c>
      <c r="G45" s="239" t="s">
        <v>1548</v>
      </c>
    </row>
    <row r="46" spans="1:7" s="206" customFormat="1" ht="13.5" customHeight="1">
      <c r="A46" s="734" t="s">
        <v>346</v>
      </c>
      <c r="B46" s="240" t="s">
        <v>1549</v>
      </c>
      <c r="C46" s="241">
        <f ca="1">ROUND((C33+C39)*F27,0)</f>
        <v>14168</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97137</v>
      </c>
      <c r="D49" s="224"/>
      <c r="E49" s="224"/>
      <c r="F49" s="256"/>
      <c r="G49" s="226" t="s">
        <v>1554</v>
      </c>
    </row>
    <row r="50" spans="1:7" s="250" customFormat="1" ht="24">
      <c r="A50" s="247" t="s">
        <v>1555</v>
      </c>
      <c r="B50" s="202" t="s">
        <v>1556</v>
      </c>
      <c r="C50" s="224"/>
      <c r="D50" s="224"/>
      <c r="E50" s="224"/>
      <c r="F50" s="256">
        <f>IF('数据-取费表'!B24=0,'数据-取费表'!N16,1)</f>
        <v>0.87</v>
      </c>
      <c r="G50" s="239" t="s">
        <v>1557</v>
      </c>
    </row>
    <row r="51" spans="1:7" ht="16.5" customHeight="1">
      <c r="A51" s="247" t="s">
        <v>1558</v>
      </c>
      <c r="B51" s="202" t="s">
        <v>1559</v>
      </c>
      <c r="C51" s="224">
        <f ca="1">ROUND(C49*F50,0)</f>
        <v>84509</v>
      </c>
      <c r="D51" s="224"/>
      <c r="E51" s="224"/>
      <c r="F51" s="256"/>
      <c r="G51" s="226" t="s">
        <v>1560</v>
      </c>
    </row>
    <row r="52" spans="1:7" s="200" customFormat="1" ht="16.5" thickBot="1">
      <c r="A52" s="257" t="s">
        <v>1561</v>
      </c>
      <c r="B52" s="258"/>
      <c r="C52" s="259">
        <f ca="1">C31+C51</f>
        <v>324363</v>
      </c>
      <c r="D52" s="258"/>
      <c r="E52" s="258"/>
      <c r="F52" s="258"/>
      <c r="G52" s="260"/>
    </row>
    <row r="55" spans="1:7" ht="15">
      <c r="B55" s="262" t="s">
        <v>1562</v>
      </c>
      <c r="C55" s="263"/>
    </row>
    <row r="56" spans="1:7">
      <c r="B56" s="265" t="s">
        <v>802</v>
      </c>
      <c r="C56" s="267">
        <f ca="1">1-C57</f>
        <v>0.73899999999999999</v>
      </c>
    </row>
    <row r="57" spans="1:7">
      <c r="B57" s="265" t="s">
        <v>803</v>
      </c>
      <c r="C57" s="266">
        <f ca="1">ROUND(C51/C52,3)</f>
        <v>0.26100000000000001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90601.424100000004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8721</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20777986</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20777986</v>
      </c>
      <c r="D8" s="214"/>
      <c r="E8" s="212"/>
      <c r="F8" s="213"/>
      <c r="G8" s="1714"/>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20777986</v>
      </c>
      <c r="D10" s="795">
        <f ca="1">IF(B1="",'数据-汇总表'!E6,IF(INDIRECT("'数据-取费表'!c"&amp;$G$1)="住宅",INDIRECT("'数据-取费表'!s"&amp;$G$1),INDIRECT("'数据-取费表'!k"&amp;$G$1)+INDIRECT("'数据-取费表'!s"&amp;$G$1)))</f>
        <v>103889.93000000002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20777986</v>
      </c>
      <c r="D19" s="204">
        <f ca="1">D9+D10</f>
        <v>103889.93000000002</v>
      </c>
      <c r="E19" s="203">
        <f>'数据-取费表'!B31</f>
        <v>200</v>
      </c>
      <c r="F19" s="223"/>
      <c r="G19" s="1714"/>
    </row>
    <row r="20" spans="1:7" s="206" customFormat="1" ht="13.5" customHeight="1">
      <c r="A20" s="247" t="s">
        <v>1574</v>
      </c>
      <c r="B20" s="202" t="s">
        <v>1575</v>
      </c>
      <c r="C20" s="224">
        <f ca="1">ROUND((C5+C19)*F20,0)</f>
        <v>1246679</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4044168</v>
      </c>
      <c r="D22" s="227">
        <f ca="1">C26</f>
        <v>1.4E-3</v>
      </c>
      <c r="E22" s="228" t="s">
        <v>1579</v>
      </c>
      <c r="F22" s="229">
        <f ca="1">'数据-取费表'!B40</f>
        <v>3.1E-2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1992875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1992875</v>
      </c>
      <c r="D24" s="230"/>
      <c r="E24" s="230"/>
      <c r="F24" s="231"/>
      <c r="G24" s="232" t="s">
        <v>1586</v>
      </c>
    </row>
    <row r="25" spans="1:7" s="206" customFormat="1" ht="24">
      <c r="A25" s="734" t="s">
        <v>1476</v>
      </c>
      <c r="B25" s="207" t="s">
        <v>1587</v>
      </c>
      <c r="C25" s="230">
        <f ca="1">ROUND(IF('数据-取费表'!B22&lt;=1,C20*F22*'数据-取费表'!B22/2,C20*(POWER((1+F22),'数据-取费表'!B22/2)-1)),0)</f>
        <v>58418</v>
      </c>
      <c r="D25" s="230"/>
      <c r="E25" s="233"/>
      <c r="F25" s="231"/>
      <c r="G25" s="234" t="s">
        <v>1588</v>
      </c>
    </row>
    <row r="26" spans="1:7" s="206" customFormat="1">
      <c r="A26" s="734"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8560530</v>
      </c>
      <c r="D27" s="227">
        <f ca="1">C29</f>
        <v>6.0000000000000001E-3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8560530</v>
      </c>
      <c r="D28" s="227"/>
      <c r="E28" s="228"/>
      <c r="F28" s="238"/>
      <c r="G28" s="239"/>
    </row>
    <row r="29" spans="1:7" s="206" customFormat="1" ht="13.5" customHeight="1">
      <c r="A29" s="734" t="s">
        <v>347</v>
      </c>
      <c r="B29" s="240" t="s">
        <v>1517</v>
      </c>
      <c r="C29" s="230">
        <f ca="1">ROUND(C21*F27,4)</f>
        <v>6.0000000000000001E-3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60934069</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687751337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623339580</v>
      </c>
      <c r="D34" s="209"/>
      <c r="E34" s="212"/>
      <c r="F34" s="249"/>
      <c r="G34" s="211"/>
    </row>
    <row r="35" spans="1:7" ht="13.5" customHeight="1">
      <c r="A35" s="734" t="s">
        <v>351</v>
      </c>
      <c r="B35" s="207" t="s">
        <v>1527</v>
      </c>
      <c r="C35" s="212">
        <f ca="1">ROUND(C34*F35,0)</f>
        <v>31166979</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20777986</v>
      </c>
      <c r="D37" s="209">
        <f ca="1">D19</f>
        <v>103889.93000000002</v>
      </c>
      <c r="E37" s="241">
        <f>'数据-取费表'!B35</f>
        <v>200</v>
      </c>
      <c r="F37" s="251"/>
      <c r="G37" s="253"/>
    </row>
    <row r="38" spans="1:7" ht="13.5" customHeight="1">
      <c r="A38" s="734" t="s">
        <v>354</v>
      </c>
      <c r="B38" s="207" t="s">
        <v>1533</v>
      </c>
      <c r="C38" s="212">
        <f ca="1">ROUND(C34*F38,0)</f>
        <v>12466792</v>
      </c>
      <c r="D38" s="212"/>
      <c r="E38" s="212"/>
      <c r="F38" s="251">
        <f>'数据-取费表'!B36</f>
        <v>0.02</v>
      </c>
      <c r="G38" s="211" t="s">
        <v>1528</v>
      </c>
    </row>
    <row r="39" spans="1:7" s="206" customFormat="1" ht="13.5" customHeight="1">
      <c r="A39" s="247" t="s">
        <v>1534</v>
      </c>
      <c r="B39" s="202" t="s">
        <v>1535</v>
      </c>
      <c r="C39" s="224">
        <f ca="1">ROUND(C33*F20,0)</f>
        <v>20632540</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33193831</v>
      </c>
      <c r="D41" s="227">
        <f ca="1">C44</f>
        <v>1.4E-3</v>
      </c>
      <c r="E41" s="228" t="s">
        <v>1539</v>
      </c>
      <c r="F41" s="229">
        <f ca="1">F22</f>
        <v>3.1E-2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32227020</v>
      </c>
      <c r="D42" s="230"/>
      <c r="E42" s="230"/>
      <c r="F42" s="231"/>
      <c r="G42" s="3393" t="s">
        <v>1591</v>
      </c>
    </row>
    <row r="43" spans="1:7" ht="13.5" customHeight="1">
      <c r="A43" s="734" t="s">
        <v>347</v>
      </c>
      <c r="B43" s="207" t="s">
        <v>1545</v>
      </c>
      <c r="C43" s="230">
        <f ca="1">ROUND(IF('数据-取费表'!B22&lt;=1,C39*F22*'数据-取费表'!B20/2,C39*(POWER((1+F22),'数据-取费表'!B20/2)-1)),0)</f>
        <v>966811</v>
      </c>
      <c r="D43" s="230"/>
      <c r="E43" s="230"/>
      <c r="F43" s="231"/>
      <c r="G43" s="3394"/>
    </row>
    <row r="44" spans="1:7" ht="13.5" customHeight="1">
      <c r="A44" s="734" t="s">
        <v>348</v>
      </c>
      <c r="B44" s="207" t="s">
        <v>1546</v>
      </c>
      <c r="C44" s="230">
        <f ca="1">ROUND(IF('数据-取费表'!B22&lt;=1,C40*F22*'数据-取费表'!B20/2,C40*(POWER((1+F22),'数据-取费表'!B20/2)-1)),4)</f>
        <v>1.4E-3</v>
      </c>
      <c r="D44" s="230"/>
      <c r="E44" s="230"/>
      <c r="F44" s="231"/>
      <c r="G44" s="3395"/>
    </row>
    <row r="45" spans="1:7" s="206" customFormat="1" ht="13.5" customHeight="1">
      <c r="A45" s="247" t="s">
        <v>1547</v>
      </c>
      <c r="B45" s="236" t="s">
        <v>1513</v>
      </c>
      <c r="C45" s="237">
        <f ca="1">C46</f>
        <v>141676775</v>
      </c>
      <c r="D45" s="227">
        <f ca="1">C47</f>
        <v>6.0000000000000001E-3</v>
      </c>
      <c r="E45" s="228" t="s">
        <v>1539</v>
      </c>
      <c r="F45" s="238">
        <f ca="1">F27</f>
        <v>0.2</v>
      </c>
      <c r="G45" s="239" t="s">
        <v>1548</v>
      </c>
    </row>
    <row r="46" spans="1:7" s="206" customFormat="1" ht="13.5" customHeight="1">
      <c r="A46" s="734" t="s">
        <v>346</v>
      </c>
      <c r="B46" s="240" t="s">
        <v>1549</v>
      </c>
      <c r="C46" s="241">
        <f ca="1">ROUND((C33+C39)*F27,0)</f>
        <v>141676775</v>
      </c>
      <c r="D46" s="255"/>
      <c r="E46" s="228"/>
      <c r="F46" s="238"/>
      <c r="G46" s="239"/>
    </row>
    <row r="47" spans="1:7" s="206" customFormat="1" ht="13.5" customHeight="1">
      <c r="A47" s="734" t="s">
        <v>347</v>
      </c>
      <c r="B47" s="240" t="s">
        <v>1550</v>
      </c>
      <c r="C47" s="230">
        <f ca="1">ROUND(C40*F27,4)</f>
        <v>6.0000000000000001E-3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971356519</v>
      </c>
      <c r="D49" s="224"/>
      <c r="E49" s="224"/>
      <c r="F49" s="256"/>
      <c r="G49" s="226" t="s">
        <v>1554</v>
      </c>
    </row>
    <row r="50" spans="1:7" s="250" customFormat="1">
      <c r="A50" s="247" t="s">
        <v>1555</v>
      </c>
      <c r="B50" s="202" t="s">
        <v>1556</v>
      </c>
      <c r="C50" s="224"/>
      <c r="D50" s="224"/>
      <c r="E50" s="224"/>
      <c r="F50" s="256">
        <f>IF('数据-取费表'!B24=0,'数据-取费表'!N16,1)</f>
        <v>0.87</v>
      </c>
      <c r="G50" s="239"/>
    </row>
    <row r="51" spans="1:7" ht="16.5" customHeight="1">
      <c r="A51" s="247" t="s">
        <v>1558</v>
      </c>
      <c r="B51" s="202" t="s">
        <v>1593</v>
      </c>
      <c r="C51" s="224">
        <f ca="1">ROUND(C49*F50,0)</f>
        <v>845080172</v>
      </c>
      <c r="D51" s="224"/>
      <c r="E51" s="224"/>
      <c r="F51" s="256"/>
      <c r="G51" s="226" t="s">
        <v>1560</v>
      </c>
    </row>
    <row r="52" spans="1:7" s="200" customFormat="1" ht="16.5" thickBot="1">
      <c r="A52" s="257" t="s">
        <v>1561</v>
      </c>
      <c r="B52" s="258"/>
      <c r="C52" s="259">
        <f ca="1">C31+C51</f>
        <v>906014241</v>
      </c>
      <c r="D52" s="258"/>
      <c r="E52" s="258"/>
      <c r="F52" s="258"/>
      <c r="G52" s="260"/>
    </row>
    <row r="55" spans="1:7" ht="15">
      <c r="B55" s="262" t="s">
        <v>1562</v>
      </c>
      <c r="C55" s="263"/>
    </row>
    <row r="56" spans="1:7">
      <c r="B56" s="265" t="s">
        <v>802</v>
      </c>
      <c r="C56" s="267">
        <f ca="1">1-C57</f>
        <v>6.6999999999999948E-2</v>
      </c>
    </row>
    <row r="57" spans="1:7">
      <c r="B57" s="265" t="s">
        <v>803</v>
      </c>
      <c r="C57" s="266">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9"/>
      <c r="H1" s="2567"/>
      <c r="I1" s="2567"/>
      <c r="J1" s="2567"/>
      <c r="K1" s="2568">
        <f>MATCH(C1,'数据-取费表'!A6:A16,0)+5</f>
        <v>7</v>
      </c>
    </row>
    <row r="2" spans="1:33" ht="18" customHeight="1">
      <c r="A2" s="193" t="s">
        <v>1462</v>
      </c>
      <c r="B2" s="196">
        <f ca="1">C32</f>
        <v>0</v>
      </c>
      <c r="C2" s="268" t="s">
        <v>1595</v>
      </c>
      <c r="D2" s="268"/>
      <c r="E2" s="2567"/>
      <c r="F2" s="2567"/>
      <c r="G2" s="2567"/>
      <c r="H2" s="2567"/>
      <c r="I2" s="2567"/>
      <c r="J2" s="2567"/>
      <c r="K2" s="2567"/>
    </row>
    <row r="3" spans="1:33" ht="18" customHeight="1" thickBot="1">
      <c r="A3" s="195" t="s">
        <v>1464</v>
      </c>
      <c r="B3" s="196">
        <f ca="1">ROUND(B2*10000/IF(C1="",'数据-汇总表'!E3,INDIRECT("'数据-取费表'!K"&amp;$K$1)),0)</f>
        <v>0</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103889.93000000002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103889.93000000002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0</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2078</v>
      </c>
      <c r="D20" s="796">
        <f ca="1">IF(C1="",'数据-汇总表'!E6,IF(INDIRECT("'数据-取费表'!c"&amp;$K$1)="住宅",INDIRECT("'数据-取费表'!s"&amp;$K$1),INDIRECT("'数据-取费表'!k"&amp;$K$1)+INDIRECT("'数据-取费表'!s"&amp;$K$1)))</f>
        <v>103889.93000000002</v>
      </c>
      <c r="E20" s="21">
        <f>'数据-取费表'!B28</f>
        <v>200</v>
      </c>
      <c r="F20" s="756"/>
      <c r="G20" s="12"/>
      <c r="H20" s="761"/>
      <c r="I20" s="761"/>
      <c r="J20" s="761"/>
      <c r="K20" s="762"/>
    </row>
    <row r="21" spans="1:33" s="755" customFormat="1" ht="13.5" customHeight="1">
      <c r="A21" s="744" t="s">
        <v>357</v>
      </c>
      <c r="B21" s="765" t="s">
        <v>1628</v>
      </c>
      <c r="C21" s="766">
        <f ca="1">C16+C17+C18</f>
        <v>0</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0.03</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Normal="80" zoomScaleSheetLayoutView="100" workbookViewId="0">
      <selection activeCell="E53" sqref="E53"/>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103889.93000000002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176860</v>
      </c>
      <c r="C2" s="1846" t="s">
        <v>1935</v>
      </c>
      <c r="D2" s="162" t="s">
        <v>1936</v>
      </c>
      <c r="E2" s="3120" t="s">
        <v>673</v>
      </c>
      <c r="F2" s="162" t="s">
        <v>1937</v>
      </c>
      <c r="G2" s="163" t="str">
        <f>IF(E2="商业",项目基本情况!B37,IF(E2="办公",项目基本情况!C37,IF(E2="住宅",项目基本情况!D37,IF(E2="工业",项目基本情况!E37,项目基本情况!F37))))</f>
        <v>三级</v>
      </c>
      <c r="H2" s="162" t="s">
        <v>1938</v>
      </c>
      <c r="I2" s="163" t="str">
        <f>IF(E2="商业",项目基本情况!B38,IF(E2="办公",项目基本情况!C38,IF(E2="住宅",项目基本情况!D38,IF(E2="工业",项目基本情况!E38,项目基本情况!F38))))</f>
        <v>Ⅲ—10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1.5019</v>
      </c>
      <c r="T2" s="3063">
        <f t="shared" ref="T2:T16" si="0">ROUND($C$5*$C$22*$C$23*$C$24*S2*$C$28,0)</f>
        <v>31408</v>
      </c>
      <c r="U2" s="1130">
        <f>面积位置!E4</f>
        <v>11867.842000000001</v>
      </c>
      <c r="V2" s="3063">
        <f>ROUND(T2*U2/10000,0)</f>
        <v>37275</v>
      </c>
      <c r="W2" s="1133"/>
      <c r="X2" s="1133"/>
      <c r="Y2" s="1133"/>
      <c r="Z2" s="1133"/>
      <c r="AA2" s="1133"/>
      <c r="AB2" s="1133"/>
      <c r="AC2" s="1134"/>
      <c r="AD2" s="1135"/>
      <c r="AE2" s="1135"/>
      <c r="AF2" s="1135"/>
      <c r="AG2" s="1135"/>
      <c r="AH2" s="1135"/>
      <c r="AI2" s="1135"/>
      <c r="AJ2" s="1136"/>
    </row>
    <row r="3" spans="1:36" ht="15.75">
      <c r="A3" s="195" t="s">
        <v>1940</v>
      </c>
      <c r="B3" s="196">
        <f>ROUND(B2*10000/D1,0)</f>
        <v>17024</v>
      </c>
      <c r="C3" s="1846" t="s">
        <v>1941</v>
      </c>
      <c r="D3" s="162" t="s">
        <v>1942</v>
      </c>
      <c r="E3" s="3118" t="s">
        <v>2430</v>
      </c>
      <c r="F3" s="1848" t="s">
        <v>3526</v>
      </c>
      <c r="G3" s="708">
        <f>IF(F3="宗地容积率",'数据-汇总表'!I4,IF(F3="估价对象容积率",'数据-汇总表'!I6,'数据-汇总表'!I7))</f>
        <v>5</v>
      </c>
      <c r="H3" s="162" t="s">
        <v>1943</v>
      </c>
      <c r="I3" s="729">
        <v>1</v>
      </c>
      <c r="J3" s="1842" t="s">
        <v>1944</v>
      </c>
      <c r="K3" s="1056"/>
      <c r="L3" s="1847" t="s">
        <v>1945</v>
      </c>
      <c r="M3" s="811">
        <f>SUMPRODUCT((区片价!B30:B54=I2)*(区片价!C3:G3=E2)*(区片价!C30:G54))</f>
        <v>22330</v>
      </c>
      <c r="N3" s="813">
        <f>SUMPRODUCT((因素修正幅度!B30:B54=I2)*(因素修正幅度!C3:G3=E2)*(因素修正幅度!C30:G54))</f>
        <v>9.5000000000000001E-2</v>
      </c>
      <c r="O3" s="1056"/>
      <c r="P3" s="1056"/>
      <c r="Q3" s="1056"/>
      <c r="R3" s="1129">
        <v>2</v>
      </c>
      <c r="S3" s="3063">
        <f>ROUND(SUMPRODUCT((B106:B110=R3)*(C105:N105=G2)*(C106:N110)),4)</f>
        <v>1.1838</v>
      </c>
      <c r="T3" s="3063">
        <f t="shared" si="0"/>
        <v>24756</v>
      </c>
      <c r="U3" s="1130">
        <f>面积位置!E5</f>
        <v>12367.142</v>
      </c>
      <c r="V3" s="3063">
        <f t="shared" ref="V3:V16" si="1">ROUND(T3*U3/10000,0)</f>
        <v>30616</v>
      </c>
      <c r="W3" s="1133"/>
      <c r="X3" s="1133"/>
      <c r="Y3" s="1133"/>
      <c r="Z3" s="1133"/>
      <c r="AA3" s="1133"/>
      <c r="AB3" s="1133"/>
      <c r="AC3" s="1134"/>
      <c r="AD3" s="1135"/>
      <c r="AE3" s="1135"/>
      <c r="AF3" s="1135"/>
      <c r="AG3" s="1135"/>
      <c r="AH3" s="1135"/>
      <c r="AI3" s="1135"/>
      <c r="AJ3" s="1136"/>
    </row>
    <row r="4" spans="1:36" ht="15.75">
      <c r="A4" s="3403"/>
      <c r="B4" s="3404"/>
      <c r="C4" s="3404"/>
      <c r="D4" s="3405"/>
      <c r="E4" s="3405"/>
      <c r="F4" s="3405"/>
      <c r="G4" s="3405"/>
      <c r="H4" s="3405"/>
      <c r="I4" s="3405"/>
      <c r="J4" s="3406"/>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1.0004999999999999</v>
      </c>
      <c r="T4" s="3063">
        <f t="shared" si="0"/>
        <v>20923</v>
      </c>
      <c r="U4" s="1130">
        <f>面积位置!E6</f>
        <v>14066.822000000002</v>
      </c>
      <c r="V4" s="3063">
        <f t="shared" si="1"/>
        <v>29432</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22451</v>
      </c>
      <c r="D5" s="1252">
        <f>ROUND(C6*C17+C20,0)</f>
        <v>22330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0.88239999999999996</v>
      </c>
      <c r="T5" s="3063">
        <f t="shared" si="0"/>
        <v>18453</v>
      </c>
      <c r="U5" s="1130">
        <f>面积位置!E7</f>
        <v>14391.531999999999</v>
      </c>
      <c r="V5" s="3063">
        <f t="shared" si="1"/>
        <v>26557</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22330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0.84799999999999998</v>
      </c>
      <c r="T6" s="3063">
        <f t="shared" si="0"/>
        <v>17734</v>
      </c>
      <c r="U6" s="1130">
        <f>面积位置!E8</f>
        <v>14731.532000000001</v>
      </c>
      <c r="V6" s="3063">
        <f t="shared" si="1"/>
        <v>26125</v>
      </c>
      <c r="W6" s="1133"/>
      <c r="X6" s="1133"/>
      <c r="Y6" s="1133"/>
      <c r="Z6" s="1133"/>
      <c r="AA6" s="1133"/>
      <c r="AB6" s="1133"/>
      <c r="AC6" s="1855"/>
      <c r="AD6" s="1856"/>
      <c r="AE6" s="1856"/>
      <c r="AF6" s="1856"/>
      <c r="AG6" s="1856"/>
      <c r="AH6" s="1856"/>
      <c r="AI6" s="1856"/>
      <c r="AJ6" s="1857"/>
    </row>
    <row r="7" spans="1:36" ht="24.75" thickBot="1">
      <c r="A7" s="3012" t="s">
        <v>3228</v>
      </c>
      <c r="B7" s="1865" t="s">
        <v>1952</v>
      </c>
      <c r="C7" s="711">
        <f>IF(C8="不临65条商业街",1,ROUND(1+(1.6*E8+1.2*E9+0.8*E10+0.4*E11)*C9,4))</f>
        <v>1.0054000000000001</v>
      </c>
      <c r="D7" s="1866" t="s">
        <v>1953</v>
      </c>
      <c r="E7" s="730">
        <v>280</v>
      </c>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f t="shared" si="0"/>
        <v>0</v>
      </c>
      <c r="U7" s="1130"/>
      <c r="V7" s="3063">
        <f t="shared" si="1"/>
        <v>0</v>
      </c>
      <c r="W7" s="1267" t="s">
        <v>1955</v>
      </c>
      <c r="X7" s="1131" t="str">
        <f>G2</f>
        <v>三级</v>
      </c>
      <c r="Y7" s="1131" t="s">
        <v>1956</v>
      </c>
      <c r="Z7" s="1132">
        <f>G3</f>
        <v>5</v>
      </c>
      <c r="AA7" s="1133"/>
      <c r="AB7" s="1133"/>
      <c r="AC7" s="1134"/>
      <c r="AD7" s="1135"/>
      <c r="AE7" s="1135"/>
      <c r="AF7" s="1135"/>
      <c r="AG7" s="1135"/>
      <c r="AH7" s="1135"/>
      <c r="AI7" s="1135"/>
      <c r="AJ7" s="1136"/>
    </row>
    <row r="8" spans="1:36" ht="15">
      <c r="A8" s="3009"/>
      <c r="B8" s="162" t="s">
        <v>1957</v>
      </c>
      <c r="C8" s="1870" t="s">
        <v>3527</v>
      </c>
      <c r="D8" s="712" t="s">
        <v>112</v>
      </c>
      <c r="E8" s="713">
        <f>ROUND(C11/E7,4)</f>
        <v>1.34E-2</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f t="shared" si="0"/>
        <v>0</v>
      </c>
      <c r="U8" s="1130"/>
      <c r="V8" s="3063">
        <f t="shared" si="1"/>
        <v>0</v>
      </c>
      <c r="W8" s="3400" t="s">
        <v>1960</v>
      </c>
      <c r="X8" s="3401"/>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0.1</v>
      </c>
      <c r="D9" s="163" t="s">
        <v>113</v>
      </c>
      <c r="E9" s="163">
        <f>ROUND(C11/E7,4)</f>
        <v>1.34E-2</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f t="shared" si="0"/>
        <v>0</v>
      </c>
      <c r="U9" s="1130"/>
      <c r="V9" s="3063">
        <f t="shared" si="1"/>
        <v>0</v>
      </c>
      <c r="W9" s="3402"/>
      <c r="X9" s="3064" t="s">
        <v>3259</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15</v>
      </c>
      <c r="D10" s="163" t="s">
        <v>114</v>
      </c>
      <c r="E10" s="163">
        <f>ROUND(C11/E7,4)</f>
        <v>1.34E-2</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f t="shared" si="0"/>
        <v>0</v>
      </c>
      <c r="U10" s="1130"/>
      <c r="V10" s="3063">
        <f t="shared" si="1"/>
        <v>0</v>
      </c>
      <c r="W10" s="3402"/>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4" t="s">
        <v>1979</v>
      </c>
      <c r="C11" s="715">
        <f>C10/4</f>
        <v>3.75</v>
      </c>
      <c r="D11" s="715" t="s">
        <v>115</v>
      </c>
      <c r="E11" s="715">
        <f>ROUND(C11/E7,4)</f>
        <v>1.34E-2</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f t="shared" si="0"/>
        <v>0</v>
      </c>
      <c r="U11" s="1130"/>
      <c r="V11" s="3063">
        <f t="shared" si="1"/>
        <v>0</v>
      </c>
      <c r="W11" s="1133"/>
      <c r="X11" s="1133"/>
      <c r="Y11" s="1133"/>
      <c r="Z11" s="1133"/>
      <c r="AA11" s="1133"/>
      <c r="AB11" s="1133"/>
      <c r="AC11" s="1134"/>
      <c r="AD11" s="2553"/>
      <c r="AE11" s="2553"/>
      <c r="AF11" s="2553"/>
      <c r="AG11" s="2553"/>
      <c r="AH11" s="2553"/>
      <c r="AI11" s="2553"/>
      <c r="AJ11" s="2554"/>
    </row>
    <row r="12" spans="1:36" ht="25.5" thickBot="1">
      <c r="A12" s="3012" t="s">
        <v>3229</v>
      </c>
      <c r="B12" s="3013" t="s">
        <v>3230</v>
      </c>
      <c r="C12" s="3014"/>
      <c r="D12" s="3015" t="s">
        <v>3231</v>
      </c>
      <c r="E12" s="3016" t="s">
        <v>3232</v>
      </c>
      <c r="F12" s="3017"/>
      <c r="G12" s="3018"/>
      <c r="H12" s="3018"/>
      <c r="I12" s="3018"/>
      <c r="J12" s="3019"/>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f t="shared" si="0"/>
        <v>0</v>
      </c>
      <c r="U12" s="1130"/>
      <c r="V12" s="3063">
        <f t="shared" si="1"/>
        <v>0</v>
      </c>
      <c r="W12" s="1133"/>
      <c r="X12" s="1133"/>
      <c r="Y12" s="1133"/>
      <c r="Z12" s="1133"/>
      <c r="AA12" s="1133"/>
      <c r="AB12" s="1133"/>
      <c r="AC12" s="1134"/>
      <c r="AD12" s="2553"/>
      <c r="AE12" s="2553"/>
      <c r="AF12" s="2553"/>
      <c r="AG12" s="2553"/>
      <c r="AH12" s="2553"/>
      <c r="AI12" s="2553"/>
      <c r="AJ12" s="2554"/>
    </row>
    <row r="13" spans="1:36" ht="15.75" thickBot="1">
      <c r="A13" s="3012" t="s">
        <v>3233</v>
      </c>
      <c r="B13" s="1878" t="s">
        <v>1982</v>
      </c>
      <c r="C13" s="711">
        <f>ROUND(C16*D16*E16*F16*G16*H16*I16*J16,4)</f>
        <v>0</v>
      </c>
      <c r="D13" s="1879" t="s">
        <v>1983</v>
      </c>
      <c r="E13" s="1880"/>
      <c r="F13" s="1880"/>
      <c r="G13" s="1881"/>
      <c r="H13" s="1881"/>
      <c r="I13" s="1881"/>
      <c r="J13" s="1882"/>
      <c r="K13" s="1056"/>
      <c r="L13" s="3"/>
      <c r="M13" s="4"/>
      <c r="N13" s="3010"/>
      <c r="O13" s="1056"/>
      <c r="P13" s="1056"/>
      <c r="Q13" s="1056"/>
      <c r="R13" s="1129">
        <v>12</v>
      </c>
      <c r="S13" s="1130"/>
      <c r="T13" s="3063">
        <f t="shared" si="0"/>
        <v>0</v>
      </c>
      <c r="U13" s="1130"/>
      <c r="V13" s="3063">
        <f t="shared" si="1"/>
        <v>0</v>
      </c>
      <c r="W13" s="1133"/>
      <c r="X13" s="1133"/>
      <c r="Y13" s="1133"/>
      <c r="Z13" s="1133"/>
      <c r="AA13" s="1133"/>
      <c r="AB13" s="1133"/>
      <c r="AC13" s="1134"/>
      <c r="AD13" s="2553"/>
      <c r="AE13" s="2553"/>
      <c r="AF13" s="2553"/>
      <c r="AG13" s="2553"/>
      <c r="AH13" s="2553"/>
      <c r="AI13" s="2553"/>
      <c r="AJ13" s="2554"/>
    </row>
    <row r="14" spans="1:36" ht="15">
      <c r="A14" s="3008"/>
      <c r="B14" s="1883" t="s">
        <v>1985</v>
      </c>
      <c r="C14" s="1884" t="s">
        <v>1986</v>
      </c>
      <c r="D14" s="1261" t="s">
        <v>1987</v>
      </c>
      <c r="E14" s="27" t="s">
        <v>1988</v>
      </c>
      <c r="F14" s="3020" t="s">
        <v>3234</v>
      </c>
      <c r="G14" s="3020" t="s">
        <v>3234</v>
      </c>
      <c r="H14" s="3020" t="s">
        <v>3234</v>
      </c>
      <c r="I14" s="3020" t="s">
        <v>3234</v>
      </c>
      <c r="J14" s="3020" t="s">
        <v>3234</v>
      </c>
      <c r="K14" s="1056"/>
      <c r="L14" s="1056"/>
      <c r="M14" s="1056"/>
      <c r="N14" s="1056"/>
      <c r="O14" s="1056"/>
      <c r="P14" s="1056"/>
      <c r="Q14" s="1056"/>
      <c r="R14" s="1129">
        <v>13</v>
      </c>
      <c r="S14" s="1130"/>
      <c r="T14" s="3063">
        <f t="shared" si="0"/>
        <v>0</v>
      </c>
      <c r="U14" s="1130"/>
      <c r="V14" s="3063">
        <f t="shared" si="1"/>
        <v>0</v>
      </c>
      <c r="W14" s="1133"/>
      <c r="X14" s="1133"/>
      <c r="Y14" s="1133"/>
      <c r="Z14" s="1133"/>
      <c r="AA14" s="1133"/>
      <c r="AB14" s="1133"/>
      <c r="AC14" s="1134"/>
      <c r="AD14" s="2553"/>
      <c r="AE14" s="2553"/>
      <c r="AF14" s="2553"/>
      <c r="AG14" s="2553"/>
      <c r="AH14" s="2553"/>
      <c r="AI14" s="2553"/>
      <c r="AJ14" s="2554"/>
    </row>
    <row r="15" spans="1:36" ht="15">
      <c r="A15" s="3008"/>
      <c r="B15" s="1885"/>
      <c r="C15" s="1886"/>
      <c r="D15" s="1887"/>
      <c r="E15" s="1888"/>
      <c r="F15" s="1470" t="s">
        <v>3235</v>
      </c>
      <c r="G15" s="1928"/>
      <c r="H15" s="3021"/>
      <c r="I15" s="3022"/>
      <c r="J15" s="3023"/>
      <c r="K15" s="1056"/>
      <c r="L15" s="1056"/>
      <c r="M15" s="1056"/>
      <c r="N15" s="1056"/>
      <c r="O15" s="1056"/>
      <c r="P15" s="1056"/>
      <c r="Q15" s="1056"/>
      <c r="R15" s="1129">
        <v>14</v>
      </c>
      <c r="S15" s="1130"/>
      <c r="T15" s="3063">
        <f t="shared" si="0"/>
        <v>0</v>
      </c>
      <c r="U15" s="1130"/>
      <c r="V15" s="3063">
        <f t="shared" si="1"/>
        <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4"/>
      <c r="M16" s="1844"/>
      <c r="N16" s="1844"/>
      <c r="O16" s="1844"/>
      <c r="P16" s="1844"/>
      <c r="Q16" s="1056"/>
      <c r="R16" s="1129">
        <v>15</v>
      </c>
      <c r="S16" s="1130"/>
      <c r="T16" s="3063">
        <f t="shared" si="0"/>
        <v>0</v>
      </c>
      <c r="U16" s="1130"/>
      <c r="V16" s="3063">
        <f t="shared" si="1"/>
        <v>0</v>
      </c>
      <c r="W16" s="1133"/>
      <c r="X16" s="1133"/>
      <c r="Y16" s="1133"/>
      <c r="Z16" s="1133"/>
      <c r="AA16" s="1133"/>
      <c r="AB16" s="1133"/>
      <c r="AC16" s="1134"/>
      <c r="AD16" s="2553"/>
      <c r="AE16" s="2553"/>
      <c r="AF16" s="2553"/>
      <c r="AG16" s="2553"/>
      <c r="AH16" s="2553"/>
      <c r="AI16" s="2553"/>
      <c r="AJ16" s="2554"/>
    </row>
    <row r="17" spans="1:37">
      <c r="A17" s="3035" t="s">
        <v>3236</v>
      </c>
      <c r="B17" s="3027" t="s">
        <v>3237</v>
      </c>
      <c r="C17" s="3036">
        <f>ROUND(IF(OR(E2="工业",E2="公共服务"),1,IF(AND(E18=0,E19=0),1,IF(AND(E18=J24,E19=G19),0.8,IF(E19=0,1+E17*(-0.2),1+E17*G17*(-0.2))))),4)</f>
        <v>1</v>
      </c>
      <c r="D17" s="3028" t="s">
        <v>3238</v>
      </c>
      <c r="E17" s="3036">
        <f>ROUND(G18/I18,2)</f>
        <v>0</v>
      </c>
      <c r="F17" s="3028" t="s">
        <v>3241</v>
      </c>
      <c r="G17" s="3036" t="e">
        <f>ROUND(E19/G19,2)</f>
        <v>#DIV/0!</v>
      </c>
      <c r="H17" s="3036"/>
      <c r="I17" s="3036"/>
      <c r="J17" s="3037"/>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8"/>
      <c r="B18" s="2310"/>
      <c r="C18" s="3034"/>
      <c r="D18" s="3029" t="s">
        <v>3239</v>
      </c>
      <c r="E18" s="2357"/>
      <c r="F18" s="3030" t="s">
        <v>3242</v>
      </c>
      <c r="G18" s="3034">
        <f>ROUND(1-(1/(POWER(1+G24,E18))),4)</f>
        <v>0</v>
      </c>
      <c r="H18" s="3030" t="s">
        <v>3244</v>
      </c>
      <c r="I18" s="3034">
        <f>ROUND(1-(1/(POWER(1+G24,J24))),4)</f>
        <v>0.88249999999999995</v>
      </c>
      <c r="J18" s="3039"/>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2"/>
    </row>
    <row r="19" spans="1:37" s="1858" customFormat="1" ht="15" thickBot="1">
      <c r="A19" s="3040"/>
      <c r="B19" s="3041"/>
      <c r="C19" s="3042"/>
      <c r="D19" s="3042" t="s">
        <v>3240</v>
      </c>
      <c r="E19" s="3043"/>
      <c r="F19" s="3044" t="s">
        <v>3243</v>
      </c>
      <c r="G19" s="3043"/>
      <c r="H19" s="3042"/>
      <c r="I19" s="3042"/>
      <c r="J19" s="3045"/>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5"/>
      <c r="AH19" s="1980"/>
      <c r="AI19" s="561"/>
      <c r="AJ19" s="561"/>
      <c r="AK19" s="1899"/>
    </row>
    <row r="20" spans="1:37" s="1858" customFormat="1" ht="14.25">
      <c r="A20" s="3407" t="s">
        <v>3245</v>
      </c>
      <c r="B20" s="159" t="s">
        <v>1994</v>
      </c>
      <c r="C20" s="3031">
        <f>ROUND(IF(F21="与级别开发程度一致",0,(G21-E21)/C21),0)</f>
        <v>0</v>
      </c>
      <c r="D20" s="3046" t="s">
        <v>1998</v>
      </c>
      <c r="E20" s="3047"/>
      <c r="F20" s="3413" t="s">
        <v>1995</v>
      </c>
      <c r="G20" s="3414"/>
      <c r="H20" s="3032" t="s">
        <v>3406</v>
      </c>
      <c r="I20" s="3032" t="s">
        <v>3407</v>
      </c>
      <c r="J20" s="3033" t="s">
        <v>3408</v>
      </c>
      <c r="K20" s="1889" t="s">
        <v>3409</v>
      </c>
      <c r="L20" s="1889" t="s">
        <v>3410</v>
      </c>
      <c r="M20" s="1889" t="s">
        <v>3412</v>
      </c>
      <c r="N20" s="1889" t="s">
        <v>3411</v>
      </c>
      <c r="O20" s="1890"/>
      <c r="P20" s="1844"/>
      <c r="Q20" s="1060"/>
      <c r="R20" s="1060"/>
      <c r="S20" s="1060"/>
      <c r="T20" s="1057"/>
      <c r="U20" s="1057"/>
      <c r="V20" s="1057">
        <f>SUM(V2:V6)</f>
        <v>150005</v>
      </c>
      <c r="W20" s="1056"/>
      <c r="X20" s="1056"/>
      <c r="Y20" s="1056"/>
      <c r="Z20" s="1061"/>
      <c r="AA20" s="1061"/>
      <c r="AB20" s="1061"/>
      <c r="AC20" s="1061"/>
      <c r="AD20" s="1061"/>
      <c r="AE20" s="1061"/>
      <c r="AF20" s="1061"/>
      <c r="AG20" s="2552"/>
      <c r="AH20" s="2552"/>
      <c r="AI20" s="2552"/>
      <c r="AJ20" s="2552"/>
    </row>
    <row r="21" spans="1:37" s="1858" customFormat="1" ht="26.25" thickBot="1">
      <c r="A21" s="3408"/>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4303</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8" customFormat="1" ht="15.75" thickBot="1">
      <c r="A22" s="1996" t="s">
        <v>363</v>
      </c>
      <c r="B22" s="1997" t="s">
        <v>2000</v>
      </c>
      <c r="C22" s="1998">
        <f>SUMIF(修正!C20:C51,E3,修正!E20:E51)</f>
        <v>1</v>
      </c>
      <c r="D22" s="1999"/>
      <c r="E22" s="2000"/>
      <c r="F22" s="2000"/>
      <c r="G22" s="2000"/>
      <c r="H22" s="2000"/>
      <c r="I22" s="2000"/>
      <c r="J22" s="2001"/>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1.0339</v>
      </c>
      <c r="D23" s="1896" t="s">
        <v>2002</v>
      </c>
      <c r="E23" s="717">
        <v>44197</v>
      </c>
      <c r="F23" s="1896" t="s">
        <v>2003</v>
      </c>
      <c r="G23" s="718">
        <f>'数据-取费表'!B2</f>
        <v>45785</v>
      </c>
      <c r="H23" s="3048" t="s">
        <v>3247</v>
      </c>
      <c r="I23" s="3049" t="str">
        <f>IF(H23="季度增幅（自定义）",SUMIF(N25:N28,E2,O25:O28),"")</f>
        <v/>
      </c>
      <c r="J23" s="3141" t="s">
        <v>3246</v>
      </c>
      <c r="K23" s="1061"/>
      <c r="L23" s="1897" t="s">
        <v>2004</v>
      </c>
      <c r="M23" s="1241">
        <f>ROUND(SUMIF(地价!B2:G2,E2,地价!B16:G16),0)</f>
        <v>350</v>
      </c>
      <c r="N23" s="1898" t="s">
        <v>2005</v>
      </c>
      <c r="O23" s="719">
        <f>ROUNDDOWN(DATEDIF(E23,G23,"M")/3,0)</f>
        <v>17</v>
      </c>
      <c r="P23" s="1057"/>
      <c r="Q23" s="2552"/>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0.87809999999999999</v>
      </c>
      <c r="D24" s="1902" t="s">
        <v>2007</v>
      </c>
      <c r="E24" s="1248">
        <f>存贷款利率!E27/100</f>
        <v>4.3499999999999997E-2</v>
      </c>
      <c r="F24" s="1902" t="s">
        <v>1999</v>
      </c>
      <c r="G24" s="724">
        <f>SUMIF(M30:Q30,E2,M33:Q33)</f>
        <v>5.5E-2</v>
      </c>
      <c r="H24" s="1902" t="s">
        <v>2008</v>
      </c>
      <c r="I24" s="725">
        <f>SUMIF('数据-取费表'!C6:C15,E2,'数据-取费表'!F6:F15)/COUNTIF('数据-取费表'!C6:C15,E2)</f>
        <v>27.86</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7" t="s">
        <v>366</v>
      </c>
      <c r="B25" s="1908" t="s">
        <v>3528</v>
      </c>
      <c r="C25" s="461">
        <f>IF(B25="容积率修正",IF(G3&lt;10,D26,J26),C27)</f>
        <v>1.5019</v>
      </c>
      <c r="D25" s="1909"/>
      <c r="E25" s="1909"/>
      <c r="F25" s="1909"/>
      <c r="G25" s="1909"/>
      <c r="H25" s="1909"/>
      <c r="I25" s="1909"/>
      <c r="J25" s="1910"/>
      <c r="K25" s="1061"/>
      <c r="L25" s="2552"/>
      <c r="M25" s="2552"/>
      <c r="N25" s="1911"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3248</v>
      </c>
      <c r="D26" s="1263">
        <f>IF(E26=G26,F26,IF(G3&lt;10,ROUND(F26+(H26-F26)*(G3-E26)/(G26-E26),4),"——"))</f>
        <v>0.90849999999999997</v>
      </c>
      <c r="E26" s="708">
        <f>ROUNDDOWN(G3,1)</f>
        <v>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0.90849999999999997</v>
      </c>
      <c r="G26" s="708">
        <f>ROUNDUP(G3,1)</f>
        <v>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0.90849999999999997</v>
      </c>
      <c r="I26" s="1912" t="s">
        <v>3249</v>
      </c>
      <c r="J26" s="374" t="str">
        <f>IF(G3&gt;=10,D115,"——")</f>
        <v>——</v>
      </c>
      <c r="K26" s="1061"/>
      <c r="L26" s="2552"/>
      <c r="M26" s="2552"/>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1.5019</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1.026</v>
      </c>
      <c r="D28" s="1894"/>
      <c r="E28" s="1919"/>
      <c r="F28" s="1919"/>
      <c r="G28" s="1919"/>
      <c r="H28" s="1919"/>
      <c r="I28" s="1919"/>
      <c r="J28" s="1920"/>
      <c r="K28" s="1061"/>
      <c r="L28" s="2552"/>
      <c r="M28" s="2552"/>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176860</v>
      </c>
      <c r="D30" s="1925"/>
      <c r="E30" s="1842"/>
      <c r="F30" s="1926"/>
      <c r="G30" s="1842"/>
      <c r="H30" s="1842"/>
      <c r="I30" s="1842"/>
      <c r="J30" s="1927"/>
      <c r="K30" s="1056"/>
      <c r="L30" s="3055" t="s">
        <v>1936</v>
      </c>
      <c r="M30" s="3056" t="s">
        <v>1990</v>
      </c>
      <c r="N30" s="3056" t="s">
        <v>1991</v>
      </c>
      <c r="O30" s="3056" t="s">
        <v>1992</v>
      </c>
      <c r="P30" s="3056" t="s">
        <v>1993</v>
      </c>
      <c r="Q30" s="3059" t="s">
        <v>3253</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6713</v>
      </c>
      <c r="D31" s="1929"/>
      <c r="E31" s="1930"/>
      <c r="F31" s="1931"/>
      <c r="G31" s="1930"/>
      <c r="H31" s="1930"/>
      <c r="I31" s="1930"/>
      <c r="J31" s="1932"/>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8" t="s">
        <v>1999</v>
      </c>
      <c r="M32" s="2356">
        <f>ROUND($E$24*(1+M31),3)</f>
        <v>5.3999999999999999E-2</v>
      </c>
      <c r="N32" s="2356">
        <f>ROUND($E$24*(1+N31),3)</f>
        <v>5.1999999999999998E-2</v>
      </c>
      <c r="O32" s="2356">
        <f>ROUND($E$24*(1+O31),3)</f>
        <v>0.05</v>
      </c>
      <c r="P32" s="2356">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31408</v>
      </c>
      <c r="D33" s="1940">
        <f>'数据-汇总表'!F19</f>
        <v>67424.870000000024</v>
      </c>
      <c r="E33" s="727">
        <f>ROUND(C33*D33/10000,0)</f>
        <v>211768</v>
      </c>
      <c r="F33" s="3050" t="s">
        <v>3251</v>
      </c>
      <c r="G33" s="1941"/>
      <c r="H33" s="1941"/>
      <c r="I33" s="1941"/>
      <c r="J33" s="1942"/>
      <c r="K33" s="1056"/>
      <c r="L33" s="3053" t="s">
        <v>3254</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3" t="s">
        <v>3255</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1" t="s">
        <v>3252</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3256</v>
      </c>
      <c r="L36" s="3142">
        <f ca="1">'数据-取费表'!B40</f>
        <v>3.1E-2</v>
      </c>
      <c r="M36" s="2366">
        <f ca="1">ROUND($L$36*(1+M31),3)</f>
        <v>3.9E-2</v>
      </c>
      <c r="N36" s="2366">
        <f ca="1">ROUND($L$36*(1+N31),3)</f>
        <v>3.6999999999999998E-2</v>
      </c>
      <c r="O36" s="2366">
        <f ca="1">ROUND($L$36*(1+O31),3)</f>
        <v>3.5999999999999997E-2</v>
      </c>
      <c r="P36" s="2366">
        <f ca="1">ROUND($L$36*(1+P31),3)</f>
        <v>3.4000000000000002E-2</v>
      </c>
      <c r="Q36" s="2366">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411"/>
      <c r="B37" s="1955" t="s">
        <v>2036</v>
      </c>
      <c r="C37" s="167">
        <f>ROUND(D5*C22*C23*C24*C28*F37,0)</f>
        <v>12480</v>
      </c>
      <c r="D37" s="1940">
        <f>面积位置!E3</f>
        <v>12142.49</v>
      </c>
      <c r="E37" s="163">
        <f>ROUND(C37*D37/10000,0)</f>
        <v>15154</v>
      </c>
      <c r="F37" s="163">
        <f>SUMIF(修正!A57:A68,G2,修正!B57:B68)</f>
        <v>0.6</v>
      </c>
      <c r="G37" s="163">
        <f>ROUND(IF(E2="工业",C37*$M$42,C37*$M$41),0)</f>
        <v>3120</v>
      </c>
      <c r="H37" s="163">
        <f>D37</f>
        <v>12142.49</v>
      </c>
      <c r="I37" s="163">
        <f>ROUND(G37*H37/10000,0)</f>
        <v>3788</v>
      </c>
      <c r="J37" s="2754"/>
      <c r="K37" s="3061" t="s">
        <v>3257</v>
      </c>
      <c r="L37" s="1964">
        <f ca="1">L36+K38</f>
        <v>3.5999999999999997E-2</v>
      </c>
      <c r="M37" s="2366">
        <f ca="1">ROUND($L$37*(1+M31),3)</f>
        <v>4.4999999999999998E-2</v>
      </c>
      <c r="N37" s="2366">
        <f t="shared" ref="N37:Q37" ca="1" si="3">ROUND($L$37*(1+N31),3)</f>
        <v>4.2999999999999997E-2</v>
      </c>
      <c r="O37" s="2366">
        <f t="shared" ca="1" si="3"/>
        <v>4.1000000000000002E-2</v>
      </c>
      <c r="P37" s="2366">
        <f t="shared" ca="1" si="3"/>
        <v>0.04</v>
      </c>
      <c r="Q37" s="2366">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12"/>
      <c r="B38" s="1884" t="s">
        <v>2037</v>
      </c>
      <c r="C38" s="167">
        <f>ROUND(D5*C22*C23*C24*C28*F38,0)</f>
        <v>6240</v>
      </c>
      <c r="D38" s="1940">
        <f>面积位置!E2</f>
        <v>12446.26</v>
      </c>
      <c r="E38" s="163">
        <f t="shared" ref="E38:E42" si="4">ROUND(C38*D38/10000,0)</f>
        <v>7766</v>
      </c>
      <c r="F38" s="163">
        <f>SUMIF(修正!A57:A68,G2,修正!C57:C68)</f>
        <v>0.3</v>
      </c>
      <c r="G38" s="163">
        <f>ROUND(IF(E2="工业",C38*$M$42,C38*$M$41),0)</f>
        <v>1560</v>
      </c>
      <c r="H38" s="163">
        <f t="shared" ref="H38:H42" si="5">D38</f>
        <v>12446.26</v>
      </c>
      <c r="I38" s="163">
        <f t="shared" ref="I38:I42" si="6">ROUND(G38*H38/10000,0)</f>
        <v>1942</v>
      </c>
      <c r="J38" s="2753"/>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12"/>
      <c r="B39" s="1884" t="s">
        <v>3250</v>
      </c>
      <c r="C39" s="167">
        <f>ROUND(D5*C22*C23*C24*C28*F39,0)</f>
        <v>5200</v>
      </c>
      <c r="D39" s="1940"/>
      <c r="E39" s="163">
        <f t="shared" si="4"/>
        <v>0</v>
      </c>
      <c r="F39" s="163">
        <f>SUMIF(修正!A57:A68,G2,修正!D57:D68)</f>
        <v>0.25</v>
      </c>
      <c r="G39" s="163">
        <f>ROUND(IF(E2="工业",C39*$M$42,C39*$M$41),0)</f>
        <v>1300</v>
      </c>
      <c r="H39" s="163">
        <f t="shared" si="5"/>
        <v>0</v>
      </c>
      <c r="I39" s="163">
        <f t="shared" si="6"/>
        <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5200</v>
      </c>
      <c r="D40" s="1940"/>
      <c r="E40" s="163">
        <f t="shared" si="4"/>
        <v>0</v>
      </c>
      <c r="F40" s="167">
        <f>SUMIF(修正!A57:A68,G2,修正!E57:E68)</f>
        <v>0.25</v>
      </c>
      <c r="G40" s="163">
        <f>ROUND(IF(E2="工业",C40*$M$42,C40*$M$41),0)</f>
        <v>1300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5522</v>
      </c>
      <c r="D41" s="1940"/>
      <c r="E41" s="163">
        <f t="shared" si="4"/>
        <v>0</v>
      </c>
      <c r="F41" s="167">
        <f>SUMIF(修正!A57:A68,G2,修正!F57:F68)</f>
        <v>0.25</v>
      </c>
      <c r="G41" s="163">
        <f>ROUND(IF(E2="工业",C41*$M$42,C41*$M$41),0)</f>
        <v>1381</v>
      </c>
      <c r="H41" s="163">
        <f t="shared" si="5"/>
        <v>0</v>
      </c>
      <c r="I41" s="163">
        <f t="shared" si="6"/>
        <v>0</v>
      </c>
      <c r="J41" s="939"/>
      <c r="L41" s="3062" t="s">
        <v>3258</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3313</v>
      </c>
      <c r="D42" s="1945">
        <f>面积位置!L80</f>
        <v>11876.309999999992</v>
      </c>
      <c r="E42" s="179">
        <f t="shared" si="4"/>
        <v>3935</v>
      </c>
      <c r="F42" s="723">
        <f>SUMIF(修正!A57:A68,G2,修正!G57:G68)</f>
        <v>0.15</v>
      </c>
      <c r="G42" s="179">
        <f>ROUND(IF(E2="工业",C42*$M$42,C42*$M$41),0)</f>
        <v>828</v>
      </c>
      <c r="H42" s="179">
        <f t="shared" si="5"/>
        <v>11876.309999999992</v>
      </c>
      <c r="I42" s="179">
        <f t="shared" si="6"/>
        <v>983</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0.9325</v>
      </c>
      <c r="D44" s="163" t="s">
        <v>1999</v>
      </c>
      <c r="E44" s="1991">
        <f>G24</f>
        <v>5.5E-2</v>
      </c>
      <c r="F44" s="163" t="s">
        <v>2008</v>
      </c>
      <c r="G44" s="175">
        <f>项目基本情况!E15</f>
        <v>37.869999999999997</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1.026</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70" t="s">
        <v>2052</v>
      </c>
      <c r="B50" s="1973">
        <f>估价对象房地状况!C4</f>
        <v>0</v>
      </c>
      <c r="C50" s="1887" t="s">
        <v>3530</v>
      </c>
      <c r="D50" s="1002">
        <f t="shared" ref="D50:D58" si="7">SUMIF($J$49:$N$49,C50,J50:N50)</f>
        <v>0</v>
      </c>
      <c r="E50" s="702">
        <f>ROUND(SUM(D50:D58),4)</f>
        <v>2.5999999999999999E-2</v>
      </c>
      <c r="F50" s="1675">
        <f>IF(E2="商业",SUMIF(L1:L12,G2,N1:N12),"——")</f>
        <v>9.5000000000000001E-2</v>
      </c>
      <c r="G50" s="1000">
        <f>H50</f>
        <v>1.4200000000000001E-2</v>
      </c>
      <c r="H50" s="1003">
        <f t="shared" ref="H50:H58" si="8">IFERROR(ROUNDDOWN($F$50*I50/2,4),"——")</f>
        <v>1.4200000000000001E-2</v>
      </c>
      <c r="I50" s="3068">
        <v>0.3</v>
      </c>
      <c r="J50" s="1001">
        <f t="shared" ref="J50:J58" si="9">K50+$G50</f>
        <v>2.8400000000000002E-2</v>
      </c>
      <c r="K50" s="1001">
        <f t="shared" ref="K50:K58" si="10">$L50+$G50</f>
        <v>1.4200000000000001E-2</v>
      </c>
      <c r="L50" s="1001">
        <v>0</v>
      </c>
      <c r="M50" s="1001">
        <f t="shared" ref="M50:N58" si="11">L50-$G50</f>
        <v>-1.4200000000000001E-2</v>
      </c>
      <c r="N50" s="1001">
        <f t="shared" si="11"/>
        <v>-2.8400000000000002E-2</v>
      </c>
      <c r="AA50" s="1057"/>
      <c r="AB50" s="1057"/>
      <c r="AC50" s="1057"/>
      <c r="AD50" s="1057"/>
      <c r="AE50" s="1057"/>
      <c r="AF50" s="1057"/>
      <c r="AG50" s="1057"/>
      <c r="AH50" s="1057"/>
      <c r="AI50" s="1057"/>
      <c r="AJ50" s="1057"/>
      <c r="AK50" s="1057"/>
    </row>
    <row r="51" spans="1:37" s="1056" customFormat="1" ht="14.25">
      <c r="A51" s="1970" t="s">
        <v>2053</v>
      </c>
      <c r="B51" s="1262">
        <f>估价对象房地状况!C18</f>
        <v>0</v>
      </c>
      <c r="C51" s="1887" t="s">
        <v>3529</v>
      </c>
      <c r="D51" s="1002">
        <f t="shared" si="7"/>
        <v>1.04E-2</v>
      </c>
      <c r="E51" s="703"/>
      <c r="F51" s="1675"/>
      <c r="G51" s="1000">
        <f t="shared" ref="G51:G58" si="12">H51</f>
        <v>1.04E-2</v>
      </c>
      <c r="H51" s="1003">
        <f t="shared" si="8"/>
        <v>1.04E-2</v>
      </c>
      <c r="I51" s="3068">
        <v>0.22</v>
      </c>
      <c r="J51" s="1001">
        <f t="shared" si="9"/>
        <v>2.0799999999999999E-2</v>
      </c>
      <c r="K51" s="1001">
        <f t="shared" si="10"/>
        <v>1.04E-2</v>
      </c>
      <c r="L51" s="1001">
        <v>0</v>
      </c>
      <c r="M51" s="1001">
        <f t="shared" si="11"/>
        <v>-1.04E-2</v>
      </c>
      <c r="N51" s="1001">
        <f t="shared" si="11"/>
        <v>-2.0799999999999999E-2</v>
      </c>
      <c r="AA51" s="1057"/>
      <c r="AB51" s="1057"/>
      <c r="AC51" s="1057"/>
      <c r="AD51" s="1057"/>
      <c r="AE51" s="1057"/>
      <c r="AF51" s="1057"/>
      <c r="AG51" s="1057"/>
      <c r="AH51" s="1057"/>
      <c r="AI51" s="1057"/>
      <c r="AJ51" s="1057"/>
      <c r="AK51" s="1057"/>
    </row>
    <row r="52" spans="1:37" s="1056" customFormat="1" ht="36">
      <c r="A52" s="3070" t="s">
        <v>3260</v>
      </c>
      <c r="B52" s="1262">
        <f>估价对象房地状况!C19</f>
        <v>0</v>
      </c>
      <c r="C52" s="1887" t="s">
        <v>3529</v>
      </c>
      <c r="D52" s="1002">
        <f t="shared" si="7"/>
        <v>5.7000000000000002E-3</v>
      </c>
      <c r="E52" s="703"/>
      <c r="F52" s="1675"/>
      <c r="G52" s="1000">
        <f t="shared" si="12"/>
        <v>5.7000000000000002E-3</v>
      </c>
      <c r="H52" s="1003">
        <f t="shared" si="8"/>
        <v>5.7000000000000002E-3</v>
      </c>
      <c r="I52" s="3068">
        <v>0.12</v>
      </c>
      <c r="J52" s="1001">
        <f t="shared" si="9"/>
        <v>1.14E-2</v>
      </c>
      <c r="K52" s="1001">
        <f t="shared" si="10"/>
        <v>5.7000000000000002E-3</v>
      </c>
      <c r="L52" s="1001">
        <v>0</v>
      </c>
      <c r="M52" s="1001">
        <f t="shared" si="11"/>
        <v>-5.7000000000000002E-3</v>
      </c>
      <c r="N52" s="1001">
        <f t="shared" si="11"/>
        <v>-1.14E-2</v>
      </c>
      <c r="AA52" s="1057"/>
      <c r="AB52" s="1057"/>
      <c r="AC52" s="1057"/>
      <c r="AD52" s="1057"/>
      <c r="AE52" s="1057"/>
      <c r="AF52" s="1057"/>
      <c r="AG52" s="1057"/>
      <c r="AH52" s="1057"/>
      <c r="AI52" s="1057"/>
      <c r="AJ52" s="1057"/>
      <c r="AK52" s="1057"/>
    </row>
    <row r="53" spans="1:37" s="1056" customFormat="1" ht="36.75">
      <c r="A53" s="1970" t="s">
        <v>2054</v>
      </c>
      <c r="B53" s="1974" t="s">
        <v>2055</v>
      </c>
      <c r="C53" s="1887" t="s">
        <v>3529</v>
      </c>
      <c r="D53" s="1002">
        <f t="shared" si="7"/>
        <v>2.3E-3</v>
      </c>
      <c r="E53" s="703"/>
      <c r="F53" s="1675"/>
      <c r="G53" s="1000">
        <f t="shared" si="12"/>
        <v>2.3E-3</v>
      </c>
      <c r="H53" s="1003">
        <f t="shared" si="8"/>
        <v>2.3E-3</v>
      </c>
      <c r="I53" s="3068">
        <v>0.05</v>
      </c>
      <c r="J53" s="1001">
        <f t="shared" si="9"/>
        <v>4.5999999999999999E-3</v>
      </c>
      <c r="K53" s="1001">
        <f t="shared" si="10"/>
        <v>2.3E-3</v>
      </c>
      <c r="L53" s="1001">
        <v>0</v>
      </c>
      <c r="M53" s="1001">
        <f t="shared" si="11"/>
        <v>-2.3E-3</v>
      </c>
      <c r="N53" s="1001">
        <f t="shared" si="11"/>
        <v>-4.5999999999999999E-3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3529</v>
      </c>
      <c r="D54" s="1002">
        <f t="shared" si="7"/>
        <v>3.8E-3</v>
      </c>
      <c r="E54" s="703"/>
      <c r="F54" s="1675"/>
      <c r="G54" s="1000">
        <f t="shared" si="12"/>
        <v>3.8E-3</v>
      </c>
      <c r="H54" s="1003">
        <f t="shared" si="8"/>
        <v>3.8E-3</v>
      </c>
      <c r="I54" s="3068">
        <v>0.08</v>
      </c>
      <c r="J54" s="1001">
        <f t="shared" si="9"/>
        <v>7.6E-3</v>
      </c>
      <c r="K54" s="1001">
        <f t="shared" si="10"/>
        <v>3.8E-3</v>
      </c>
      <c r="L54" s="1001">
        <v>0</v>
      </c>
      <c r="M54" s="1001">
        <f t="shared" si="11"/>
        <v>-3.8E-3</v>
      </c>
      <c r="N54" s="1001">
        <f t="shared" si="11"/>
        <v>-7.6E-3</v>
      </c>
      <c r="AA54" s="1057"/>
      <c r="AB54" s="1057"/>
      <c r="AC54" s="1057"/>
      <c r="AD54" s="1057"/>
      <c r="AE54" s="1057"/>
      <c r="AF54" s="1057"/>
      <c r="AG54" s="1057"/>
      <c r="AH54" s="1057"/>
      <c r="AI54" s="1057"/>
      <c r="AJ54" s="1057"/>
      <c r="AK54" s="1057"/>
    </row>
    <row r="55" spans="1:37" s="1056" customFormat="1" ht="24">
      <c r="A55" s="1970" t="s">
        <v>2057</v>
      </c>
      <c r="B55" s="1975" t="s">
        <v>2058</v>
      </c>
      <c r="C55" s="1887" t="s">
        <v>3530</v>
      </c>
      <c r="D55" s="1002">
        <f t="shared" si="7"/>
        <v>0</v>
      </c>
      <c r="E55" s="703"/>
      <c r="F55" s="1675"/>
      <c r="G55" s="1000">
        <f t="shared" si="12"/>
        <v>2.3E-3</v>
      </c>
      <c r="H55" s="1003">
        <f t="shared" si="8"/>
        <v>2.3E-3</v>
      </c>
      <c r="I55" s="3068">
        <v>0.05</v>
      </c>
      <c r="J55" s="1001">
        <f t="shared" si="9"/>
        <v>4.5999999999999999E-3</v>
      </c>
      <c r="K55" s="1001">
        <f t="shared" si="10"/>
        <v>2.3E-3</v>
      </c>
      <c r="L55" s="1001">
        <v>0</v>
      </c>
      <c r="M55" s="1001">
        <f t="shared" si="11"/>
        <v>-2.3E-3</v>
      </c>
      <c r="N55" s="1001">
        <f t="shared" si="11"/>
        <v>-4.5999999999999999E-3</v>
      </c>
      <c r="AA55" s="1057"/>
      <c r="AB55" s="1057"/>
      <c r="AC55" s="1057"/>
      <c r="AD55" s="1057"/>
      <c r="AE55" s="1057"/>
      <c r="AF55" s="1057"/>
      <c r="AG55" s="1057"/>
      <c r="AH55" s="1057"/>
      <c r="AI55" s="1057"/>
      <c r="AJ55" s="1057"/>
      <c r="AK55" s="1057"/>
    </row>
    <row r="56" spans="1:37" s="1056" customFormat="1" ht="24">
      <c r="A56" s="1976" t="s">
        <v>2059</v>
      </c>
      <c r="B56" s="1240">
        <f>估价对象房地状况!C21</f>
        <v>0</v>
      </c>
      <c r="C56" s="1887" t="s">
        <v>3530</v>
      </c>
      <c r="D56" s="1002">
        <f t="shared" si="7"/>
        <v>0</v>
      </c>
      <c r="E56" s="703"/>
      <c r="F56" s="1675"/>
      <c r="G56" s="1000">
        <f t="shared" si="12"/>
        <v>2.3E-3</v>
      </c>
      <c r="H56" s="1003">
        <f t="shared" si="8"/>
        <v>2.3E-3</v>
      </c>
      <c r="I56" s="3068">
        <v>0.05</v>
      </c>
      <c r="J56" s="1001">
        <f t="shared" si="9"/>
        <v>4.5999999999999999E-3</v>
      </c>
      <c r="K56" s="1001">
        <f t="shared" si="10"/>
        <v>2.3E-3</v>
      </c>
      <c r="L56" s="1001">
        <v>0</v>
      </c>
      <c r="M56" s="1001">
        <f t="shared" si="11"/>
        <v>-2.3E-3</v>
      </c>
      <c r="N56" s="1001">
        <f t="shared" si="11"/>
        <v>-4.5999999999999999E-3</v>
      </c>
      <c r="AA56" s="1057"/>
      <c r="AB56" s="1057"/>
      <c r="AC56" s="1057"/>
      <c r="AD56" s="1057"/>
      <c r="AE56" s="1057"/>
      <c r="AF56" s="1057"/>
      <c r="AG56" s="1057"/>
      <c r="AH56" s="1057"/>
      <c r="AI56" s="1057"/>
      <c r="AJ56" s="1057"/>
      <c r="AK56" s="1057"/>
    </row>
    <row r="57" spans="1:37" s="1056" customFormat="1" ht="24">
      <c r="A57" s="1976" t="s">
        <v>2060</v>
      </c>
      <c r="B57" s="1262">
        <f>估价对象房地状况!C22</f>
        <v>0</v>
      </c>
      <c r="C57" s="1887" t="s">
        <v>3529</v>
      </c>
      <c r="D57" s="1002">
        <f t="shared" si="7"/>
        <v>3.8E-3</v>
      </c>
      <c r="E57" s="703"/>
      <c r="F57" s="1675"/>
      <c r="G57" s="1000">
        <f t="shared" si="12"/>
        <v>3.8E-3</v>
      </c>
      <c r="H57" s="1003">
        <f t="shared" si="8"/>
        <v>3.8E-3</v>
      </c>
      <c r="I57" s="3068">
        <v>0.08</v>
      </c>
      <c r="J57" s="1001">
        <f t="shared" si="9"/>
        <v>7.6E-3</v>
      </c>
      <c r="K57" s="1001">
        <f t="shared" si="10"/>
        <v>3.8E-3</v>
      </c>
      <c r="L57" s="1001">
        <v>0</v>
      </c>
      <c r="M57" s="1001">
        <f t="shared" si="11"/>
        <v>-3.8E-3</v>
      </c>
      <c r="N57" s="1001">
        <f t="shared" si="11"/>
        <v>-7.6E-3</v>
      </c>
      <c r="AA57" s="1057"/>
      <c r="AB57" s="1057"/>
      <c r="AC57" s="1057"/>
      <c r="AD57" s="1057"/>
      <c r="AE57" s="1057"/>
      <c r="AF57" s="1057"/>
      <c r="AG57" s="1057"/>
      <c r="AH57" s="1057"/>
      <c r="AI57" s="1057"/>
      <c r="AJ57" s="1057"/>
      <c r="AK57" s="1057"/>
    </row>
    <row r="58" spans="1:37" s="1056" customFormat="1" ht="24.75" thickBot="1">
      <c r="A58" s="1977" t="s">
        <v>2061</v>
      </c>
      <c r="B58" s="1978">
        <f>估价对象房地状况!C20</f>
        <v>0</v>
      </c>
      <c r="C58" s="1887" t="s">
        <v>3530</v>
      </c>
      <c r="D58" s="1002">
        <f t="shared" si="7"/>
        <v>0</v>
      </c>
      <c r="E58" s="704"/>
      <c r="F58" s="1675"/>
      <c r="G58" s="1000">
        <f t="shared" si="12"/>
        <v>2.3E-3</v>
      </c>
      <c r="H58" s="1003">
        <f t="shared" si="8"/>
        <v>2.3E-3</v>
      </c>
      <c r="I58" s="3069">
        <v>0.05</v>
      </c>
      <c r="J58" s="1001">
        <f t="shared" si="9"/>
        <v>4.5999999999999999E-3</v>
      </c>
      <c r="K58" s="1001">
        <f t="shared" si="10"/>
        <v>2.3E-3</v>
      </c>
      <c r="L58" s="1001">
        <v>0</v>
      </c>
      <c r="M58" s="1001">
        <f t="shared" si="11"/>
        <v>-2.3E-3</v>
      </c>
      <c r="N58" s="1001">
        <f t="shared" si="11"/>
        <v>-4.5999999999999999E-3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70" t="s">
        <v>2064</v>
      </c>
      <c r="B61" s="1973">
        <f>估价对象房地状况!C17</f>
        <v>0</v>
      </c>
      <c r="C61" s="1887"/>
      <c r="D61" s="1002">
        <f t="shared" ref="D61:D69" si="13">SUMIF($J$60:$N$60,C61,J61:N61)</f>
        <v>0</v>
      </c>
      <c r="E61" s="702">
        <f>ROUND(SUM(D61:D69),4)</f>
        <v>0</v>
      </c>
      <c r="F61" s="1675" t="str">
        <f>IF(E2="办公",SUMIF(L1:L12,G2,N1:N12),"——")</f>
        <v>——</v>
      </c>
      <c r="G61" s="1000"/>
      <c r="H61" s="1003" t="str">
        <f t="shared" ref="H61:H69" si="14">IFERROR(ROUNDDOWN($F$61*I61/2,4),"——")</f>
        <v>——</v>
      </c>
      <c r="I61" s="3068">
        <v>0.25</v>
      </c>
      <c r="J61" s="1001">
        <f t="shared" ref="J61:J69" si="15">K61+$G61</f>
        <v>0</v>
      </c>
      <c r="K61" s="1001">
        <f t="shared" ref="K61:K69" si="16">$L61+$G61</f>
        <v>0</v>
      </c>
      <c r="L61" s="1001">
        <v>0</v>
      </c>
      <c r="M61" s="1001">
        <f t="shared" ref="M61:N69" si="17">L61-$G61</f>
        <v>0</v>
      </c>
      <c r="N61" s="1001">
        <f t="shared" si="17"/>
        <v>0</v>
      </c>
      <c r="AA61" s="1057"/>
      <c r="AB61" s="1057"/>
      <c r="AC61" s="1057"/>
      <c r="AD61" s="1057"/>
      <c r="AE61" s="1057"/>
      <c r="AF61" s="1057"/>
      <c r="AG61" s="1057"/>
      <c r="AH61" s="1057"/>
      <c r="AI61" s="1057"/>
      <c r="AJ61" s="1057"/>
      <c r="AK61" s="1057"/>
    </row>
    <row r="62" spans="1:37" s="1056" customFormat="1" ht="14.25">
      <c r="A62" s="1970" t="s">
        <v>2053</v>
      </c>
      <c r="B62" s="1262">
        <f>估价对象房地状况!C18</f>
        <v>0</v>
      </c>
      <c r="C62" s="1887"/>
      <c r="D62" s="1002">
        <f t="shared" si="13"/>
        <v>0</v>
      </c>
      <c r="E62" s="703"/>
      <c r="F62" s="1675"/>
      <c r="G62" s="1000"/>
      <c r="H62" s="1003" t="str">
        <f t="shared" si="14"/>
        <v>——</v>
      </c>
      <c r="I62" s="3068">
        <v>0.26</v>
      </c>
      <c r="J62" s="1001">
        <f t="shared" si="15"/>
        <v>0</v>
      </c>
      <c r="K62" s="1001">
        <f t="shared" si="16"/>
        <v>0</v>
      </c>
      <c r="L62" s="1001">
        <v>0</v>
      </c>
      <c r="M62" s="1001">
        <f t="shared" si="17"/>
        <v>0</v>
      </c>
      <c r="N62" s="1001">
        <f t="shared" si="17"/>
        <v>0</v>
      </c>
      <c r="AA62" s="1057"/>
      <c r="AB62" s="1057"/>
      <c r="AC62" s="1057"/>
      <c r="AD62" s="1057"/>
      <c r="AE62" s="1057"/>
      <c r="AF62" s="1057"/>
      <c r="AG62" s="1057"/>
      <c r="AH62" s="1057"/>
      <c r="AI62" s="1057"/>
      <c r="AJ62" s="1057"/>
      <c r="AK62" s="1057"/>
    </row>
    <row r="63" spans="1:37" s="1056" customFormat="1" ht="36">
      <c r="A63" s="3070" t="s">
        <v>3260</v>
      </c>
      <c r="B63" s="1262">
        <f>估价对象房地状况!C19</f>
        <v>0</v>
      </c>
      <c r="C63" s="1887"/>
      <c r="D63" s="1002">
        <f t="shared" si="13"/>
        <v>0</v>
      </c>
      <c r="E63" s="703"/>
      <c r="F63" s="1675"/>
      <c r="G63" s="1000"/>
      <c r="H63" s="1003" t="str">
        <f t="shared" si="14"/>
        <v>——</v>
      </c>
      <c r="I63" s="3068">
        <v>0.11</v>
      </c>
      <c r="J63" s="1001">
        <f t="shared" si="15"/>
        <v>0</v>
      </c>
      <c r="K63" s="1001">
        <f t="shared" si="16"/>
        <v>0</v>
      </c>
      <c r="L63" s="1001">
        <v>0</v>
      </c>
      <c r="M63" s="1001">
        <f t="shared" si="17"/>
        <v>0</v>
      </c>
      <c r="N63" s="1001">
        <f t="shared" si="17"/>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3"/>
        <v>0</v>
      </c>
      <c r="E64" s="703"/>
      <c r="F64" s="1675"/>
      <c r="G64" s="1000"/>
      <c r="H64" s="1003" t="str">
        <f t="shared" si="14"/>
        <v>——</v>
      </c>
      <c r="I64" s="3068">
        <v>0.05</v>
      </c>
      <c r="J64" s="1001">
        <f t="shared" si="15"/>
        <v>0</v>
      </c>
      <c r="K64" s="1001">
        <f t="shared" si="16"/>
        <v>0</v>
      </c>
      <c r="L64" s="1001">
        <v>0</v>
      </c>
      <c r="M64" s="1001">
        <f t="shared" si="17"/>
        <v>0</v>
      </c>
      <c r="N64" s="1001">
        <f t="shared" si="17"/>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3"/>
        <v>0</v>
      </c>
      <c r="E65" s="703"/>
      <c r="F65" s="1675"/>
      <c r="G65" s="1000"/>
      <c r="H65" s="1003" t="str">
        <f t="shared" si="14"/>
        <v>——</v>
      </c>
      <c r="I65" s="3068">
        <v>0.05</v>
      </c>
      <c r="J65" s="1001">
        <f t="shared" si="15"/>
        <v>0</v>
      </c>
      <c r="K65" s="1001">
        <f t="shared" si="16"/>
        <v>0</v>
      </c>
      <c r="L65" s="1001">
        <v>0</v>
      </c>
      <c r="M65" s="1001">
        <f t="shared" si="17"/>
        <v>0</v>
      </c>
      <c r="N65" s="1001">
        <f t="shared" si="17"/>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3"/>
        <v>0</v>
      </c>
      <c r="E66" s="703"/>
      <c r="F66" s="1675"/>
      <c r="G66" s="1000"/>
      <c r="H66" s="1003" t="str">
        <f t="shared" si="14"/>
        <v>——</v>
      </c>
      <c r="I66" s="3068">
        <v>0.06</v>
      </c>
      <c r="J66" s="1001">
        <f t="shared" si="15"/>
        <v>0</v>
      </c>
      <c r="K66" s="1001">
        <f t="shared" si="16"/>
        <v>0</v>
      </c>
      <c r="L66" s="1001">
        <v>0</v>
      </c>
      <c r="M66" s="1001">
        <f t="shared" si="17"/>
        <v>0</v>
      </c>
      <c r="N66" s="1001">
        <f t="shared" si="17"/>
        <v>0</v>
      </c>
      <c r="AA66" s="1057"/>
      <c r="AB66" s="1057"/>
      <c r="AC66" s="1057"/>
      <c r="AD66" s="1057"/>
      <c r="AE66" s="1057"/>
      <c r="AF66" s="1057"/>
      <c r="AG66" s="1057"/>
      <c r="AH66" s="1057"/>
      <c r="AI66" s="1057"/>
      <c r="AJ66" s="1057"/>
      <c r="AK66" s="1057"/>
    </row>
    <row r="67" spans="1:37" s="1056" customFormat="1" ht="24">
      <c r="A67" s="1970" t="s">
        <v>2059</v>
      </c>
      <c r="B67" s="1240">
        <f>估价对象房地状况!C21</f>
        <v>0</v>
      </c>
      <c r="C67" s="1887"/>
      <c r="D67" s="1002">
        <f t="shared" si="13"/>
        <v>0</v>
      </c>
      <c r="E67" s="703"/>
      <c r="F67" s="1675"/>
      <c r="G67" s="1000"/>
      <c r="H67" s="1003" t="str">
        <f t="shared" si="14"/>
        <v>——</v>
      </c>
      <c r="I67" s="3068">
        <v>0.06</v>
      </c>
      <c r="J67" s="1001">
        <f t="shared" si="15"/>
        <v>0</v>
      </c>
      <c r="K67" s="1001">
        <f t="shared" si="16"/>
        <v>0</v>
      </c>
      <c r="L67" s="1001">
        <v>0</v>
      </c>
      <c r="M67" s="1001">
        <f t="shared" si="17"/>
        <v>0</v>
      </c>
      <c r="N67" s="1001">
        <f t="shared" si="17"/>
        <v>0</v>
      </c>
      <c r="AA67" s="1057"/>
      <c r="AB67" s="1057"/>
      <c r="AC67" s="1057"/>
      <c r="AD67" s="1057"/>
      <c r="AE67" s="1057"/>
      <c r="AF67" s="1057"/>
      <c r="AG67" s="1057"/>
      <c r="AH67" s="1057"/>
      <c r="AI67" s="1057"/>
      <c r="AJ67" s="1057"/>
      <c r="AK67" s="1057"/>
    </row>
    <row r="68" spans="1:37" s="1056" customFormat="1" ht="24">
      <c r="A68" s="1970" t="s">
        <v>2060</v>
      </c>
      <c r="B68" s="1240">
        <f>估价对象房地状况!C22</f>
        <v>0</v>
      </c>
      <c r="C68" s="1887"/>
      <c r="D68" s="1002">
        <f t="shared" si="13"/>
        <v>0</v>
      </c>
      <c r="E68" s="703"/>
      <c r="F68" s="1675"/>
      <c r="G68" s="1000"/>
      <c r="H68" s="1003" t="str">
        <f t="shared" si="14"/>
        <v>——</v>
      </c>
      <c r="I68" s="3068">
        <v>0.09</v>
      </c>
      <c r="J68" s="1001">
        <f t="shared" si="15"/>
        <v>0</v>
      </c>
      <c r="K68" s="1001">
        <f t="shared" si="16"/>
        <v>0</v>
      </c>
      <c r="L68" s="1001">
        <v>0</v>
      </c>
      <c r="M68" s="1001">
        <f t="shared" si="17"/>
        <v>0</v>
      </c>
      <c r="N68" s="1001">
        <f t="shared" si="17"/>
        <v>0</v>
      </c>
      <c r="AA68" s="1057"/>
      <c r="AB68" s="1057"/>
      <c r="AC68" s="1057"/>
      <c r="AD68" s="1057"/>
      <c r="AE68" s="1057"/>
      <c r="AF68" s="1057"/>
      <c r="AG68" s="1057"/>
      <c r="AH68" s="1057"/>
      <c r="AI68" s="1057"/>
      <c r="AJ68" s="1057"/>
      <c r="AK68" s="1057"/>
    </row>
    <row r="69" spans="1:37" s="1056" customFormat="1" ht="24.75" thickBot="1">
      <c r="A69" s="1977" t="s">
        <v>2061</v>
      </c>
      <c r="B69" s="1979">
        <f>估价对象房地状况!C20</f>
        <v>0</v>
      </c>
      <c r="C69" s="1887"/>
      <c r="D69" s="1002">
        <f t="shared" si="13"/>
        <v>0</v>
      </c>
      <c r="E69" s="704"/>
      <c r="F69" s="1675"/>
      <c r="G69" s="1000"/>
      <c r="H69" s="1003" t="str">
        <f t="shared" si="14"/>
        <v>——</v>
      </c>
      <c r="I69" s="3069">
        <v>7.0000000000000007E-2</v>
      </c>
      <c r="J69" s="1001">
        <f t="shared" si="15"/>
        <v>0</v>
      </c>
      <c r="K69" s="1001">
        <f t="shared" si="16"/>
        <v>0</v>
      </c>
      <c r="L69" s="1001">
        <v>0</v>
      </c>
      <c r="M69" s="1001">
        <f t="shared" si="17"/>
        <v>0</v>
      </c>
      <c r="N69" s="1001">
        <f t="shared" si="17"/>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70" t="s">
        <v>2066</v>
      </c>
      <c r="B72" s="1973">
        <f>估价对象房地状况!C15</f>
        <v>0</v>
      </c>
      <c r="C72" s="1887"/>
      <c r="D72" s="1002">
        <f t="shared" ref="D72:D80" si="18">SUMIF($J$71:$N$71,C72,J72:N72)</f>
        <v>0</v>
      </c>
      <c r="E72" s="702">
        <f>ROUND(SUM(D72:D80),4)</f>
        <v>0</v>
      </c>
      <c r="F72" s="1675" t="str">
        <f>IF(E2="住宅",SUMIF(L1:L12,G2,N1:N12),"——")</f>
        <v>——</v>
      </c>
      <c r="G72" s="1000"/>
      <c r="H72" s="1003" t="str">
        <f t="shared" ref="H72:H80" si="19">IFERROR(ROUNDDOWN($F$72*I72/2,4),"——")</f>
        <v>——</v>
      </c>
      <c r="I72" s="3068">
        <v>0.2</v>
      </c>
      <c r="J72" s="1001">
        <f t="shared" ref="J72:J80" si="20">K72+$G72</f>
        <v>0</v>
      </c>
      <c r="K72" s="1001">
        <f t="shared" ref="K72:K80" si="21">$L72+$G72</f>
        <v>0</v>
      </c>
      <c r="L72" s="1001">
        <v>0</v>
      </c>
      <c r="M72" s="1001">
        <f t="shared" ref="M72:N80" si="22">L72-$G72</f>
        <v>0</v>
      </c>
      <c r="N72" s="1001">
        <f t="shared" si="22"/>
        <v>0</v>
      </c>
      <c r="AA72" s="1057"/>
      <c r="AB72" s="1057"/>
      <c r="AC72" s="1057"/>
      <c r="AD72" s="1057"/>
      <c r="AE72" s="1057"/>
      <c r="AF72" s="1057"/>
      <c r="AG72" s="1057"/>
      <c r="AH72" s="1057"/>
      <c r="AI72" s="1057"/>
      <c r="AJ72" s="1057"/>
      <c r="AK72" s="1057"/>
    </row>
    <row r="73" spans="1:37" s="1056" customFormat="1" ht="14.25">
      <c r="A73" s="1970" t="s">
        <v>2053</v>
      </c>
      <c r="B73" s="1262">
        <f>估价对象房地状况!C18</f>
        <v>0</v>
      </c>
      <c r="C73" s="1887"/>
      <c r="D73" s="1002">
        <f t="shared" si="18"/>
        <v>0</v>
      </c>
      <c r="E73" s="705"/>
      <c r="F73" s="1675"/>
      <c r="G73" s="1000"/>
      <c r="H73" s="1003" t="str">
        <f t="shared" si="19"/>
        <v>——</v>
      </c>
      <c r="I73" s="3068">
        <v>0.26</v>
      </c>
      <c r="J73" s="1001">
        <f t="shared" si="20"/>
        <v>0</v>
      </c>
      <c r="K73" s="1001">
        <f t="shared" si="21"/>
        <v>0</v>
      </c>
      <c r="L73" s="1001">
        <v>0</v>
      </c>
      <c r="M73" s="1001">
        <f t="shared" si="22"/>
        <v>0</v>
      </c>
      <c r="N73" s="1001">
        <f t="shared" si="22"/>
        <v>0</v>
      </c>
      <c r="AA73" s="1057"/>
      <c r="AB73" s="1057"/>
      <c r="AC73" s="1057"/>
      <c r="AD73" s="1057"/>
      <c r="AE73" s="1057"/>
      <c r="AF73" s="1057"/>
      <c r="AG73" s="1057"/>
      <c r="AH73" s="1057"/>
      <c r="AI73" s="1057"/>
      <c r="AJ73" s="1057"/>
      <c r="AK73" s="1057"/>
    </row>
    <row r="74" spans="1:37" s="1844" customFormat="1" ht="36">
      <c r="A74" s="3070" t="s">
        <v>3260</v>
      </c>
      <c r="B74" s="1262">
        <f>估价对象房地状况!C19</f>
        <v>0</v>
      </c>
      <c r="C74" s="1887"/>
      <c r="D74" s="1002">
        <f t="shared" si="18"/>
        <v>0</v>
      </c>
      <c r="E74" s="705"/>
      <c r="F74" s="1675"/>
      <c r="G74" s="1000"/>
      <c r="H74" s="1003" t="str">
        <f t="shared" si="19"/>
        <v>——</v>
      </c>
      <c r="I74" s="3068">
        <v>0.1</v>
      </c>
      <c r="J74" s="1001">
        <f t="shared" si="20"/>
        <v>0</v>
      </c>
      <c r="K74" s="1001">
        <f t="shared" si="21"/>
        <v>0</v>
      </c>
      <c r="L74" s="1001">
        <v>0</v>
      </c>
      <c r="M74" s="1001">
        <f t="shared" si="22"/>
        <v>0</v>
      </c>
      <c r="N74" s="1001">
        <f t="shared" si="22"/>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8"/>
        <v>0</v>
      </c>
      <c r="E75" s="705"/>
      <c r="F75" s="1675"/>
      <c r="G75" s="1000"/>
      <c r="H75" s="1003" t="str">
        <f t="shared" si="19"/>
        <v>——</v>
      </c>
      <c r="I75" s="3068">
        <v>0.05</v>
      </c>
      <c r="J75" s="1001">
        <f t="shared" si="20"/>
        <v>0</v>
      </c>
      <c r="K75" s="1001">
        <f t="shared" si="21"/>
        <v>0</v>
      </c>
      <c r="L75" s="1001">
        <v>0</v>
      </c>
      <c r="M75" s="1001">
        <f t="shared" si="22"/>
        <v>0</v>
      </c>
      <c r="N75" s="1001">
        <f t="shared" si="22"/>
        <v>0</v>
      </c>
      <c r="O75" s="1056"/>
      <c r="P75" s="1056"/>
      <c r="Q75" s="1844"/>
      <c r="Z75" s="1845"/>
      <c r="AA75" s="1895"/>
      <c r="AG75" s="1058"/>
      <c r="AK75" s="1895"/>
    </row>
    <row r="76" spans="1:37" ht="24">
      <c r="A76" s="1970" t="s">
        <v>2059</v>
      </c>
      <c r="B76" s="1240">
        <f>估价对象房地状况!C21</f>
        <v>0</v>
      </c>
      <c r="C76" s="1887"/>
      <c r="D76" s="1002">
        <f t="shared" si="18"/>
        <v>0</v>
      </c>
      <c r="E76" s="705"/>
      <c r="F76" s="1675"/>
      <c r="G76" s="1000"/>
      <c r="H76" s="1003" t="str">
        <f t="shared" si="19"/>
        <v>——</v>
      </c>
      <c r="I76" s="3068">
        <v>0.08</v>
      </c>
      <c r="J76" s="1001">
        <f t="shared" si="20"/>
        <v>0</v>
      </c>
      <c r="K76" s="1001">
        <f t="shared" si="21"/>
        <v>0</v>
      </c>
      <c r="L76" s="1001">
        <v>0</v>
      </c>
      <c r="M76" s="1001">
        <f t="shared" si="22"/>
        <v>0</v>
      </c>
      <c r="N76" s="1001">
        <f t="shared" si="22"/>
        <v>0</v>
      </c>
      <c r="O76" s="1056"/>
      <c r="P76" s="1056"/>
      <c r="Z76" s="1845"/>
      <c r="AA76" s="1895"/>
      <c r="AG76" s="1058"/>
      <c r="AK76" s="1895"/>
    </row>
    <row r="77" spans="1:37" ht="24">
      <c r="A77" s="1970" t="s">
        <v>2060</v>
      </c>
      <c r="B77" s="1240">
        <f>估价对象房地状况!C22</f>
        <v>0</v>
      </c>
      <c r="C77" s="1887"/>
      <c r="D77" s="1002">
        <f t="shared" si="18"/>
        <v>0</v>
      </c>
      <c r="E77" s="705"/>
      <c r="F77" s="1675"/>
      <c r="G77" s="1000"/>
      <c r="H77" s="1003" t="str">
        <f t="shared" si="19"/>
        <v>——</v>
      </c>
      <c r="I77" s="3068">
        <v>0.09</v>
      </c>
      <c r="J77" s="1001">
        <f t="shared" si="20"/>
        <v>0</v>
      </c>
      <c r="K77" s="1001">
        <f t="shared" si="21"/>
        <v>0</v>
      </c>
      <c r="L77" s="1001">
        <v>0</v>
      </c>
      <c r="M77" s="1001">
        <f t="shared" si="22"/>
        <v>0</v>
      </c>
      <c r="N77" s="1001">
        <f t="shared" si="22"/>
        <v>0</v>
      </c>
      <c r="O77" s="1056"/>
      <c r="P77" s="1056"/>
      <c r="Z77" s="1845"/>
      <c r="AA77" s="1895"/>
      <c r="AG77" s="1058"/>
      <c r="AK77" s="1895"/>
    </row>
    <row r="78" spans="1:37" ht="24">
      <c r="A78" s="1970" t="s">
        <v>2057</v>
      </c>
      <c r="B78" s="1975" t="s">
        <v>2058</v>
      </c>
      <c r="C78" s="1887"/>
      <c r="D78" s="1002">
        <f t="shared" si="18"/>
        <v>0</v>
      </c>
      <c r="E78" s="705"/>
      <c r="F78" s="1675"/>
      <c r="G78" s="1000"/>
      <c r="H78" s="1003" t="str">
        <f t="shared" si="19"/>
        <v>——</v>
      </c>
      <c r="I78" s="3068">
        <v>0.05</v>
      </c>
      <c r="J78" s="1001">
        <f t="shared" si="20"/>
        <v>0</v>
      </c>
      <c r="K78" s="1001">
        <f t="shared" si="21"/>
        <v>0</v>
      </c>
      <c r="L78" s="1001">
        <v>0</v>
      </c>
      <c r="M78" s="1001">
        <f t="shared" si="22"/>
        <v>0</v>
      </c>
      <c r="N78" s="1001">
        <f t="shared" si="22"/>
        <v>0</v>
      </c>
      <c r="O78" s="1844"/>
      <c r="P78" s="1844"/>
      <c r="Z78" s="1845"/>
      <c r="AA78" s="1895"/>
      <c r="AG78" s="1058"/>
      <c r="AK78" s="1895"/>
    </row>
    <row r="79" spans="1:37" ht="24">
      <c r="A79" s="1970" t="s">
        <v>2061</v>
      </c>
      <c r="B79" s="1973">
        <f>估价对象房地状况!C20</f>
        <v>0</v>
      </c>
      <c r="C79" s="1887"/>
      <c r="D79" s="1002">
        <f t="shared" si="18"/>
        <v>0</v>
      </c>
      <c r="E79" s="705"/>
      <c r="F79" s="1675"/>
      <c r="G79" s="1000"/>
      <c r="H79" s="1003" t="str">
        <f t="shared" si="19"/>
        <v>——</v>
      </c>
      <c r="I79" s="3068">
        <v>0.12</v>
      </c>
      <c r="J79" s="1001">
        <f t="shared" si="20"/>
        <v>0</v>
      </c>
      <c r="K79" s="1001">
        <f t="shared" si="21"/>
        <v>0</v>
      </c>
      <c r="L79" s="1001">
        <v>0</v>
      </c>
      <c r="M79" s="1001">
        <f t="shared" si="22"/>
        <v>0</v>
      </c>
      <c r="N79" s="1001">
        <f t="shared" si="22"/>
        <v>0</v>
      </c>
      <c r="Z79" s="1845"/>
      <c r="AA79" s="1895"/>
      <c r="AG79" s="1058"/>
      <c r="AK79" s="1895"/>
    </row>
    <row r="80" spans="1:37" ht="24.75" thickBot="1">
      <c r="A80" s="1977" t="s">
        <v>2068</v>
      </c>
      <c r="B80" s="1981"/>
      <c r="C80" s="1887"/>
      <c r="D80" s="1002">
        <f t="shared" si="18"/>
        <v>0</v>
      </c>
      <c r="E80" s="706"/>
      <c r="F80" s="1675"/>
      <c r="G80" s="1000"/>
      <c r="H80" s="1003" t="str">
        <f t="shared" si="19"/>
        <v>——</v>
      </c>
      <c r="I80" s="3069">
        <v>0.05</v>
      </c>
      <c r="J80" s="1001">
        <f t="shared" si="20"/>
        <v>0</v>
      </c>
      <c r="K80" s="1001">
        <f t="shared" si="21"/>
        <v>0</v>
      </c>
      <c r="L80" s="1001">
        <v>0</v>
      </c>
      <c r="M80" s="1001">
        <f t="shared" si="22"/>
        <v>0</v>
      </c>
      <c r="N80" s="1001">
        <f t="shared" si="22"/>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24">
      <c r="A83" s="1970" t="s">
        <v>2070</v>
      </c>
      <c r="B83" s="1262">
        <f>估价对象房地状况!G15</f>
        <v>0</v>
      </c>
      <c r="C83" s="1887"/>
      <c r="D83" s="1002">
        <f t="shared" ref="D83:D90" si="23">SUMIF($J$82:$N$82,C83,J83:N83)</f>
        <v>0</v>
      </c>
      <c r="E83" s="702">
        <f>ROUND(SUM(D83:D90),4)</f>
        <v>0</v>
      </c>
      <c r="F83" s="1675" t="str">
        <f>IF(E2="工业",SUMIF(L1:L12,G2,N1:N12),"——")</f>
        <v>——</v>
      </c>
      <c r="G83" s="1000"/>
      <c r="H83" s="1003" t="str">
        <f t="shared" ref="H83:H90" si="24">IFERROR(ROUNDDOWN($F$83*I83/2,4),"——")</f>
        <v>——</v>
      </c>
      <c r="I83" s="3068">
        <v>0.26</v>
      </c>
      <c r="J83" s="1001">
        <f t="shared" ref="J83:J90" si="25">K83+$G83</f>
        <v>0</v>
      </c>
      <c r="K83" s="1001">
        <f t="shared" ref="K83:K90" si="26">$L83+$G83</f>
        <v>0</v>
      </c>
      <c r="L83" s="1001">
        <v>0</v>
      </c>
      <c r="M83" s="1001">
        <f t="shared" ref="M83:N90" si="27">L83-$G83</f>
        <v>0</v>
      </c>
      <c r="N83" s="1001">
        <f t="shared" si="27"/>
        <v>0</v>
      </c>
      <c r="Z83" s="1845"/>
      <c r="AA83" s="1895"/>
      <c r="AG83" s="1058"/>
      <c r="AK83" s="1895"/>
    </row>
    <row r="84" spans="1:37" ht="14.25">
      <c r="A84" s="1970" t="s">
        <v>2053</v>
      </c>
      <c r="B84" s="1262">
        <f>估价对象房地状况!G16</f>
        <v>0</v>
      </c>
      <c r="C84" s="1887"/>
      <c r="D84" s="1002">
        <f t="shared" si="23"/>
        <v>0</v>
      </c>
      <c r="E84" s="705"/>
      <c r="F84" s="1675"/>
      <c r="G84" s="1000"/>
      <c r="H84" s="1003" t="str">
        <f t="shared" si="24"/>
        <v>——</v>
      </c>
      <c r="I84" s="3068">
        <v>0.3</v>
      </c>
      <c r="J84" s="1001">
        <f t="shared" si="25"/>
        <v>0</v>
      </c>
      <c r="K84" s="1001">
        <f t="shared" si="26"/>
        <v>0</v>
      </c>
      <c r="L84" s="1001">
        <v>0</v>
      </c>
      <c r="M84" s="1001">
        <f t="shared" si="27"/>
        <v>0</v>
      </c>
      <c r="N84" s="1001">
        <f t="shared" si="27"/>
        <v>0</v>
      </c>
      <c r="Z84" s="1845"/>
      <c r="AA84" s="1895"/>
      <c r="AG84" s="1058"/>
      <c r="AK84" s="1895"/>
    </row>
    <row r="85" spans="1:37" ht="36">
      <c r="A85" s="3070" t="s">
        <v>3261</v>
      </c>
      <c r="B85" s="1262">
        <f>估价对象房地状况!G17</f>
        <v>0</v>
      </c>
      <c r="C85" s="1887"/>
      <c r="D85" s="1002">
        <f t="shared" si="23"/>
        <v>0</v>
      </c>
      <c r="E85" s="705"/>
      <c r="F85" s="1675"/>
      <c r="G85" s="1000"/>
      <c r="H85" s="1003" t="str">
        <f t="shared" si="24"/>
        <v>——</v>
      </c>
      <c r="I85" s="3068">
        <v>0.1</v>
      </c>
      <c r="J85" s="1001">
        <f t="shared" si="25"/>
        <v>0</v>
      </c>
      <c r="K85" s="1001">
        <f t="shared" si="26"/>
        <v>0</v>
      </c>
      <c r="L85" s="1001">
        <v>0</v>
      </c>
      <c r="M85" s="1001">
        <f t="shared" si="27"/>
        <v>0</v>
      </c>
      <c r="N85" s="1001">
        <f t="shared" si="27"/>
        <v>0</v>
      </c>
      <c r="Z85" s="1845"/>
      <c r="AA85" s="1895"/>
      <c r="AG85" s="1058"/>
      <c r="AK85" s="1895"/>
    </row>
    <row r="86" spans="1:37" ht="14.25">
      <c r="A86" s="1970" t="s">
        <v>2067</v>
      </c>
      <c r="B86" s="1262">
        <f>估价对象房地状况!G22</f>
        <v>0</v>
      </c>
      <c r="C86" s="1887"/>
      <c r="D86" s="1002">
        <f t="shared" si="23"/>
        <v>0</v>
      </c>
      <c r="E86" s="705"/>
      <c r="F86" s="1675"/>
      <c r="G86" s="1000"/>
      <c r="H86" s="1003" t="str">
        <f t="shared" si="24"/>
        <v>——</v>
      </c>
      <c r="I86" s="3068">
        <v>0.05</v>
      </c>
      <c r="J86" s="1001">
        <f t="shared" si="25"/>
        <v>0</v>
      </c>
      <c r="K86" s="1001">
        <f t="shared" si="26"/>
        <v>0</v>
      </c>
      <c r="L86" s="1001">
        <v>0</v>
      </c>
      <c r="M86" s="1001">
        <f t="shared" si="27"/>
        <v>0</v>
      </c>
      <c r="N86" s="1001">
        <f t="shared" si="27"/>
        <v>0</v>
      </c>
      <c r="Z86" s="1845"/>
      <c r="AA86" s="1895"/>
      <c r="AG86" s="1058"/>
      <c r="AK86" s="1895"/>
    </row>
    <row r="87" spans="1:37" ht="24">
      <c r="A87" s="1970" t="s">
        <v>2059</v>
      </c>
      <c r="B87" s="1240">
        <f>估价对象房地状况!G19</f>
        <v>0</v>
      </c>
      <c r="C87" s="1887"/>
      <c r="D87" s="1002">
        <f t="shared" si="23"/>
        <v>0</v>
      </c>
      <c r="E87" s="705"/>
      <c r="F87" s="1675"/>
      <c r="G87" s="1000"/>
      <c r="H87" s="1003" t="str">
        <f t="shared" si="24"/>
        <v>——</v>
      </c>
      <c r="I87" s="3068">
        <v>0.06</v>
      </c>
      <c r="J87" s="1001">
        <f t="shared" si="25"/>
        <v>0</v>
      </c>
      <c r="K87" s="1001">
        <f t="shared" si="26"/>
        <v>0</v>
      </c>
      <c r="L87" s="1001">
        <v>0</v>
      </c>
      <c r="M87" s="1001">
        <f t="shared" si="27"/>
        <v>0</v>
      </c>
      <c r="N87" s="1001">
        <f t="shared" si="27"/>
        <v>0</v>
      </c>
    </row>
    <row r="88" spans="1:37" ht="24">
      <c r="A88" s="1970" t="s">
        <v>2060</v>
      </c>
      <c r="B88" s="1240">
        <f>估价对象房地状况!G20</f>
        <v>0</v>
      </c>
      <c r="C88" s="1887"/>
      <c r="D88" s="1002">
        <f t="shared" si="23"/>
        <v>0</v>
      </c>
      <c r="E88" s="705"/>
      <c r="F88" s="1675"/>
      <c r="G88" s="1000"/>
      <c r="H88" s="1003" t="str">
        <f t="shared" si="24"/>
        <v>——</v>
      </c>
      <c r="I88" s="3068">
        <v>0.12</v>
      </c>
      <c r="J88" s="1001">
        <f t="shared" si="25"/>
        <v>0</v>
      </c>
      <c r="K88" s="1001">
        <f t="shared" si="26"/>
        <v>0</v>
      </c>
      <c r="L88" s="1001">
        <v>0</v>
      </c>
      <c r="M88" s="1001">
        <f t="shared" si="27"/>
        <v>0</v>
      </c>
      <c r="N88" s="1001">
        <f t="shared" si="27"/>
        <v>0</v>
      </c>
    </row>
    <row r="89" spans="1:37" ht="24">
      <c r="A89" s="1970" t="s">
        <v>2057</v>
      </c>
      <c r="B89" s="1975" t="s">
        <v>2071</v>
      </c>
      <c r="C89" s="1887"/>
      <c r="D89" s="1002">
        <f t="shared" si="23"/>
        <v>0</v>
      </c>
      <c r="E89" s="705"/>
      <c r="F89" s="1675"/>
      <c r="G89" s="1000"/>
      <c r="H89" s="1003" t="str">
        <f t="shared" si="24"/>
        <v>——</v>
      </c>
      <c r="I89" s="3068">
        <v>0.06</v>
      </c>
      <c r="J89" s="1001">
        <f t="shared" si="25"/>
        <v>0</v>
      </c>
      <c r="K89" s="1001">
        <f t="shared" si="26"/>
        <v>0</v>
      </c>
      <c r="L89" s="1001">
        <v>0</v>
      </c>
      <c r="M89" s="1001">
        <f t="shared" si="27"/>
        <v>0</v>
      </c>
      <c r="N89" s="1001">
        <f t="shared" si="27"/>
        <v>0</v>
      </c>
    </row>
    <row r="90" spans="1:37" ht="15" thickBot="1">
      <c r="A90" s="1977" t="s">
        <v>2072</v>
      </c>
      <c r="B90" s="1982">
        <f>估价对象房地状况!G18</f>
        <v>0</v>
      </c>
      <c r="C90" s="1887"/>
      <c r="D90" s="1002">
        <f t="shared" si="23"/>
        <v>0</v>
      </c>
      <c r="E90" s="706"/>
      <c r="F90" s="1675"/>
      <c r="G90" s="1000"/>
      <c r="H90" s="1003" t="str">
        <f t="shared" si="24"/>
        <v>——</v>
      </c>
      <c r="I90" s="3069">
        <v>0.05</v>
      </c>
      <c r="J90" s="1001">
        <f t="shared" si="25"/>
        <v>0</v>
      </c>
      <c r="K90" s="1001">
        <f t="shared" si="26"/>
        <v>0</v>
      </c>
      <c r="L90" s="1001">
        <v>0</v>
      </c>
      <c r="M90" s="1001">
        <f t="shared" si="27"/>
        <v>0</v>
      </c>
      <c r="N90" s="1001">
        <f t="shared" si="27"/>
        <v>0</v>
      </c>
    </row>
    <row r="91" spans="1:37" ht="15">
      <c r="A91" s="3078" t="s">
        <v>2603</v>
      </c>
      <c r="B91" s="3079">
        <f>1+E93</f>
        <v>1</v>
      </c>
      <c r="C91" s="3072"/>
      <c r="D91" s="3073"/>
      <c r="E91" s="1675"/>
      <c r="F91" s="1675"/>
      <c r="G91" s="3074"/>
      <c r="H91" s="3075"/>
      <c r="I91" s="3076"/>
      <c r="J91" s="3077"/>
      <c r="K91" s="3077"/>
      <c r="L91" s="3077"/>
      <c r="M91" s="3077"/>
      <c r="N91" s="3077"/>
    </row>
    <row r="92" spans="1:37" ht="24.75">
      <c r="A92" s="3080" t="s">
        <v>3262</v>
      </c>
      <c r="B92" s="2310"/>
      <c r="C92" s="2310" t="s">
        <v>3271</v>
      </c>
      <c r="D92" s="2310" t="s">
        <v>3272</v>
      </c>
      <c r="E92" s="3052" t="s">
        <v>3273</v>
      </c>
      <c r="F92" s="3082" t="s">
        <v>3274</v>
      </c>
      <c r="G92" s="2310" t="s">
        <v>3275</v>
      </c>
      <c r="H92" s="3089" t="s">
        <v>3278</v>
      </c>
      <c r="I92" s="2310" t="s">
        <v>3279</v>
      </c>
      <c r="J92" s="2150" t="s">
        <v>3280</v>
      </c>
      <c r="K92" s="2150" t="s">
        <v>3281</v>
      </c>
      <c r="L92" s="2150" t="s">
        <v>3282</v>
      </c>
      <c r="M92" s="2150" t="s">
        <v>3283</v>
      </c>
      <c r="N92" s="2150" t="s">
        <v>3284</v>
      </c>
    </row>
    <row r="93" spans="1:37" ht="24">
      <c r="A93" s="3070" t="s">
        <v>3263</v>
      </c>
      <c r="B93" s="1221"/>
      <c r="C93" s="1887"/>
      <c r="D93" s="2310">
        <f>SUMIF($J$92:$N$92,C93,J93:N93)</f>
        <v>0</v>
      </c>
      <c r="E93" s="3083">
        <f>ROUND(SUM(D93:D101),4)</f>
        <v>0</v>
      </c>
      <c r="F93" s="1675" t="str">
        <f>IF(E2="公共服务",SUMIF(L1:L12,G2,N1:N12),"——")</f>
        <v>——</v>
      </c>
      <c r="G93" s="3074"/>
      <c r="H93" s="3119" t="str">
        <f>IFERROR(ROUNDDOWN($F$93*I93/2,4),"——")</f>
        <v>——</v>
      </c>
      <c r="I93" s="3068">
        <v>0.25</v>
      </c>
      <c r="J93" s="1912">
        <f t="shared" ref="J93:J101" si="28">K93+$G93</f>
        <v>0</v>
      </c>
      <c r="K93" s="1912">
        <f t="shared" ref="K93:K101" si="29">$L93+$G93</f>
        <v>0</v>
      </c>
      <c r="L93" s="1912">
        <v>0</v>
      </c>
      <c r="M93" s="1912">
        <f t="shared" ref="M93:N101" si="30">L93-$G93</f>
        <v>0</v>
      </c>
      <c r="N93" s="1912">
        <f t="shared" si="30"/>
        <v>0</v>
      </c>
    </row>
    <row r="94" spans="1:37" ht="14.25">
      <c r="A94" s="3080" t="s">
        <v>3264</v>
      </c>
      <c r="B94" s="3071">
        <f>估价对象房地状况!C18</f>
        <v>0</v>
      </c>
      <c r="C94" s="1887"/>
      <c r="D94" s="2310">
        <f t="shared" ref="D94:D101" si="31">SUMIF($J$60:$N$60,C94,J94:N94)</f>
        <v>0</v>
      </c>
      <c r="E94" s="3084"/>
      <c r="F94" s="1675"/>
      <c r="G94" s="3074"/>
      <c r="H94" s="3119" t="str">
        <f>IFERROR(ROUNDDOWN($F$93*I94/2,4),"——")</f>
        <v>——</v>
      </c>
      <c r="I94" s="3068">
        <v>0.26</v>
      </c>
      <c r="J94" s="1912">
        <f t="shared" si="28"/>
        <v>0</v>
      </c>
      <c r="K94" s="1912">
        <f t="shared" si="29"/>
        <v>0</v>
      </c>
      <c r="L94" s="1912">
        <v>0</v>
      </c>
      <c r="M94" s="1912">
        <f t="shared" si="30"/>
        <v>0</v>
      </c>
      <c r="N94" s="1912">
        <f t="shared" si="30"/>
        <v>0</v>
      </c>
    </row>
    <row r="95" spans="1:37" ht="36">
      <c r="A95" s="3070" t="s">
        <v>3260</v>
      </c>
      <c r="B95" s="3071">
        <f>估价对象房地状况!C19</f>
        <v>0</v>
      </c>
      <c r="C95" s="1887"/>
      <c r="D95" s="2310">
        <f t="shared" si="31"/>
        <v>0</v>
      </c>
      <c r="E95" s="3084"/>
      <c r="F95" s="1675"/>
      <c r="G95" s="3074"/>
      <c r="H95" s="3119" t="str">
        <f t="shared" ref="H95:H101" si="32">IFERROR(ROUNDDOWN($F$93*I95/2,4),"——")</f>
        <v>——</v>
      </c>
      <c r="I95" s="3068">
        <v>0.11</v>
      </c>
      <c r="J95" s="1912">
        <f t="shared" si="28"/>
        <v>0</v>
      </c>
      <c r="K95" s="1912">
        <f t="shared" si="29"/>
        <v>0</v>
      </c>
      <c r="L95" s="1912">
        <v>0</v>
      </c>
      <c r="M95" s="1912">
        <f t="shared" si="30"/>
        <v>0</v>
      </c>
      <c r="N95" s="1912">
        <f t="shared" si="30"/>
        <v>0</v>
      </c>
    </row>
    <row r="96" spans="1:37" ht="36.75">
      <c r="A96" s="3080" t="s">
        <v>3265</v>
      </c>
      <c r="B96" s="3086" t="s">
        <v>3276</v>
      </c>
      <c r="C96" s="1887"/>
      <c r="D96" s="2310">
        <f t="shared" si="31"/>
        <v>0</v>
      </c>
      <c r="E96" s="3084"/>
      <c r="F96" s="1675"/>
      <c r="G96" s="3074"/>
      <c r="H96" s="3119" t="str">
        <f t="shared" si="32"/>
        <v>——</v>
      </c>
      <c r="I96" s="3068">
        <v>0.05</v>
      </c>
      <c r="J96" s="1912">
        <f t="shared" si="28"/>
        <v>0</v>
      </c>
      <c r="K96" s="1912">
        <f t="shared" si="29"/>
        <v>0</v>
      </c>
      <c r="L96" s="1912">
        <v>0</v>
      </c>
      <c r="M96" s="1912">
        <f t="shared" si="30"/>
        <v>0</v>
      </c>
      <c r="N96" s="1912">
        <f t="shared" si="30"/>
        <v>0</v>
      </c>
    </row>
    <row r="97" spans="1:14" ht="24">
      <c r="A97" s="3080" t="s">
        <v>3266</v>
      </c>
      <c r="B97" s="3071">
        <f>估价对象房地状况!C24</f>
        <v>0</v>
      </c>
      <c r="C97" s="1887"/>
      <c r="D97" s="2310">
        <f t="shared" si="31"/>
        <v>0</v>
      </c>
      <c r="E97" s="3084"/>
      <c r="F97" s="1675"/>
      <c r="G97" s="3074"/>
      <c r="H97" s="3119" t="str">
        <f t="shared" si="32"/>
        <v>——</v>
      </c>
      <c r="I97" s="3068">
        <v>0.05</v>
      </c>
      <c r="J97" s="1912">
        <f t="shared" si="28"/>
        <v>0</v>
      </c>
      <c r="K97" s="1912">
        <f t="shared" si="29"/>
        <v>0</v>
      </c>
      <c r="L97" s="1912">
        <v>0</v>
      </c>
      <c r="M97" s="1912">
        <f t="shared" si="30"/>
        <v>0</v>
      </c>
      <c r="N97" s="1912">
        <f t="shared" si="30"/>
        <v>0</v>
      </c>
    </row>
    <row r="98" spans="1:14" ht="24">
      <c r="A98" s="3080" t="s">
        <v>3267</v>
      </c>
      <c r="B98" s="3087" t="s">
        <v>3277</v>
      </c>
      <c r="C98" s="1887"/>
      <c r="D98" s="2310">
        <f t="shared" si="31"/>
        <v>0</v>
      </c>
      <c r="E98" s="3084"/>
      <c r="F98" s="1675"/>
      <c r="G98" s="3074"/>
      <c r="H98" s="3119" t="str">
        <f t="shared" si="32"/>
        <v>——</v>
      </c>
      <c r="I98" s="3068">
        <v>0.06</v>
      </c>
      <c r="J98" s="1912">
        <f t="shared" si="28"/>
        <v>0</v>
      </c>
      <c r="K98" s="1912">
        <f t="shared" si="29"/>
        <v>0</v>
      </c>
      <c r="L98" s="1912">
        <v>0</v>
      </c>
      <c r="M98" s="1912">
        <f t="shared" si="30"/>
        <v>0</v>
      </c>
      <c r="N98" s="1912">
        <f t="shared" si="30"/>
        <v>0</v>
      </c>
    </row>
    <row r="99" spans="1:14" ht="24">
      <c r="A99" s="3080" t="s">
        <v>3268</v>
      </c>
      <c r="B99" s="3071">
        <f>估价对象房地状况!C21</f>
        <v>0</v>
      </c>
      <c r="C99" s="1887"/>
      <c r="D99" s="2310">
        <f t="shared" si="31"/>
        <v>0</v>
      </c>
      <c r="E99" s="3084"/>
      <c r="F99" s="1675"/>
      <c r="G99" s="3074"/>
      <c r="H99" s="3119" t="str">
        <f t="shared" si="32"/>
        <v>——</v>
      </c>
      <c r="I99" s="3068">
        <v>0.06</v>
      </c>
      <c r="J99" s="1912">
        <f t="shared" si="28"/>
        <v>0</v>
      </c>
      <c r="K99" s="1912">
        <f t="shared" si="29"/>
        <v>0</v>
      </c>
      <c r="L99" s="1912">
        <v>0</v>
      </c>
      <c r="M99" s="1912">
        <f t="shared" si="30"/>
        <v>0</v>
      </c>
      <c r="N99" s="1912">
        <f t="shared" si="30"/>
        <v>0</v>
      </c>
    </row>
    <row r="100" spans="1:14" ht="24">
      <c r="A100" s="3080" t="s">
        <v>3269</v>
      </c>
      <c r="B100" s="3071">
        <f>估价对象房地状况!C22</f>
        <v>0</v>
      </c>
      <c r="C100" s="1887"/>
      <c r="D100" s="2310">
        <f t="shared" si="31"/>
        <v>0</v>
      </c>
      <c r="E100" s="3084"/>
      <c r="F100" s="1675"/>
      <c r="G100" s="3074"/>
      <c r="H100" s="3119" t="str">
        <f t="shared" si="32"/>
        <v>——</v>
      </c>
      <c r="I100" s="3068">
        <v>0.09</v>
      </c>
      <c r="J100" s="1912">
        <f t="shared" si="28"/>
        <v>0</v>
      </c>
      <c r="K100" s="1912">
        <f t="shared" si="29"/>
        <v>0</v>
      </c>
      <c r="L100" s="1912">
        <v>0</v>
      </c>
      <c r="M100" s="1912">
        <f t="shared" si="30"/>
        <v>0</v>
      </c>
      <c r="N100" s="1912">
        <f t="shared" si="30"/>
        <v>0</v>
      </c>
    </row>
    <row r="101" spans="1:14" ht="24.75" thickBot="1">
      <c r="A101" s="3081" t="s">
        <v>3270</v>
      </c>
      <c r="B101" s="3088">
        <f>估价对象房地状况!C20</f>
        <v>0</v>
      </c>
      <c r="C101" s="1887"/>
      <c r="D101" s="2310">
        <f t="shared" si="31"/>
        <v>0</v>
      </c>
      <c r="E101" s="3085"/>
      <c r="F101" s="1675"/>
      <c r="G101" s="3074"/>
      <c r="H101" s="3119" t="str">
        <f t="shared" si="32"/>
        <v>——</v>
      </c>
      <c r="I101" s="3069">
        <v>7.0000000000000007E-2</v>
      </c>
      <c r="J101" s="1912">
        <f t="shared" si="28"/>
        <v>0</v>
      </c>
      <c r="K101" s="1912">
        <f t="shared" si="29"/>
        <v>0</v>
      </c>
      <c r="L101" s="1912">
        <v>0</v>
      </c>
      <c r="M101" s="1912">
        <f t="shared" si="30"/>
        <v>0</v>
      </c>
      <c r="N101" s="1912">
        <f t="shared" si="30"/>
        <v>0</v>
      </c>
    </row>
    <row r="103" spans="1:14">
      <c r="A103" s="3409" t="s">
        <v>3285</v>
      </c>
      <c r="B103" s="3409"/>
      <c r="C103" s="3409"/>
      <c r="D103" s="3409"/>
      <c r="E103" s="3409"/>
      <c r="F103" s="3409"/>
      <c r="G103" s="3409"/>
      <c r="H103" s="3409"/>
      <c r="I103" s="3409"/>
      <c r="J103" s="3409"/>
      <c r="K103" s="1667"/>
      <c r="L103" s="1667"/>
      <c r="M103" s="1667"/>
      <c r="N103" s="1667"/>
    </row>
    <row r="104" spans="1:14">
      <c r="A104" s="3410" t="s">
        <v>3286</v>
      </c>
      <c r="B104" s="3410" t="s">
        <v>3287</v>
      </c>
      <c r="C104" s="3090" t="s">
        <v>3288</v>
      </c>
      <c r="D104" s="3091"/>
      <c r="E104" s="3091"/>
      <c r="F104" s="3091"/>
      <c r="G104" s="3091"/>
      <c r="H104" s="3091"/>
      <c r="I104" s="3091"/>
      <c r="J104" s="3092"/>
      <c r="K104" s="3093"/>
      <c r="L104" s="3093"/>
      <c r="M104" s="3093"/>
      <c r="N104" s="3093"/>
    </row>
    <row r="105" spans="1:14">
      <c r="A105" s="3410"/>
      <c r="B105" s="3410"/>
      <c r="C105" s="3094" t="s">
        <v>3289</v>
      </c>
      <c r="D105" s="3094" t="s">
        <v>3290</v>
      </c>
      <c r="E105" s="3094" t="s">
        <v>3291</v>
      </c>
      <c r="F105" s="3094" t="s">
        <v>3292</v>
      </c>
      <c r="G105" s="3094" t="s">
        <v>3293</v>
      </c>
      <c r="H105" s="3094" t="s">
        <v>3294</v>
      </c>
      <c r="I105" s="3094" t="s">
        <v>3295</v>
      </c>
      <c r="J105" s="3094" t="s">
        <v>3296</v>
      </c>
      <c r="K105" s="3094" t="s">
        <v>3297</v>
      </c>
      <c r="L105" s="3094" t="s">
        <v>3298</v>
      </c>
      <c r="M105" s="3094" t="s">
        <v>3299</v>
      </c>
      <c r="N105" s="3094" t="s">
        <v>3300</v>
      </c>
    </row>
    <row r="106" spans="1:14">
      <c r="A106" s="3396" t="s">
        <v>3301</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397"/>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397"/>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397"/>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397"/>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397"/>
      <c r="B111" s="3094" t="s">
        <v>3259</v>
      </c>
      <c r="C111" s="3095">
        <f>$I$3</f>
        <v>1</v>
      </c>
      <c r="D111" s="3095">
        <f t="shared" ref="D111:M111" si="33">$I$3</f>
        <v>1</v>
      </c>
      <c r="E111" s="3095">
        <f t="shared" si="33"/>
        <v>1</v>
      </c>
      <c r="F111" s="3095">
        <f t="shared" si="33"/>
        <v>1</v>
      </c>
      <c r="G111" s="3095">
        <f t="shared" si="33"/>
        <v>1</v>
      </c>
      <c r="H111" s="3095">
        <f t="shared" si="33"/>
        <v>1</v>
      </c>
      <c r="I111" s="3095">
        <f t="shared" si="33"/>
        <v>1</v>
      </c>
      <c r="J111" s="3095">
        <f t="shared" si="33"/>
        <v>1</v>
      </c>
      <c r="K111" s="3095">
        <f t="shared" si="33"/>
        <v>1</v>
      </c>
      <c r="L111" s="3095">
        <f t="shared" si="33"/>
        <v>1</v>
      </c>
      <c r="M111" s="3095">
        <f t="shared" si="33"/>
        <v>1</v>
      </c>
      <c r="N111" s="3095">
        <f>$I$3</f>
        <v>1</v>
      </c>
    </row>
    <row r="112" spans="1:14">
      <c r="A112" s="3398"/>
      <c r="B112" s="3094">
        <v>6</v>
      </c>
      <c r="C112" s="3089">
        <f>(-0.5556*(C111^2)-0.2719*C111+8944)*(10^(-4))</f>
        <v>0.89431725000000006</v>
      </c>
      <c r="D112" s="3089">
        <f>(-0.5556*(D111^2)-0.2719*D111+8944)*(10^(-4))</f>
        <v>0.89431725000000006</v>
      </c>
      <c r="E112" s="3089">
        <f>(-0.7912*(E111^2)-11.3794*E111+8482)*(10^(-4))</f>
        <v>0.84698294000000007</v>
      </c>
      <c r="F112" s="3089">
        <f t="shared" ref="F112:I112" si="34">(-0.7912*(F111^2)-11.3794*F111+8482)*(10^(-4))</f>
        <v>0.84698294000000007</v>
      </c>
      <c r="G112" s="3089">
        <f t="shared" si="34"/>
        <v>0.84698294000000007</v>
      </c>
      <c r="H112" s="3089">
        <f t="shared" si="34"/>
        <v>0.84698294000000007</v>
      </c>
      <c r="I112" s="3089">
        <f t="shared" si="34"/>
        <v>0.84698294000000007</v>
      </c>
      <c r="J112" s="3089">
        <f>(-0.989*(J111^2)-63.78*J111+7771)*(10^(-4))</f>
        <v>0.77062310000000001</v>
      </c>
      <c r="K112" s="3089">
        <f t="shared" ref="K112:N112" si="35">(-0.989*(K111^2)-63.78*K111+7771)*(10^(-4))</f>
        <v>0.77062310000000001</v>
      </c>
      <c r="L112" s="3089">
        <f t="shared" si="35"/>
        <v>0.77062310000000001</v>
      </c>
      <c r="M112" s="3089">
        <f t="shared" si="35"/>
        <v>0.77062310000000001</v>
      </c>
      <c r="N112" s="3089">
        <f t="shared" si="35"/>
        <v>0.77062310000000001</v>
      </c>
    </row>
    <row r="113" spans="1:14">
      <c r="A113" s="3399" t="s">
        <v>3302</v>
      </c>
      <c r="B113" s="3399"/>
      <c r="C113" s="3399"/>
      <c r="D113" s="3399"/>
      <c r="E113" s="3399"/>
      <c r="F113" s="3399"/>
      <c r="G113" s="3399"/>
      <c r="H113" s="3399"/>
      <c r="I113" s="3399"/>
      <c r="J113" s="3399"/>
      <c r="K113" s="3096"/>
      <c r="L113" s="3096"/>
      <c r="M113" s="3096"/>
      <c r="N113" s="3096"/>
    </row>
    <row r="114" spans="1:14">
      <c r="A114" s="3097"/>
      <c r="B114" s="3097"/>
      <c r="C114" s="3097"/>
      <c r="D114" s="3097"/>
      <c r="E114" s="3097"/>
      <c r="F114" s="3097"/>
      <c r="G114" s="3097"/>
      <c r="H114" s="3097"/>
      <c r="I114" s="3097"/>
      <c r="J114" s="3097"/>
      <c r="K114" s="1964"/>
      <c r="L114" s="3097"/>
      <c r="M114" s="3097"/>
      <c r="N114" s="3097"/>
    </row>
    <row r="115" spans="1:14" ht="13.5" thickBot="1">
      <c r="A115" s="3097"/>
      <c r="B115" s="3097"/>
      <c r="C115" s="3097"/>
      <c r="D115" s="3097"/>
      <c r="E115" s="3097"/>
      <c r="F115" s="3097"/>
      <c r="G115" s="3097"/>
      <c r="H115" s="3097"/>
      <c r="I115" s="3097"/>
      <c r="J115" s="3097"/>
      <c r="K115" s="1964"/>
      <c r="L115" s="3097"/>
      <c r="M115" s="3097"/>
      <c r="N115" s="3097"/>
    </row>
    <row r="116" spans="1:14" ht="25.5" thickBot="1">
      <c r="A116" s="3098" t="s">
        <v>3303</v>
      </c>
      <c r="B116" s="3114">
        <f>G3</f>
        <v>5</v>
      </c>
      <c r="C116" s="3099" t="s">
        <v>3304</v>
      </c>
      <c r="D116" s="3100">
        <f>SUMPRODUCT((A118:A122=F116)*(B117:M117=H116)*B118:M122)</f>
        <v>0.879</v>
      </c>
      <c r="E116" s="162" t="s">
        <v>3305</v>
      </c>
      <c r="F116" s="3101" t="str">
        <f>E2</f>
        <v>商业</v>
      </c>
      <c r="G116" s="162" t="s">
        <v>3306</v>
      </c>
      <c r="H116" s="3101" t="str">
        <f>G2</f>
        <v>三级</v>
      </c>
      <c r="I116" s="162"/>
      <c r="J116" s="3102"/>
      <c r="K116" s="3102"/>
      <c r="L116" s="3102"/>
      <c r="M116" s="3102"/>
      <c r="N116" s="3097"/>
    </row>
    <row r="117" spans="1:14">
      <c r="A117" s="3103"/>
      <c r="B117" s="3104" t="s">
        <v>3307</v>
      </c>
      <c r="C117" s="3104" t="s">
        <v>3308</v>
      </c>
      <c r="D117" s="3104" t="s">
        <v>3309</v>
      </c>
      <c r="E117" s="3105" t="s">
        <v>3310</v>
      </c>
      <c r="F117" s="3105" t="s">
        <v>3311</v>
      </c>
      <c r="G117" s="3105" t="s">
        <v>3312</v>
      </c>
      <c r="H117" s="3106" t="s">
        <v>3313</v>
      </c>
      <c r="I117" s="3106" t="s">
        <v>3314</v>
      </c>
      <c r="J117" s="3107" t="s">
        <v>3315</v>
      </c>
      <c r="K117" s="3107" t="s">
        <v>3316</v>
      </c>
      <c r="L117" s="3107" t="s">
        <v>3317</v>
      </c>
      <c r="M117" s="3108" t="s">
        <v>3318</v>
      </c>
      <c r="N117" s="3097"/>
    </row>
    <row r="118" spans="1:14">
      <c r="A118" s="3057" t="s">
        <v>3319</v>
      </c>
      <c r="B118" s="3089">
        <f>ROUND(0.9968-0.011*B116,4)</f>
        <v>0.94179999999999997</v>
      </c>
      <c r="C118" s="3089">
        <f>B118</f>
        <v>0.94179999999999997</v>
      </c>
      <c r="D118" s="3089">
        <f>ROUND(0.949-0.014*B116,4)</f>
        <v>0.879</v>
      </c>
      <c r="E118" s="3089">
        <f>D118</f>
        <v>0.879</v>
      </c>
      <c r="F118" s="3089">
        <f>E118</f>
        <v>0.879</v>
      </c>
      <c r="G118" s="3089">
        <f>F118</f>
        <v>0.879</v>
      </c>
      <c r="H118" s="3089">
        <f>G118</f>
        <v>0.879</v>
      </c>
      <c r="I118" s="3089">
        <f>ROUND(0.8486-0.018*B116,4)</f>
        <v>0.75860000000000005</v>
      </c>
      <c r="J118" s="3089">
        <f t="shared" ref="J118:M122" si="36">I118</f>
        <v>0.75860000000000005</v>
      </c>
      <c r="K118" s="3089">
        <f t="shared" si="36"/>
        <v>0.75860000000000005</v>
      </c>
      <c r="L118" s="3089">
        <f t="shared" si="36"/>
        <v>0.75860000000000005</v>
      </c>
      <c r="M118" s="3109">
        <f t="shared" si="36"/>
        <v>0.75860000000000005</v>
      </c>
      <c r="N118" s="3097"/>
    </row>
    <row r="119" spans="1:14">
      <c r="A119" s="3057" t="s">
        <v>3320</v>
      </c>
      <c r="B119" s="3089">
        <f>ROUND(0.993-0.0112*B116,4)</f>
        <v>0.93700000000000006</v>
      </c>
      <c r="C119" s="3089">
        <f>B119</f>
        <v>0.93700000000000006</v>
      </c>
      <c r="D119" s="3089">
        <f>ROUND(0.9415-0.0142*B116,4)</f>
        <v>0.87050000000000005</v>
      </c>
      <c r="E119" s="3089">
        <f t="shared" ref="E119:H120" si="37">D119</f>
        <v>0.87050000000000005</v>
      </c>
      <c r="F119" s="3089">
        <f t="shared" si="37"/>
        <v>0.87050000000000005</v>
      </c>
      <c r="G119" s="3089">
        <f t="shared" si="37"/>
        <v>0.87050000000000005</v>
      </c>
      <c r="H119" s="3089">
        <f t="shared" si="37"/>
        <v>0.87050000000000005</v>
      </c>
      <c r="I119" s="3089">
        <f>ROUND(0.838-0.0182*B116,4)</f>
        <v>0.747</v>
      </c>
      <c r="J119" s="3089">
        <f t="shared" si="36"/>
        <v>0.747</v>
      </c>
      <c r="K119" s="3089">
        <f t="shared" si="36"/>
        <v>0.747</v>
      </c>
      <c r="L119" s="3089">
        <f t="shared" si="36"/>
        <v>0.747</v>
      </c>
      <c r="M119" s="3109">
        <f t="shared" si="36"/>
        <v>0.747</v>
      </c>
      <c r="N119" s="3097"/>
    </row>
    <row r="120" spans="1:14">
      <c r="A120" s="3057" t="s">
        <v>3321</v>
      </c>
      <c r="B120" s="3089">
        <f>ROUND(0.9448-0.0115*B116,4)</f>
        <v>0.88729999999999998</v>
      </c>
      <c r="C120" s="3089">
        <f>B120</f>
        <v>0.88729999999999998</v>
      </c>
      <c r="D120" s="3089">
        <f>ROUND(0.937-0.0145*B116,4)</f>
        <v>0.86450000000000005</v>
      </c>
      <c r="E120" s="3089">
        <f t="shared" si="37"/>
        <v>0.86450000000000005</v>
      </c>
      <c r="F120" s="3089">
        <f t="shared" si="37"/>
        <v>0.86450000000000005</v>
      </c>
      <c r="G120" s="3089">
        <f t="shared" si="37"/>
        <v>0.86450000000000005</v>
      </c>
      <c r="H120" s="3089">
        <f t="shared" si="37"/>
        <v>0.86450000000000005</v>
      </c>
      <c r="I120" s="3089">
        <f>ROUND(0.7965-0.0185*B116,4)</f>
        <v>0.70399999999999996</v>
      </c>
      <c r="J120" s="3089">
        <f t="shared" si="36"/>
        <v>0.70399999999999996</v>
      </c>
      <c r="K120" s="3089">
        <f t="shared" si="36"/>
        <v>0.70399999999999996</v>
      </c>
      <c r="L120" s="3089">
        <f t="shared" si="36"/>
        <v>0.70399999999999996</v>
      </c>
      <c r="M120" s="3109">
        <f t="shared" si="36"/>
        <v>0.70399999999999996</v>
      </c>
      <c r="N120" s="3097"/>
    </row>
    <row r="121" spans="1:14" ht="13.5" thickBot="1">
      <c r="A121" s="3110" t="s">
        <v>3322</v>
      </c>
      <c r="B121" s="3111">
        <f>ROUND(0.7836-0.012*B116,4)</f>
        <v>0.72360000000000002</v>
      </c>
      <c r="C121" s="3111">
        <f>B121</f>
        <v>0.72360000000000002</v>
      </c>
      <c r="D121" s="3111">
        <f>ROUND(0.753-0.015*B116,4)</f>
        <v>0.67800000000000005</v>
      </c>
      <c r="E121" s="3111">
        <f>D121</f>
        <v>0.67800000000000005</v>
      </c>
      <c r="F121" s="3111">
        <f>E121</f>
        <v>0.67800000000000005</v>
      </c>
      <c r="G121" s="3111">
        <f>ROUND(0.6612-0.018*B116,4)</f>
        <v>0.57120000000000004</v>
      </c>
      <c r="H121" s="3111">
        <f>G121</f>
        <v>0.57120000000000004</v>
      </c>
      <c r="I121" s="3111">
        <f>ROUND(0.5905-0.019*B116,4)</f>
        <v>0.4955</v>
      </c>
      <c r="J121" s="3111">
        <f t="shared" si="36"/>
        <v>0.4955</v>
      </c>
      <c r="K121" s="3111">
        <f t="shared" si="36"/>
        <v>0.4955</v>
      </c>
      <c r="L121" s="3111">
        <f t="shared" si="36"/>
        <v>0.4955</v>
      </c>
      <c r="M121" s="3112">
        <f t="shared" si="36"/>
        <v>0.4955</v>
      </c>
      <c r="N121" s="3097"/>
    </row>
    <row r="122" spans="1:14">
      <c r="A122" s="3113" t="s">
        <v>2603</v>
      </c>
      <c r="B122" s="3089">
        <f>ROUND(0.9404-0.0106*B116,4)</f>
        <v>0.88739999999999997</v>
      </c>
      <c r="C122" s="3089">
        <f>B122</f>
        <v>0.88739999999999997</v>
      </c>
      <c r="D122" s="3089">
        <f>ROUND(0.8955-0.0135*B116,4)</f>
        <v>0.82799999999999996</v>
      </c>
      <c r="E122" s="3089">
        <f t="shared" ref="E122:H122" si="38">D122</f>
        <v>0.82799999999999996</v>
      </c>
      <c r="F122" s="3089">
        <f t="shared" si="38"/>
        <v>0.82799999999999996</v>
      </c>
      <c r="G122" s="3089">
        <f t="shared" si="38"/>
        <v>0.82799999999999996</v>
      </c>
      <c r="H122" s="3089">
        <f t="shared" si="38"/>
        <v>0.82799999999999996</v>
      </c>
      <c r="I122" s="3089">
        <f>ROUND(0.7632-0.0166*B116,4)</f>
        <v>0.68020000000000003</v>
      </c>
      <c r="J122" s="3089">
        <f t="shared" si="36"/>
        <v>0.68020000000000003</v>
      </c>
      <c r="K122" s="3089">
        <f t="shared" si="36"/>
        <v>0.68020000000000003</v>
      </c>
      <c r="L122" s="3089">
        <f t="shared" si="36"/>
        <v>0.68020000000000003</v>
      </c>
      <c r="M122" s="3109">
        <f t="shared" si="36"/>
        <v>0.68020000000000003</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2" priority="6" stopIfTrue="1" operator="notEqual">
      <formula>"——"</formula>
    </cfRule>
  </conditionalFormatting>
  <conditionalFormatting sqref="F61">
    <cfRule type="cellIs" dxfId="131" priority="5" stopIfTrue="1" operator="notEqual">
      <formula>"——"</formula>
    </cfRule>
  </conditionalFormatting>
  <conditionalFormatting sqref="F72">
    <cfRule type="cellIs" dxfId="130" priority="4" stopIfTrue="1" operator="notEqual">
      <formula>"——"</formula>
    </cfRule>
  </conditionalFormatting>
  <conditionalFormatting sqref="F83">
    <cfRule type="cellIs" dxfId="129" priority="3" stopIfTrue="1" operator="notEqual">
      <formula>"——"</formula>
    </cfRule>
  </conditionalFormatting>
  <conditionalFormatting sqref="H50:H58 H61:H69 H72:H80 H83:H91">
    <cfRule type="cellIs" dxfId="128" priority="2" operator="notEqual">
      <formula>"——"</formula>
    </cfRule>
  </conditionalFormatting>
  <conditionalFormatting sqref="H93:H101">
    <cfRule type="cellIs" dxfId="127"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zoomScale="85" zoomScaleNormal="70" zoomScaleSheetLayoutView="85" workbookViewId="0">
      <selection activeCell="F5" sqref="F5"/>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6"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3522</v>
      </c>
      <c r="D1" s="1271" t="s">
        <v>43</v>
      </c>
      <c r="E1" s="1272" t="s">
        <v>678</v>
      </c>
      <c r="F1" s="999">
        <f ca="1">J53</f>
        <v>27.86</v>
      </c>
      <c r="G1" s="1286">
        <f>MATCH(C1,'数据-取费表'!A6:A16,0)+5</f>
        <v>6</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204432</v>
      </c>
      <c r="C2" s="1289" t="s">
        <v>805</v>
      </c>
      <c r="D2" s="1289"/>
      <c r="E2" s="1295"/>
      <c r="F2" s="1296"/>
      <c r="G2" s="2479"/>
      <c r="H2" s="2469"/>
      <c r="I2" s="2469"/>
      <c r="J2" s="2469"/>
      <c r="K2" s="2470"/>
      <c r="L2" s="2469"/>
      <c r="M2" s="2469"/>
    </row>
    <row r="3" spans="1:37" ht="18" customHeight="1" thickBot="1">
      <c r="A3" s="1297" t="s">
        <v>806</v>
      </c>
      <c r="B3" s="1298">
        <f ca="1">IF(ISERROR(B2*10000/F43),0,ROUND(B2*10000/F43,0))</f>
        <v>19678</v>
      </c>
      <c r="C3" s="1289" t="s">
        <v>807</v>
      </c>
      <c r="D3" s="1289"/>
      <c r="E3" s="1295"/>
      <c r="F3" s="1296"/>
      <c r="G3" s="2479"/>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15377</v>
      </c>
      <c r="D5" s="1273" t="s">
        <v>693</v>
      </c>
      <c r="E5" s="1008"/>
      <c r="F5" s="1009"/>
      <c r="G5" s="1292"/>
      <c r="H5" s="291">
        <v>1</v>
      </c>
      <c r="I5" s="292" t="s">
        <v>692</v>
      </c>
      <c r="J5" s="1007">
        <f ca="1">J6+J10+J12</f>
        <v>0</v>
      </c>
      <c r="K5" s="1273" t="s">
        <v>693</v>
      </c>
      <c r="L5" s="1008"/>
      <c r="M5" s="1009"/>
    </row>
    <row r="6" spans="1:37" ht="18" customHeight="1">
      <c r="A6" s="1006" t="s">
        <v>398</v>
      </c>
      <c r="B6" s="3417" t="s">
        <v>694</v>
      </c>
      <c r="C6" s="1011">
        <f ca="1">ROUND(F6*F8*F7*(1-F9)/10000,0)</f>
        <v>15358</v>
      </c>
      <c r="D6" s="147" t="s">
        <v>2109</v>
      </c>
      <c r="E6" s="294" t="s">
        <v>696</v>
      </c>
      <c r="F6" s="295">
        <f ca="1">INDIRECT("'数据-取费表'!u"&amp;$G$1)</f>
        <v>4.5</v>
      </c>
      <c r="G6" s="1292"/>
      <c r="H6" s="1006" t="s">
        <v>398</v>
      </c>
      <c r="I6" s="3417" t="s">
        <v>694</v>
      </c>
      <c r="J6" s="293">
        <f ca="1">ROUND(M6*M8*M7*(1-M9)/10000,0)</f>
        <v>0</v>
      </c>
      <c r="K6" s="147" t="s">
        <v>2108</v>
      </c>
      <c r="L6" s="294" t="s">
        <v>696</v>
      </c>
      <c r="M6" s="295">
        <f ca="1">INDIRECT("'数据-取费表'!z"&amp;$G$1)</f>
        <v>0</v>
      </c>
    </row>
    <row r="7" spans="1:37" ht="18" customHeight="1">
      <c r="A7" s="1010"/>
      <c r="B7" s="3418"/>
      <c r="C7" s="1012"/>
      <c r="D7" s="299"/>
      <c r="E7" s="1013" t="s">
        <v>697</v>
      </c>
      <c r="F7" s="295">
        <f ca="1">IF(INDIRECT("'数据-取费表'!ah"&amp;$G$1)="",INDIRECT("'数据-取费表'!k"&amp;$G$1),INDIRECT("'数据-取费表'!ah"&amp;$G$1))</f>
        <v>103889.93000000002</v>
      </c>
      <c r="G7" s="1292"/>
      <c r="H7" s="296"/>
      <c r="I7" s="3418"/>
      <c r="J7" s="298"/>
      <c r="K7" s="299"/>
      <c r="L7" s="294" t="s">
        <v>697</v>
      </c>
      <c r="M7" s="295">
        <f ca="1">F7</f>
        <v>103889.93000000002</v>
      </c>
    </row>
    <row r="8" spans="1:37" ht="18" customHeight="1">
      <c r="A8" s="296"/>
      <c r="B8" s="3418"/>
      <c r="C8" s="298"/>
      <c r="D8" s="299"/>
      <c r="E8" s="294" t="s">
        <v>698</v>
      </c>
      <c r="F8" s="295">
        <f ca="1">INDIRECT("'数据-取费表'!ai"&amp;$G$1)</f>
        <v>365</v>
      </c>
      <c r="G8" s="1292"/>
      <c r="H8" s="296"/>
      <c r="I8" s="3418"/>
      <c r="J8" s="298"/>
      <c r="K8" s="299"/>
      <c r="L8" s="294" t="s">
        <v>698</v>
      </c>
      <c r="M8" s="295">
        <f ca="1">INDIRECT("'数据-取费表'!ai"&amp;$G$1)</f>
        <v>365</v>
      </c>
    </row>
    <row r="9" spans="1:37" ht="18" customHeight="1">
      <c r="A9" s="296"/>
      <c r="B9" s="3419"/>
      <c r="C9" s="298"/>
      <c r="D9" s="299"/>
      <c r="E9" s="294" t="s">
        <v>699</v>
      </c>
      <c r="F9" s="304">
        <f ca="1">INDIRECT("'数据-取费表'!w"&amp;$G$1)</f>
        <v>0.1</v>
      </c>
      <c r="G9" s="1292"/>
      <c r="H9" s="296"/>
      <c r="I9" s="3419"/>
      <c r="J9" s="298"/>
      <c r="K9" s="299"/>
      <c r="L9" s="305" t="s">
        <v>699</v>
      </c>
      <c r="M9" s="306">
        <f ca="1">INDIRECT("'数据-取费表'!ab"&amp;$G$1)</f>
        <v>0</v>
      </c>
    </row>
    <row r="10" spans="1:37" ht="18" customHeight="1">
      <c r="A10" s="1006" t="s">
        <v>402</v>
      </c>
      <c r="B10" s="1274" t="s">
        <v>700</v>
      </c>
      <c r="C10" s="308">
        <f ca="1">ROUND(IF(F10="押一",C6/12*F11,IF(F10="押二",C6/12*2*F11,IF(F10="押三",C6/12*3*F11,C11*F11))),0)</f>
        <v>19</v>
      </c>
      <c r="D10" s="150" t="s">
        <v>2117</v>
      </c>
      <c r="E10" s="305" t="s">
        <v>701</v>
      </c>
      <c r="F10" s="1053" t="s">
        <v>3537</v>
      </c>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84509</v>
      </c>
      <c r="D13" s="1018" t="s">
        <v>705</v>
      </c>
      <c r="E13" s="1018" t="s">
        <v>706</v>
      </c>
      <c r="F13" s="1019">
        <f ca="1">INDIRECT("'数据-取费表'!y"&amp;$G$1)</f>
        <v>0.87</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62334</v>
      </c>
      <c r="D14" s="1257" t="s">
        <v>708</v>
      </c>
      <c r="E14" s="1255"/>
      <c r="F14" s="311"/>
      <c r="G14" s="1292"/>
      <c r="H14" s="928" t="s">
        <v>398</v>
      </c>
      <c r="I14" s="294" t="s">
        <v>709</v>
      </c>
      <c r="J14" s="21">
        <f ca="1">C29</f>
        <v>97137</v>
      </c>
      <c r="K14" s="12"/>
      <c r="L14" s="759"/>
      <c r="M14" s="760"/>
    </row>
    <row r="15" spans="1:37" s="1304" customFormat="1" ht="18" customHeight="1" thickBot="1">
      <c r="A15" s="928" t="s">
        <v>399</v>
      </c>
      <c r="B15" s="294" t="s">
        <v>710</v>
      </c>
      <c r="C15" s="21">
        <f ca="1">ROUND(C14*F15,0)</f>
        <v>3117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291</v>
      </c>
      <c r="K16" s="1024" t="s">
        <v>715</v>
      </c>
      <c r="L16" s="1025"/>
      <c r="M16" s="1009"/>
    </row>
    <row r="17" spans="1:37" s="1304" customFormat="1" ht="18" customHeight="1">
      <c r="A17" s="928" t="s">
        <v>681</v>
      </c>
      <c r="B17" s="294" t="s">
        <v>716</v>
      </c>
      <c r="C17" s="21">
        <f ca="1">ROUND(F17*(F43+INDIRECT("'数据-取费表'!S"&amp;$G$1))/10000,0)</f>
        <v>2078</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1247</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68776</v>
      </c>
      <c r="D19" s="123" t="s">
        <v>726</v>
      </c>
      <c r="E19" s="1269"/>
      <c r="F19" s="23"/>
      <c r="G19" s="1292"/>
      <c r="H19" s="928" t="s">
        <v>399</v>
      </c>
      <c r="I19" s="294" t="s">
        <v>727</v>
      </c>
      <c r="J19" s="21">
        <f ca="1">IF(K19="按租金收入计税",ROUND(J6*M19/(1+'数据-取费表'!C42),2),ROUND(C29*M19*0.7,2))</f>
        <v>0</v>
      </c>
      <c r="K19" s="1278" t="s">
        <v>3326</v>
      </c>
      <c r="L19" s="294" t="s">
        <v>712</v>
      </c>
      <c r="M19" s="314">
        <f>IF(K19="按租金收入计税",'数据-取费表'!B51,'数据-取费表'!B50)</f>
        <v>0.12</v>
      </c>
    </row>
    <row r="20" spans="1:37" s="1304" customFormat="1" ht="18" customHeight="1">
      <c r="A20" s="928" t="s">
        <v>402</v>
      </c>
      <c r="B20" s="294" t="s">
        <v>728</v>
      </c>
      <c r="C20" s="21">
        <f ca="1">ROUND(C19*F20,0)</f>
        <v>2063</v>
      </c>
      <c r="D20" s="315" t="s">
        <v>729</v>
      </c>
      <c r="E20" s="294" t="s">
        <v>712</v>
      </c>
      <c r="F20" s="314">
        <f>'数据-取费表'!B37</f>
        <v>0.03</v>
      </c>
      <c r="G20" s="1303"/>
      <c r="H20" s="928" t="s">
        <v>680</v>
      </c>
      <c r="I20" s="147" t="s">
        <v>730</v>
      </c>
      <c r="J20" s="22">
        <f ca="1">ROUND(M20*M21/10000,2)</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291.41000000000003</v>
      </c>
      <c r="K22" s="1256" t="s">
        <v>739</v>
      </c>
      <c r="L22" s="294" t="s">
        <v>712</v>
      </c>
      <c r="M22" s="320">
        <f ca="1">INDIRECT("'数据-取费表'!Ak"&amp;$G$1)</f>
        <v>3.0000000000000001E-3</v>
      </c>
    </row>
    <row r="23" spans="1:37" s="1304" customFormat="1" ht="18" customHeight="1">
      <c r="A23" s="928" t="s">
        <v>397</v>
      </c>
      <c r="B23" s="294" t="s">
        <v>740</v>
      </c>
      <c r="C23" s="21">
        <f ca="1">IF('数据-取费表'!B22&lt;=1,ROUND(C19*F24*F23/2,0)+ROUND(C20*F24*F23/2,0),ROUND(C19*(POWER((1+F24),F23/2)-1),0)+ROUND(C20*(POWER((1+F24),F23/2)-1),0))</f>
        <v>3320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0.02</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-291</v>
      </c>
      <c r="K25" s="1032" t="s">
        <v>753</v>
      </c>
      <c r="L25" s="1033"/>
      <c r="M25" s="1034"/>
    </row>
    <row r="26" spans="1:37">
      <c r="A26" s="928" t="s">
        <v>397</v>
      </c>
      <c r="B26" s="294" t="s">
        <v>754</v>
      </c>
      <c r="C26" s="21">
        <f ca="1">ROUND((C19+C20)*F26,0)</f>
        <v>14168</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0.06</v>
      </c>
    </row>
    <row r="27" spans="1:37" ht="18" customHeight="1">
      <c r="A27" s="928" t="s">
        <v>399</v>
      </c>
      <c r="B27" s="294" t="s">
        <v>760</v>
      </c>
      <c r="C27" s="21">
        <f ca="1">ROUND(F21*F26,4)</f>
        <v>6.0000000000000001E-3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97137</v>
      </c>
      <c r="D29" s="1029"/>
      <c r="E29" s="1027"/>
      <c r="F29" s="1030"/>
      <c r="G29" s="1303"/>
      <c r="H29" s="325" t="s">
        <v>396</v>
      </c>
      <c r="I29" s="326" t="s">
        <v>768</v>
      </c>
      <c r="J29" s="327">
        <f ca="1">ROUND(J26/(1+F40)^F41,0)</f>
        <v>0</v>
      </c>
      <c r="K29" s="328" t="s">
        <v>769</v>
      </c>
      <c r="L29" s="329"/>
      <c r="M29" s="330">
        <f ca="1">INDIRECT("'数据-取费表'!k"&amp;$G$1)</f>
        <v>103889.93000000002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3258</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ROUND(IF(AND(项目基本情况!B11="自然人",项目基本情况!B10="北京市"),C6*F31/(1+'数据-取费表'!C42),C32+C33+C34),2)</f>
        <v>2574.29</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IF(项目基本情况!B11="自然人","——",ROUND(C6*F32/(1+'数据-取费表'!C42),2))</f>
        <v>819.09</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IF(项目基本情况!B11="自然人","——",IF(D33="按租金收入计税",ROUND(C6*F33/(1+'数据-取费表'!C42),2),IF(D33="按房产原值计税",ROUND(C29*F33*0.7,2),INDIRECT("'数据-取费表'!Aj"&amp;$G$1))))</f>
        <v>1755.2</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IF(项目基本情况!B11="自然人","——",ROUND(F34*F35/10000,2))</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ROUND(C29*F36,2)</f>
        <v>291.41000000000003</v>
      </c>
      <c r="D36" s="1256" t="s">
        <v>771</v>
      </c>
      <c r="E36" s="294" t="s">
        <v>712</v>
      </c>
      <c r="F36" s="320">
        <f ca="1">INDIRECT("'数据-取费表'!Ak"&amp;$G$1)</f>
        <v>3.0000000000000001E-3</v>
      </c>
      <c r="G36" s="1292"/>
      <c r="H36" s="2474"/>
      <c r="I36" s="1305"/>
      <c r="J36" s="1306"/>
      <c r="K36" s="2331"/>
      <c r="L36" s="2474"/>
      <c r="M36" s="2474"/>
    </row>
    <row r="37" spans="1:18" ht="18" customHeight="1">
      <c r="A37" s="928" t="s">
        <v>437</v>
      </c>
      <c r="B37" s="294" t="s">
        <v>742</v>
      </c>
      <c r="C37" s="21">
        <f ca="1">ROUND(C13*F37,2)</f>
        <v>84.51</v>
      </c>
      <c r="D37" s="1256" t="s">
        <v>743</v>
      </c>
      <c r="E37" s="294" t="s">
        <v>744</v>
      </c>
      <c r="F37" s="321">
        <f ca="1">INDIRECT("'数据-取费表'!Al"&amp;$G$1)</f>
        <v>1E-3</v>
      </c>
      <c r="G37" s="1292"/>
      <c r="H37" s="2474"/>
      <c r="I37" s="1305"/>
      <c r="J37" s="1306"/>
      <c r="K37" s="2331"/>
      <c r="L37" s="2474"/>
      <c r="M37" s="2474"/>
    </row>
    <row r="38" spans="1:18" ht="18" customHeight="1" thickBot="1">
      <c r="A38" s="1026" t="s">
        <v>684</v>
      </c>
      <c r="B38" s="1027" t="s">
        <v>728</v>
      </c>
      <c r="C38" s="1028">
        <f ca="1">ROUND(C5*F38,2)</f>
        <v>307.54000000000002</v>
      </c>
      <c r="D38" s="1029" t="s">
        <v>748</v>
      </c>
      <c r="E38" s="1027" t="s">
        <v>744</v>
      </c>
      <c r="F38" s="1023">
        <f ca="1">INDIRECT("'数据-取费表'!Am"&amp;$G$1)</f>
        <v>0.02</v>
      </c>
      <c r="G38" s="1292"/>
      <c r="H38" s="2474"/>
      <c r="I38" s="1305"/>
      <c r="J38" s="1306"/>
      <c r="K38" s="2472"/>
      <c r="L38" s="2474"/>
      <c r="M38" s="2474"/>
    </row>
    <row r="39" spans="1:18" ht="24.6" customHeight="1" thickTop="1">
      <c r="A39" s="1016" t="s">
        <v>394</v>
      </c>
      <c r="B39" s="1031" t="s">
        <v>772</v>
      </c>
      <c r="C39" s="302">
        <f ca="1">C5-C30</f>
        <v>12119</v>
      </c>
      <c r="D39" s="1032" t="s">
        <v>773</v>
      </c>
      <c r="E39" s="1033"/>
      <c r="F39" s="1034"/>
      <c r="G39" s="3201">
        <f ca="1">C39/C5</f>
        <v>0.788125121935358</v>
      </c>
      <c r="H39" s="2474"/>
      <c r="I39" s="1305"/>
      <c r="J39" s="1306"/>
      <c r="K39" s="2472"/>
      <c r="L39" s="2474"/>
      <c r="M39" s="2474"/>
    </row>
    <row r="40" spans="1:18" ht="18" customHeight="1">
      <c r="A40" s="291" t="s">
        <v>395</v>
      </c>
      <c r="B40" s="292" t="s">
        <v>774</v>
      </c>
      <c r="C40" s="293">
        <f ca="1">ROUND(C39*(1-((1+F42)/(1+F40))^F41)/(F40-F42),0)</f>
        <v>199225</v>
      </c>
      <c r="D40" s="316" t="s">
        <v>758</v>
      </c>
      <c r="E40" s="294" t="s">
        <v>759</v>
      </c>
      <c r="F40" s="304">
        <f ca="1">INDIRECT("'数据-取费表'!I"&amp;$G$1)</f>
        <v>0.06</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27.86</v>
      </c>
      <c r="G41" s="1292"/>
      <c r="H41" s="121"/>
      <c r="I41" s="1305"/>
      <c r="J41" s="1306"/>
      <c r="K41" s="2331"/>
      <c r="L41" s="121"/>
      <c r="M41" s="121"/>
    </row>
    <row r="42" spans="1:18" ht="18" customHeight="1">
      <c r="A42" s="300"/>
      <c r="B42" s="301"/>
      <c r="C42" s="302"/>
      <c r="D42" s="319"/>
      <c r="E42" s="294" t="s">
        <v>766</v>
      </c>
      <c r="F42" s="304">
        <f ca="1">INDIRECT("'数据-取费表'!v"&amp;$G$1)</f>
        <v>0.02</v>
      </c>
      <c r="G42" s="1292"/>
      <c r="H42" s="121"/>
      <c r="I42" s="1305"/>
      <c r="J42" s="1306"/>
      <c r="K42" s="2331"/>
      <c r="L42" s="121"/>
      <c r="M42" s="121"/>
    </row>
    <row r="43" spans="1:18" ht="18" customHeight="1" thickBot="1">
      <c r="A43" s="325" t="s">
        <v>396</v>
      </c>
      <c r="B43" s="326" t="s">
        <v>776</v>
      </c>
      <c r="C43" s="327">
        <f ca="1">ROUND(C40*10000/F43,0)</f>
        <v>19177</v>
      </c>
      <c r="D43" s="328" t="s">
        <v>777</v>
      </c>
      <c r="E43" s="329" t="s">
        <v>778</v>
      </c>
      <c r="F43" s="330">
        <f ca="1">INDIRECT("'数据-取费表'!k"&amp;$G$1)</f>
        <v>103889.93000000002</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8" t="s">
        <v>808</v>
      </c>
      <c r="P45" s="1366"/>
      <c r="Q45" s="1366"/>
      <c r="R45" s="1366"/>
    </row>
    <row r="46" spans="1:18" s="1292" customFormat="1" ht="13.5" thickBot="1">
      <c r="A46" s="1311" t="s">
        <v>809</v>
      </c>
      <c r="C46" s="1312">
        <f ca="1">C68-C40</f>
        <v>-204256</v>
      </c>
      <c r="D46" s="1313" t="str">
        <f>C2</f>
        <v>万元</v>
      </c>
      <c r="E46" s="1307"/>
      <c r="F46" s="1307"/>
      <c r="I46" s="1314" t="s">
        <v>810</v>
      </c>
      <c r="J46" s="1315"/>
      <c r="K46" s="1316"/>
      <c r="L46" s="1317">
        <f ca="1">IF(M47="住宅",0,IF(L48&gt;J51,L60,J60))</f>
        <v>5207</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t="s">
        <v>3538</v>
      </c>
      <c r="K47" s="1323" t="s">
        <v>816</v>
      </c>
      <c r="L47" s="1324">
        <f ca="1">INDIRECT("'数据-取费表'!d"&amp;$G$1)</f>
        <v>40</v>
      </c>
      <c r="M47" s="1288" t="str">
        <f>IF(ISNUMBER(FIND("住宅",C1)),"住宅","非住宅")</f>
        <v>非住宅</v>
      </c>
      <c r="O47" s="1325" t="s">
        <v>403</v>
      </c>
      <c r="P47" s="1326" t="s">
        <v>817</v>
      </c>
      <c r="Q47" s="1327">
        <f ca="1">C40+J29</f>
        <v>199225</v>
      </c>
      <c r="R47" s="1327" t="s">
        <v>818</v>
      </c>
    </row>
    <row r="48" spans="1:18" s="1292" customFormat="1" ht="28.5" thickBot="1">
      <c r="A48" s="1047" t="s">
        <v>438</v>
      </c>
      <c r="B48" s="292" t="s">
        <v>692</v>
      </c>
      <c r="C48" s="1268">
        <f ca="1">C49+C53+C55</f>
        <v>0</v>
      </c>
      <c r="D48" s="1049"/>
      <c r="E48" s="1050"/>
      <c r="F48" s="908"/>
      <c r="G48" s="681"/>
      <c r="H48" s="682"/>
      <c r="I48" s="1328" t="s">
        <v>819</v>
      </c>
      <c r="J48" s="1329" t="s">
        <v>3539</v>
      </c>
      <c r="K48" s="1330" t="s">
        <v>820</v>
      </c>
      <c r="L48" s="1331">
        <f ca="1">INDIRECT("'数据-取费表'!f"&amp;$G$1)</f>
        <v>27.86</v>
      </c>
      <c r="O48" s="1325" t="s">
        <v>404</v>
      </c>
      <c r="P48" s="1326" t="s">
        <v>821</v>
      </c>
      <c r="Q48" s="1327">
        <f ca="1">J60</f>
        <v>5207</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v>2017</v>
      </c>
      <c r="K49" s="1330" t="s">
        <v>824</v>
      </c>
      <c r="L49" s="1333"/>
      <c r="O49" s="1334" t="s">
        <v>405</v>
      </c>
      <c r="P49" s="1326" t="s">
        <v>825</v>
      </c>
      <c r="Q49" s="1327">
        <f ca="1">C29</f>
        <v>97137</v>
      </c>
      <c r="R49" s="1327" t="s">
        <v>818</v>
      </c>
    </row>
    <row r="50" spans="1:18" s="1292" customFormat="1" ht="13.5" thickBot="1">
      <c r="A50" s="922"/>
      <c r="B50" s="925"/>
      <c r="C50" s="1055"/>
      <c r="D50" s="899"/>
      <c r="E50" s="993" t="s">
        <v>697</v>
      </c>
      <c r="F50" s="994">
        <f ca="1">F7</f>
        <v>103889.93000000002</v>
      </c>
      <c r="H50" s="682"/>
      <c r="I50" s="1328" t="s">
        <v>826</v>
      </c>
      <c r="J50" s="1335">
        <f>SUMPRODUCT((I63:I65=J47)*(J62:L62=J48)*(J63:L65))</f>
        <v>60</v>
      </c>
      <c r="K50" s="1330" t="s">
        <v>827</v>
      </c>
      <c r="L50" s="1333"/>
      <c r="M50" s="1336"/>
      <c r="O50" s="1334" t="s">
        <v>406</v>
      </c>
      <c r="P50" s="1326" t="s">
        <v>828</v>
      </c>
      <c r="Q50" s="1337">
        <f ca="1">J58</f>
        <v>0.40200000000000002</v>
      </c>
      <c r="R50" s="1327"/>
    </row>
    <row r="51" spans="1:18" s="1292" customFormat="1" ht="13.5" thickBot="1">
      <c r="A51" s="923"/>
      <c r="B51" s="925"/>
      <c r="C51" s="926"/>
      <c r="D51" s="899"/>
      <c r="E51" s="927" t="s">
        <v>698</v>
      </c>
      <c r="F51" s="295">
        <f ca="1">F8</f>
        <v>365</v>
      </c>
      <c r="I51" s="1338" t="s">
        <v>829</v>
      </c>
      <c r="J51" s="1331">
        <f>IF(J49="",J50,J49+J50-YEAR('数据-取费表'!B2))</f>
        <v>52</v>
      </c>
      <c r="K51" s="1339" t="s">
        <v>830</v>
      </c>
      <c r="L51" s="1340">
        <f ca="1">ROUND(-PV(INDIRECT("'数据-取费表'!h"&amp;$G$1),J51,(C39-C13*C76),0),0)</f>
        <v>105820</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27.86</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27.86</v>
      </c>
      <c r="K53" s="3415" t="s">
        <v>837</v>
      </c>
      <c r="L53" s="3416"/>
      <c r="O53" s="1325" t="s">
        <v>409</v>
      </c>
      <c r="P53" s="1326" t="s">
        <v>838</v>
      </c>
      <c r="Q53" s="1327">
        <f ca="1">Q47+Q48</f>
        <v>204432</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0.40200000000000002</v>
      </c>
      <c r="K55" s="1350" t="s">
        <v>841</v>
      </c>
      <c r="L55" s="1351"/>
      <c r="O55" s="1318" t="s">
        <v>811</v>
      </c>
      <c r="P55" s="1319" t="s">
        <v>812</v>
      </c>
      <c r="Q55" s="1320" t="s">
        <v>813</v>
      </c>
      <c r="R55" s="1320" t="s">
        <v>814</v>
      </c>
    </row>
    <row r="56" spans="1:18" s="1292" customFormat="1" ht="25.5" thickTop="1" thickBot="1">
      <c r="A56" s="903">
        <v>2</v>
      </c>
      <c r="B56" s="904" t="s">
        <v>704</v>
      </c>
      <c r="C56" s="224">
        <f ca="1">C13</f>
        <v>84509</v>
      </c>
      <c r="D56" s="1352"/>
      <c r="E56" s="1353"/>
      <c r="F56" s="1345"/>
      <c r="I56" s="1354" t="s">
        <v>842</v>
      </c>
      <c r="J56" s="1355" t="s">
        <v>3540</v>
      </c>
      <c r="K56" s="1328" t="s">
        <v>843</v>
      </c>
      <c r="L56" s="1331" t="str">
        <f ca="1">IF(L48&lt;J51,"——",L48-J53)</f>
        <v>——</v>
      </c>
      <c r="O56" s="1325" t="s">
        <v>403</v>
      </c>
      <c r="P56" s="1326" t="s">
        <v>817</v>
      </c>
      <c r="Q56" s="1327">
        <f ca="1">C40+J29</f>
        <v>199225</v>
      </c>
      <c r="R56" s="1327" t="s">
        <v>818</v>
      </c>
    </row>
    <row r="57" spans="1:18" s="1292" customFormat="1" ht="24.75" thickBot="1">
      <c r="A57" s="1356"/>
      <c r="B57" s="896" t="s">
        <v>767</v>
      </c>
      <c r="C57" s="230">
        <f ca="1">C29</f>
        <v>97137</v>
      </c>
      <c r="D57" s="1357"/>
      <c r="E57" s="1358"/>
      <c r="F57" s="1359"/>
      <c r="I57" s="1360" t="s">
        <v>844</v>
      </c>
      <c r="J57" s="1361">
        <f ca="1">IF(OR(M47="住宅",J51&lt;L48,J56="是"),"——",J51-L48)</f>
        <v>24.14</v>
      </c>
      <c r="K57" s="1328" t="s">
        <v>845</v>
      </c>
      <c r="L57" s="1331" t="str">
        <f ca="1">IF(L48&lt;J51,"——",IF(L55="比较法",L49,IF(L55="基准地价",L50,L51)))</f>
        <v>——</v>
      </c>
      <c r="O57" s="1325" t="s">
        <v>404</v>
      </c>
      <c r="P57" s="1326" t="s">
        <v>846</v>
      </c>
      <c r="Q57" s="1327">
        <f ca="1">L60</f>
        <v>0</v>
      </c>
      <c r="R57" s="1327" t="s">
        <v>847</v>
      </c>
    </row>
    <row r="58" spans="1:18" s="1292" customFormat="1" ht="24.75" thickBot="1">
      <c r="A58" s="307" t="s">
        <v>393</v>
      </c>
      <c r="B58" s="904" t="s">
        <v>714</v>
      </c>
      <c r="C58" s="308">
        <f ca="1">ROUND(C59+C64+C65+C66,0)</f>
        <v>376</v>
      </c>
      <c r="D58" s="906" t="s">
        <v>715</v>
      </c>
      <c r="E58" s="907"/>
      <c r="F58" s="908"/>
      <c r="I58" s="1360" t="s">
        <v>848</v>
      </c>
      <c r="J58" s="1362">
        <f ca="1">IF(J55&lt;0.4,0.4,J55)</f>
        <v>0.40200000000000002</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39049</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f ca="1">IF(OR(M47="住宅",J51&lt;L48,J56="是"),"0",ROUND(J59/(1+J52)^J53,0))</f>
        <v>5207</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18</v>
      </c>
      <c r="I62" s="1367" t="s">
        <v>858</v>
      </c>
      <c r="J62" s="610" t="s">
        <v>859</v>
      </c>
      <c r="K62" s="610" t="s">
        <v>860</v>
      </c>
      <c r="L62" s="610" t="s">
        <v>861</v>
      </c>
      <c r="M62" s="1368" t="s">
        <v>862</v>
      </c>
      <c r="O62" s="1325" t="s">
        <v>409</v>
      </c>
      <c r="P62" s="1326" t="s">
        <v>863</v>
      </c>
      <c r="Q62" s="1327">
        <f ca="1">Q56+Q57</f>
        <v>199225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291.41000000000003</v>
      </c>
      <c r="D64" s="910" t="s">
        <v>791</v>
      </c>
      <c r="E64" s="896" t="s">
        <v>783</v>
      </c>
      <c r="F64" s="320">
        <f t="shared" ca="1" si="0"/>
        <v>3.0000000000000001E-3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84.51</v>
      </c>
      <c r="D65" s="910" t="s">
        <v>743</v>
      </c>
      <c r="E65" s="896" t="s">
        <v>744</v>
      </c>
      <c r="F65" s="321">
        <f t="shared" ca="1" si="0"/>
        <v>1E-3</v>
      </c>
      <c r="I65" s="1367" t="s">
        <v>867</v>
      </c>
      <c r="J65" s="610">
        <v>40</v>
      </c>
      <c r="K65" s="610">
        <v>30</v>
      </c>
      <c r="L65" s="610">
        <v>50</v>
      </c>
      <c r="M65" s="1369">
        <v>0.02</v>
      </c>
      <c r="O65" s="1325" t="s">
        <v>403</v>
      </c>
      <c r="P65" s="1326" t="s">
        <v>868</v>
      </c>
      <c r="Q65" s="1327">
        <f ca="1">C40+J29</f>
        <v>199225</v>
      </c>
      <c r="R65" s="1327" t="s">
        <v>818</v>
      </c>
    </row>
    <row r="66" spans="1:18" s="1292" customFormat="1" ht="16.5" thickBot="1">
      <c r="A66" s="928" t="s">
        <v>793</v>
      </c>
      <c r="B66" s="896" t="s">
        <v>728</v>
      </c>
      <c r="C66" s="21">
        <f ca="1">ROUND(C48*F66,2)</f>
        <v>0</v>
      </c>
      <c r="D66" s="910" t="s">
        <v>794</v>
      </c>
      <c r="E66" s="896" t="s">
        <v>712</v>
      </c>
      <c r="F66" s="304">
        <f t="shared" ca="1" si="0"/>
        <v>0.02</v>
      </c>
      <c r="O66" s="1325" t="s">
        <v>404</v>
      </c>
      <c r="P66" s="1326" t="s">
        <v>846</v>
      </c>
      <c r="Q66" s="1327">
        <f ca="1">L60</f>
        <v>0</v>
      </c>
      <c r="R66" s="1327" t="s">
        <v>869</v>
      </c>
    </row>
    <row r="67" spans="1:18" s="1292" customFormat="1" ht="16.5" thickBot="1">
      <c r="A67" s="903" t="s">
        <v>394</v>
      </c>
      <c r="B67" s="913" t="s">
        <v>752</v>
      </c>
      <c r="C67" s="308">
        <f ca="1">C48-C58</f>
        <v>-376</v>
      </c>
      <c r="D67" s="909" t="s">
        <v>753</v>
      </c>
      <c r="E67" s="914"/>
      <c r="F67" s="915"/>
      <c r="O67" s="1334" t="s">
        <v>405</v>
      </c>
      <c r="P67" s="1326" t="s">
        <v>850</v>
      </c>
      <c r="Q67" s="1370">
        <f ca="1">L51</f>
        <v>105820</v>
      </c>
      <c r="R67" s="1327" t="s">
        <v>870</v>
      </c>
    </row>
    <row r="68" spans="1:18" s="1292" customFormat="1" ht="16.5" thickBot="1">
      <c r="A68" s="893" t="s">
        <v>395</v>
      </c>
      <c r="B68" s="894" t="s">
        <v>774</v>
      </c>
      <c r="C68" s="293">
        <f ca="1">ROUND(C67*(1-((1+F70)/(1+F68))^F69)/(F68-F70),0)</f>
        <v>-5031</v>
      </c>
      <c r="D68" s="911" t="s">
        <v>758</v>
      </c>
      <c r="E68" s="896" t="s">
        <v>759</v>
      </c>
      <c r="F68" s="304">
        <f ca="1">F40</f>
        <v>0.06</v>
      </c>
      <c r="O68" s="1334" t="s">
        <v>406</v>
      </c>
      <c r="P68" s="1371" t="s">
        <v>871</v>
      </c>
      <c r="Q68" s="1327">
        <f ca="1">ROUND(Q69-Q70*Q71,0)</f>
        <v>6203</v>
      </c>
      <c r="R68" s="1327" t="s">
        <v>414</v>
      </c>
    </row>
    <row r="69" spans="1:18" s="1292" customFormat="1" ht="13.5" thickBot="1">
      <c r="A69" s="897"/>
      <c r="B69" s="898"/>
      <c r="C69" s="298"/>
      <c r="D69" s="916" t="s">
        <v>762</v>
      </c>
      <c r="E69" s="896" t="s">
        <v>763</v>
      </c>
      <c r="F69" s="324">
        <f ca="1">F41</f>
        <v>27.86</v>
      </c>
      <c r="O69" s="1334" t="s">
        <v>411</v>
      </c>
      <c r="P69" s="1371" t="s">
        <v>872</v>
      </c>
      <c r="Q69" s="1327">
        <f ca="1">C39</f>
        <v>12119</v>
      </c>
      <c r="R69" s="1327" t="s">
        <v>818</v>
      </c>
    </row>
    <row r="70" spans="1:18" s="1292" customFormat="1" ht="13.5" thickBot="1">
      <c r="A70" s="900"/>
      <c r="B70" s="901"/>
      <c r="C70" s="302"/>
      <c r="D70" s="912"/>
      <c r="E70" s="896" t="s">
        <v>766</v>
      </c>
      <c r="F70" s="991"/>
      <c r="O70" s="1334" t="s">
        <v>412</v>
      </c>
      <c r="P70" s="1371" t="s">
        <v>873</v>
      </c>
      <c r="Q70" s="1327">
        <f ca="1">C13</f>
        <v>84509</v>
      </c>
      <c r="R70" s="1327" t="s">
        <v>818</v>
      </c>
    </row>
    <row r="71" spans="1:18" s="1292" customFormat="1" ht="13.5" thickBot="1">
      <c r="A71" s="917" t="s">
        <v>396</v>
      </c>
      <c r="B71" s="918" t="s">
        <v>776</v>
      </c>
      <c r="C71" s="327">
        <f ca="1">ROUND(C68*10000/F71,0)</f>
        <v>-484</v>
      </c>
      <c r="D71" s="919" t="s">
        <v>777</v>
      </c>
      <c r="E71" s="920" t="s">
        <v>778</v>
      </c>
      <c r="F71" s="330">
        <f ca="1">F43</f>
        <v>103889.93000000002</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5916</v>
      </c>
      <c r="D75" s="1292"/>
      <c r="E75" s="1292"/>
      <c r="F75" s="1292"/>
      <c r="K75" s="1309"/>
      <c r="L75" s="1292"/>
      <c r="O75" s="1325" t="s">
        <v>409</v>
      </c>
      <c r="P75" s="1326" t="s">
        <v>838</v>
      </c>
      <c r="Q75" s="1327">
        <f ca="1">Q65+Q66</f>
        <v>199225</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0.51200000000000001</v>
      </c>
    </row>
    <row r="80" spans="1:18">
      <c r="B80" s="331" t="s">
        <v>800</v>
      </c>
      <c r="C80" s="266">
        <f ca="1">ROUND(C75/C39,3)</f>
        <v>0.48799999999999999</v>
      </c>
    </row>
    <row r="81" spans="2:3">
      <c r="B81" s="262" t="s">
        <v>801</v>
      </c>
      <c r="C81" s="230"/>
    </row>
    <row r="82" spans="2:3">
      <c r="B82" s="265" t="s">
        <v>802</v>
      </c>
      <c r="C82" s="267">
        <f ca="1">1-C83</f>
        <v>0.57600000000000007</v>
      </c>
    </row>
    <row r="83" spans="2:3">
      <c r="B83" s="265" t="s">
        <v>803</v>
      </c>
      <c r="C83" s="266">
        <f ca="1">ROUND(C13/C40,3)</f>
        <v>0.42399999999999999</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7">
      <formula>$J$51&gt;$L$48</formula>
    </cfRule>
  </conditionalFormatting>
  <conditionalFormatting sqref="J11">
    <cfRule type="expression" dxfId="123" priority="2">
      <formula>$M$10="自定义"</formula>
    </cfRule>
  </conditionalFormatting>
  <conditionalFormatting sqref="K55 K60">
    <cfRule type="expression" dxfId="122"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6"/>
      <c r="I1" s="2467"/>
      <c r="J1" s="2467"/>
      <c r="K1" s="2468"/>
      <c r="L1" s="2467"/>
      <c r="M1" s="2467"/>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t="e">
        <f ca="1">ROUND(D2/10000,4)</f>
        <v>#DIV/0!</v>
      </c>
      <c r="C2" s="1289" t="s">
        <v>879</v>
      </c>
      <c r="D2" s="1375" t="e">
        <f ca="1">C40+J29+L46</f>
        <v>#DIV/0!</v>
      </c>
      <c r="E2" s="1295" t="s">
        <v>880</v>
      </c>
      <c r="F2" s="1296"/>
      <c r="G2" s="2479"/>
      <c r="H2" s="2469"/>
      <c r="I2" s="2469"/>
      <c r="J2" s="2469"/>
      <c r="K2" s="2470"/>
      <c r="L2" s="2469"/>
      <c r="M2" s="2469"/>
    </row>
    <row r="3" spans="1:37" ht="18" customHeight="1" thickBot="1">
      <c r="A3" s="1297" t="s">
        <v>881</v>
      </c>
      <c r="B3" s="1298">
        <f ca="1">IF(ISERROR(D2/F43),0,ROUND(D2/F43,0))</f>
        <v>0</v>
      </c>
      <c r="C3" s="1289" t="s">
        <v>882</v>
      </c>
      <c r="D3" s="1289"/>
      <c r="E3" s="1295"/>
      <c r="F3" s="1296"/>
      <c r="G3" s="2479"/>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417" t="s">
        <v>694</v>
      </c>
      <c r="C6" s="1011">
        <f ca="1">ROUND(F6*F8*F7*(1-F9),0)</f>
        <v>0</v>
      </c>
      <c r="D6" s="147" t="s">
        <v>2106</v>
      </c>
      <c r="E6" s="294" t="s">
        <v>696</v>
      </c>
      <c r="F6" s="295">
        <f ca="1">INDIRECT("'数据-取费表'!u"&amp;$G$1)</f>
        <v>0</v>
      </c>
      <c r="G6" s="1292"/>
      <c r="H6" s="1006" t="s">
        <v>398</v>
      </c>
      <c r="I6" s="3417" t="s">
        <v>694</v>
      </c>
      <c r="J6" s="293">
        <f ca="1">ROUND(M6*M8*M7*(1-M9),0)</f>
        <v>0</v>
      </c>
      <c r="K6" s="1284" t="s">
        <v>2107</v>
      </c>
      <c r="L6" s="294" t="s">
        <v>696</v>
      </c>
      <c r="M6" s="295">
        <f ca="1">INDIRECT("'数据-取费表'!z"&amp;$G$1)</f>
        <v>0</v>
      </c>
    </row>
    <row r="7" spans="1:37" ht="18" customHeight="1">
      <c r="A7" s="1010"/>
      <c r="B7" s="3418"/>
      <c r="C7" s="1012"/>
      <c r="D7" s="299"/>
      <c r="E7" s="1013" t="s">
        <v>697</v>
      </c>
      <c r="F7" s="295">
        <f ca="1">IF(INDIRECT("'数据-取费表'!ah"&amp;$G$1)="",INDIRECT("'数据-取费表'!k"&amp;$G$1),INDIRECT("'数据-取费表'!ah"&amp;$G$1))</f>
        <v>0</v>
      </c>
      <c r="G7" s="1292"/>
      <c r="H7" s="296"/>
      <c r="I7" s="3418"/>
      <c r="J7" s="298"/>
      <c r="K7" s="299"/>
      <c r="L7" s="294" t="s">
        <v>697</v>
      </c>
      <c r="M7" s="295">
        <f ca="1">F7</f>
        <v>0</v>
      </c>
    </row>
    <row r="8" spans="1:37" ht="18" customHeight="1">
      <c r="A8" s="296"/>
      <c r="B8" s="3418"/>
      <c r="C8" s="298"/>
      <c r="D8" s="299"/>
      <c r="E8" s="294" t="s">
        <v>698</v>
      </c>
      <c r="F8" s="295">
        <f ca="1">INDIRECT("'数据-取费表'!ai"&amp;$G$1)</f>
        <v>0</v>
      </c>
      <c r="G8" s="1292"/>
      <c r="H8" s="296"/>
      <c r="I8" s="3418"/>
      <c r="J8" s="298"/>
      <c r="K8" s="299"/>
      <c r="L8" s="294" t="s">
        <v>698</v>
      </c>
      <c r="M8" s="295">
        <f ca="1">INDIRECT("'数据-取费表'!ai"&amp;$G$1)</f>
        <v>0</v>
      </c>
    </row>
    <row r="9" spans="1:37" ht="18" customHeight="1">
      <c r="A9" s="296"/>
      <c r="B9" s="3419"/>
      <c r="C9" s="298"/>
      <c r="D9" s="299"/>
      <c r="E9" s="294" t="s">
        <v>699</v>
      </c>
      <c r="F9" s="304">
        <f ca="1">INDIRECT("'数据-取费表'!w"&amp;$G$1)</f>
        <v>0</v>
      </c>
      <c r="G9" s="1292"/>
      <c r="H9" s="296"/>
      <c r="I9" s="3419"/>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2116</v>
      </c>
      <c r="E10" s="305" t="s">
        <v>701</v>
      </c>
      <c r="F10" s="1053"/>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3326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0.03</v>
      </c>
      <c r="G20" s="1303"/>
      <c r="H20" s="928" t="s">
        <v>680</v>
      </c>
      <c r="I20" s="147" t="s">
        <v>730</v>
      </c>
      <c r="J20" s="22">
        <f ca="1">ROUND(M20*M21,0)</f>
        <v>0</v>
      </c>
      <c r="K20" s="316" t="s">
        <v>731</v>
      </c>
      <c r="L20" s="294" t="s">
        <v>732</v>
      </c>
      <c r="M20" s="317">
        <f>'数据-取费表'!B52</f>
        <v>18</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1"/>
      <c r="I30" s="1305"/>
      <c r="J30" s="1306"/>
      <c r="K30" s="121"/>
      <c r="L30" s="2472"/>
      <c r="M30" s="2473"/>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9" t="s">
        <v>2297</v>
      </c>
      <c r="I31" s="1305"/>
      <c r="J31" s="1306"/>
      <c r="K31" s="121"/>
      <c r="L31" s="2472"/>
      <c r="M31" s="2473"/>
    </row>
    <row r="32" spans="1:37" ht="18" customHeight="1">
      <c r="A32" s="928" t="s">
        <v>397</v>
      </c>
      <c r="B32" s="294" t="s">
        <v>723</v>
      </c>
      <c r="C32" s="21">
        <f ca="1">IF(项目基本情况!B11="自然人","——",ROUND(C6*F32/(1+'数据-取费表'!C42),0))</f>
        <v>0</v>
      </c>
      <c r="D32" s="1256" t="s">
        <v>724</v>
      </c>
      <c r="E32" s="294" t="s">
        <v>712</v>
      </c>
      <c r="F32" s="322">
        <f>'数据-取费表'!B41</f>
        <v>5.6000000000000001E-2</v>
      </c>
      <c r="G32" s="1292"/>
      <c r="H32" s="2471"/>
      <c r="I32" s="1305"/>
      <c r="J32" s="1306"/>
      <c r="K32" s="121"/>
      <c r="L32" s="2472"/>
      <c r="M32" s="2473"/>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3326</v>
      </c>
      <c r="E33" s="294" t="s">
        <v>712</v>
      </c>
      <c r="F33" s="314">
        <f>IF(D33="按票据","——",IF(D33="按租金收入计税",'数据-取费表'!B51,'数据-取费表'!B50))</f>
        <v>0.12</v>
      </c>
      <c r="G33" s="1292"/>
      <c r="H33" s="2474"/>
      <c r="I33" s="1305"/>
      <c r="J33" s="1306"/>
      <c r="K33" s="2475"/>
      <c r="L33" s="2474"/>
      <c r="M33" s="2474"/>
    </row>
    <row r="34" spans="1:18" ht="18" customHeight="1">
      <c r="A34" s="1006" t="s">
        <v>680</v>
      </c>
      <c r="B34" s="147" t="s">
        <v>730</v>
      </c>
      <c r="C34" s="22">
        <f ca="1">IF(项目基本情况!B11="自然人","——",ROUND(F34*F35,0))</f>
        <v>0</v>
      </c>
      <c r="D34" s="316" t="s">
        <v>731</v>
      </c>
      <c r="E34" s="294" t="s">
        <v>732</v>
      </c>
      <c r="F34" s="317">
        <f>'数据-取费表'!B52</f>
        <v>18</v>
      </c>
      <c r="G34" s="1292"/>
      <c r="H34" s="2471"/>
      <c r="I34" s="1305"/>
      <c r="J34" s="1306"/>
      <c r="K34" s="2476"/>
      <c r="L34" s="2477"/>
      <c r="M34" s="2477"/>
    </row>
    <row r="35" spans="1:18" ht="18" customHeight="1">
      <c r="A35" s="1040"/>
      <c r="B35" s="1038"/>
      <c r="C35" s="26"/>
      <c r="D35" s="319"/>
      <c r="E35" s="294" t="s">
        <v>736</v>
      </c>
      <c r="F35" s="295">
        <f ca="1">INDIRECT("'数据-取费表'!r"&amp;$G$1)</f>
        <v>0</v>
      </c>
      <c r="G35" s="1292"/>
      <c r="H35" s="2471"/>
      <c r="I35" s="1305"/>
      <c r="J35" s="1306"/>
      <c r="K35" s="2475"/>
      <c r="L35" s="2474"/>
      <c r="M35" s="2474"/>
    </row>
    <row r="36" spans="1:18" ht="18" customHeight="1">
      <c r="A36" s="1039" t="s">
        <v>402</v>
      </c>
      <c r="B36" s="294" t="s">
        <v>738</v>
      </c>
      <c r="C36" s="21">
        <f ca="1">ROUND(C29*F36,0)</f>
        <v>0</v>
      </c>
      <c r="D36" s="1256" t="s">
        <v>771</v>
      </c>
      <c r="E36" s="294" t="s">
        <v>712</v>
      </c>
      <c r="F36" s="320">
        <f ca="1">INDIRECT("'数据-取费表'!Ak"&amp;$G$1)</f>
        <v>0</v>
      </c>
      <c r="G36" s="1292"/>
      <c r="H36" s="2474"/>
      <c r="I36" s="1305"/>
      <c r="J36" s="1306"/>
      <c r="K36" s="2331"/>
      <c r="L36" s="2474"/>
      <c r="M36" s="2474"/>
    </row>
    <row r="37" spans="1:18" ht="18" customHeight="1">
      <c r="A37" s="928" t="s">
        <v>437</v>
      </c>
      <c r="B37" s="294" t="s">
        <v>742</v>
      </c>
      <c r="C37" s="21">
        <f ca="1">ROUND(C13*F37,0)</f>
        <v>0</v>
      </c>
      <c r="D37" s="1256" t="s">
        <v>743</v>
      </c>
      <c r="E37" s="294" t="s">
        <v>744</v>
      </c>
      <c r="F37" s="321">
        <f ca="1">INDIRECT("'数据-取费表'!Al"&amp;$G$1)</f>
        <v>0</v>
      </c>
      <c r="G37" s="1292"/>
      <c r="H37" s="2474"/>
      <c r="I37" s="1305"/>
      <c r="J37" s="1306"/>
      <c r="K37" s="2331"/>
      <c r="L37" s="2474"/>
      <c r="M37" s="2474"/>
    </row>
    <row r="38" spans="1:18" ht="18" customHeight="1" thickBot="1">
      <c r="A38" s="1026" t="s">
        <v>684</v>
      </c>
      <c r="B38" s="1027" t="s">
        <v>728</v>
      </c>
      <c r="C38" s="1028">
        <f ca="1">ROUND(C5*F38,0)</f>
        <v>0</v>
      </c>
      <c r="D38" s="1029" t="s">
        <v>748</v>
      </c>
      <c r="E38" s="1027" t="s">
        <v>744</v>
      </c>
      <c r="F38" s="1023">
        <f ca="1">INDIRECT("'数据-取费表'!Am"&amp;$G$1)</f>
        <v>0</v>
      </c>
      <c r="G38" s="1292"/>
      <c r="H38" s="2474"/>
      <c r="I38" s="1305"/>
      <c r="J38" s="1306"/>
      <c r="K38" s="2472"/>
      <c r="L38" s="2474"/>
      <c r="M38" s="2474"/>
    </row>
    <row r="39" spans="1:18" ht="24.6" customHeight="1" thickTop="1">
      <c r="A39" s="1016" t="s">
        <v>394</v>
      </c>
      <c r="B39" s="1031" t="s">
        <v>772</v>
      </c>
      <c r="C39" s="302">
        <f ca="1">C5-C30</f>
        <v>0</v>
      </c>
      <c r="D39" s="1032" t="s">
        <v>773</v>
      </c>
      <c r="E39" s="1033"/>
      <c r="F39" s="1034"/>
      <c r="G39" s="1292"/>
      <c r="H39" s="2474"/>
      <c r="I39" s="1305"/>
      <c r="J39" s="1306"/>
      <c r="K39" s="2472"/>
      <c r="L39" s="2474"/>
      <c r="M39" s="2474"/>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2"/>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1"/>
      <c r="L41" s="121"/>
      <c r="M41" s="121"/>
    </row>
    <row r="42" spans="1:18" ht="18" customHeight="1">
      <c r="A42" s="300"/>
      <c r="B42" s="301"/>
      <c r="C42" s="302"/>
      <c r="D42" s="319"/>
      <c r="E42" s="294" t="s">
        <v>766</v>
      </c>
      <c r="F42" s="304">
        <f ca="1">INDIRECT("'数据-取费表'!v"&amp;$G$1)</f>
        <v>0</v>
      </c>
      <c r="G42" s="1292"/>
      <c r="H42" s="121"/>
      <c r="I42" s="1305"/>
      <c r="J42" s="1306"/>
      <c r="K42" s="2331"/>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1"/>
      <c r="L43" s="121"/>
      <c r="M43" s="121"/>
    </row>
    <row r="44" spans="1:18" s="1292" customFormat="1" ht="18" customHeight="1">
      <c r="A44" s="1307"/>
      <c r="B44" s="1307"/>
      <c r="C44" s="1308"/>
      <c r="D44" s="1307"/>
      <c r="E44" s="1307"/>
      <c r="F44" s="1307"/>
      <c r="K44" s="1309"/>
    </row>
    <row r="45" spans="1:18" s="1292" customFormat="1" ht="18" customHeight="1" thickBot="1">
      <c r="A45" s="3129" t="s">
        <v>3342</v>
      </c>
      <c r="B45" s="1307"/>
      <c r="C45" s="1376" t="e">
        <f ca="1">ROUND((C68-C40)/10000,4)</f>
        <v>#DIV/0!</v>
      </c>
      <c r="D45" s="3130" t="s">
        <v>3343</v>
      </c>
      <c r="E45" s="1307"/>
      <c r="F45" s="1307"/>
      <c r="O45" s="1310" t="s">
        <v>808</v>
      </c>
      <c r="P45" s="1366"/>
      <c r="Q45" s="1366"/>
      <c r="R45" s="1366"/>
    </row>
    <row r="46" spans="1:18" s="1292" customFormat="1" ht="13.5"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0</v>
      </c>
      <c r="K53" s="3415" t="s">
        <v>837</v>
      </c>
      <c r="L53" s="3416"/>
      <c r="O53" s="1325" t="s">
        <v>409</v>
      </c>
      <c r="P53" s="1326" t="s">
        <v>838</v>
      </c>
      <c r="Q53" s="1327" t="e">
        <f ca="1">Q47+Q48</f>
        <v>#DIV/0!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3326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18</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1" priority="3">
      <formula>$F$10="自定义"</formula>
    </cfRule>
  </conditionalFormatting>
  <conditionalFormatting sqref="C54">
    <cfRule type="expression" dxfId="120" priority="1">
      <formula>$F$53="自定义"</formula>
    </cfRule>
  </conditionalFormatting>
  <conditionalFormatting sqref="I55 I60">
    <cfRule type="expression" dxfId="119" priority="5">
      <formula>$J$51&gt;$L$48</formula>
    </cfRule>
  </conditionalFormatting>
  <conditionalFormatting sqref="J11">
    <cfRule type="expression" dxfId="118" priority="2">
      <formula>$M$10="自定义"</formula>
    </cfRule>
  </conditionalFormatting>
  <conditionalFormatting sqref="K55 K60">
    <cfRule type="expression" dxfId="11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J47" sqref="J47:J49"/>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2426</v>
      </c>
      <c r="B1" s="2583"/>
      <c r="C1" s="2595"/>
      <c r="D1" s="2595"/>
      <c r="E1" s="2584"/>
      <c r="F1" s="2585"/>
      <c r="G1" s="2586"/>
      <c r="J1" s="2589" t="s">
        <v>2305</v>
      </c>
      <c r="K1" s="2590"/>
      <c r="L1" s="2590"/>
      <c r="M1" s="2590"/>
      <c r="N1" s="2590"/>
      <c r="O1" s="2590"/>
      <c r="P1" s="2590"/>
      <c r="Q1" s="2590"/>
      <c r="R1" s="2591"/>
      <c r="S1" s="2592"/>
      <c r="T1" s="2592"/>
      <c r="U1" s="2592"/>
    </row>
    <row r="2" spans="1:22" s="2604" customFormat="1" ht="13.15" customHeight="1">
      <c r="A2" s="1293" t="s">
        <v>2306</v>
      </c>
      <c r="B2" s="2594" t="e">
        <f>IF(D2="——",C40,C40+E2)</f>
        <v>#DIV/0!</v>
      </c>
      <c r="C2" s="2595" t="s">
        <v>2307</v>
      </c>
      <c r="D2" s="3138" t="s">
        <v>3349</v>
      </c>
      <c r="E2" s="3139"/>
      <c r="F2" s="2597"/>
      <c r="G2" s="2598"/>
      <c r="H2" s="2599"/>
      <c r="I2" s="2600"/>
      <c r="J2" s="3426" t="s">
        <v>2308</v>
      </c>
      <c r="K2" s="3427"/>
      <c r="L2" s="2601" t="s">
        <v>2309</v>
      </c>
      <c r="M2" s="2601" t="s">
        <v>2310</v>
      </c>
      <c r="N2" s="2601" t="s">
        <v>2311</v>
      </c>
      <c r="O2" s="2601" t="s">
        <v>2312</v>
      </c>
      <c r="P2" s="2601" t="s">
        <v>2313</v>
      </c>
      <c r="Q2" s="2602" t="s">
        <v>2314</v>
      </c>
      <c r="R2" s="2603" t="s">
        <v>2315</v>
      </c>
      <c r="S2" s="2592"/>
      <c r="T2" s="2592"/>
      <c r="U2" s="2592"/>
      <c r="V2" s="2600"/>
    </row>
    <row r="3" spans="1:22" s="2604" customFormat="1" ht="13.15" customHeight="1">
      <c r="A3" s="2605" t="s">
        <v>2316</v>
      </c>
      <c r="B3" s="2606" t="e">
        <f>ROUND(B2*10000/B4,0)</f>
        <v>#DIV/0!</v>
      </c>
      <c r="C3" s="2595" t="s">
        <v>2317</v>
      </c>
      <c r="D3" s="2595"/>
      <c r="E3" s="2596"/>
      <c r="F3" s="2597"/>
      <c r="G3" s="2598"/>
      <c r="H3" s="2599"/>
      <c r="I3" s="2600"/>
      <c r="J3" s="3428" t="s">
        <v>2318</v>
      </c>
      <c r="K3" s="3429"/>
      <c r="L3" s="2607"/>
      <c r="M3" s="2607"/>
      <c r="N3" s="2607"/>
      <c r="O3" s="2607"/>
      <c r="P3" s="2607"/>
      <c r="Q3" s="2608"/>
      <c r="R3" s="2609">
        <f>SUM(L3:Q3)</f>
        <v>0</v>
      </c>
      <c r="S3" s="2592"/>
      <c r="T3" s="2592"/>
      <c r="U3" s="2592"/>
      <c r="V3" s="2600"/>
    </row>
    <row r="4" spans="1:22" s="2604" customFormat="1" ht="13.15" customHeight="1">
      <c r="A4" s="2610" t="s">
        <v>2319</v>
      </c>
      <c r="B4" s="2611"/>
      <c r="C4" s="2595"/>
      <c r="D4" s="2595"/>
      <c r="E4" s="2596"/>
      <c r="F4" s="2597"/>
      <c r="G4" s="2598"/>
      <c r="H4" s="2599"/>
      <c r="I4" s="2600"/>
      <c r="J4" s="3428" t="s">
        <v>2320</v>
      </c>
      <c r="K4" s="3429"/>
      <c r="L4" s="2612"/>
      <c r="M4" s="2612"/>
      <c r="N4" s="2612"/>
      <c r="O4" s="2612"/>
      <c r="P4" s="2612"/>
      <c r="Q4" s="2613"/>
      <c r="R4" s="2614">
        <f>SUM(L4:Q4)</f>
        <v>0</v>
      </c>
      <c r="S4" s="2592"/>
      <c r="T4" s="2592"/>
      <c r="U4" s="2592"/>
      <c r="V4" s="2600"/>
    </row>
    <row r="5" spans="1:22" s="2604" customFormat="1" ht="13.15" customHeight="1" thickBot="1">
      <c r="A5" s="2615" t="s">
        <v>2321</v>
      </c>
      <c r="B5" s="2616"/>
      <c r="C5" s="2595"/>
      <c r="D5" s="2617"/>
      <c r="E5" s="2597"/>
      <c r="F5" s="2597"/>
      <c r="G5" s="2598"/>
      <c r="H5" s="2599"/>
      <c r="I5" s="2600"/>
      <c r="J5" s="2618" t="s">
        <v>2322</v>
      </c>
      <c r="K5" s="2619"/>
      <c r="L5" s="2619"/>
      <c r="M5" s="2620"/>
      <c r="N5" s="2620"/>
      <c r="O5" s="2620"/>
      <c r="P5" s="2620"/>
      <c r="Q5" s="2620"/>
      <c r="R5" s="2603">
        <f>SUM(R14,R19,R24,R25,R27,R28)</f>
        <v>0</v>
      </c>
      <c r="S5" s="2592"/>
      <c r="T5" s="2592" t="s">
        <v>2323</v>
      </c>
      <c r="U5" s="2592" t="e">
        <f>ROUND(R5*10000/365/R3,1)</f>
        <v>#DIV/0!</v>
      </c>
      <c r="V5" s="2600"/>
    </row>
    <row r="6" spans="1:22" s="2604" customFormat="1" ht="13.15" customHeight="1" thickBot="1">
      <c r="A6" s="3434" t="s">
        <v>2324</v>
      </c>
      <c r="B6" s="3435"/>
      <c r="C6" s="3436"/>
      <c r="D6" s="2621"/>
      <c r="E6" s="2622"/>
      <c r="F6" s="2623"/>
      <c r="G6" s="2624"/>
      <c r="H6" s="2599"/>
      <c r="I6" s="2600"/>
      <c r="J6" s="3420">
        <v>1</v>
      </c>
      <c r="K6" s="3421" t="s">
        <v>2325</v>
      </c>
      <c r="L6" s="2625" t="s">
        <v>2326</v>
      </c>
      <c r="M6" s="2626" t="s">
        <v>2327</v>
      </c>
      <c r="N6" s="2626" t="s">
        <v>2328</v>
      </c>
      <c r="O6" s="2626" t="s">
        <v>2329</v>
      </c>
      <c r="P6" s="2626" t="s">
        <v>2330</v>
      </c>
      <c r="Q6" s="2626" t="s">
        <v>2331</v>
      </c>
      <c r="R6" s="2609" t="s">
        <v>2332</v>
      </c>
      <c r="S6" s="2592"/>
      <c r="T6" s="2592" t="s">
        <v>2333</v>
      </c>
      <c r="U6" s="2592"/>
      <c r="V6" s="2600"/>
    </row>
    <row r="7" spans="1:22" s="2604" customFormat="1" ht="13.15" customHeight="1">
      <c r="A7" s="2627" t="s">
        <v>2334</v>
      </c>
      <c r="B7" s="2628"/>
      <c r="C7" s="2629"/>
      <c r="D7" s="2630">
        <f>SUM(D9,D10,D11,D17,0)</f>
        <v>0</v>
      </c>
      <c r="E7" s="2631" t="e">
        <f>E9+E10+E11+E17</f>
        <v>#DIV/0!</v>
      </c>
      <c r="F7" s="2632"/>
      <c r="G7" s="2633"/>
      <c r="H7" s="2599"/>
      <c r="I7" s="2600"/>
      <c r="J7" s="3420"/>
      <c r="K7" s="3422"/>
      <c r="L7" s="2634" t="s">
        <v>2335</v>
      </c>
      <c r="M7" s="2635"/>
      <c r="N7" s="2611"/>
      <c r="O7" s="2636"/>
      <c r="P7" s="2636"/>
      <c r="Q7" s="2637">
        <v>365</v>
      </c>
      <c r="R7" s="2638">
        <f>ROUND(M7*N7*O7*P7*Q7/10000,0)</f>
        <v>0</v>
      </c>
      <c r="S7" s="2592"/>
      <c r="T7" s="2592" t="s">
        <v>2336</v>
      </c>
      <c r="U7" s="2592"/>
      <c r="V7" s="2600"/>
    </row>
    <row r="8" spans="1:22" s="2604" customFormat="1" ht="13.15" customHeight="1">
      <c r="A8" s="2639" t="s">
        <v>2337</v>
      </c>
      <c r="B8" s="3437" t="s">
        <v>2338</v>
      </c>
      <c r="C8" s="3438"/>
      <c r="D8" s="2640" t="s">
        <v>2339</v>
      </c>
      <c r="E8" s="2641" t="s">
        <v>2340</v>
      </c>
      <c r="F8" s="2642" t="s">
        <v>2341</v>
      </c>
      <c r="G8" s="2643"/>
      <c r="H8" s="2599"/>
      <c r="I8" s="2600"/>
      <c r="J8" s="3420"/>
      <c r="K8" s="3422"/>
      <c r="L8" s="2634" t="s">
        <v>2342</v>
      </c>
      <c r="M8" s="2635"/>
      <c r="N8" s="2611"/>
      <c r="O8" s="2636"/>
      <c r="P8" s="2636"/>
      <c r="Q8" s="2637">
        <v>365</v>
      </c>
      <c r="R8" s="2638">
        <f t="shared" ref="R8:R13" si="0">ROUND(M8*N8*O8*P8*Q8/10000,0)</f>
        <v>0</v>
      </c>
      <c r="S8" s="2592"/>
      <c r="T8" s="2592" t="s">
        <v>2343</v>
      </c>
      <c r="U8" s="2592"/>
      <c r="V8" s="2600"/>
    </row>
    <row r="9" spans="1:22" s="2604" customFormat="1" ht="13.15" customHeight="1">
      <c r="A9" s="2639">
        <v>1</v>
      </c>
      <c r="B9" s="3437" t="s">
        <v>2344</v>
      </c>
      <c r="C9" s="3438"/>
      <c r="D9" s="2640">
        <f>ROUND(D6*E9,0)</f>
        <v>0</v>
      </c>
      <c r="E9" s="2644"/>
      <c r="F9" s="2645" t="s">
        <v>2345</v>
      </c>
      <c r="G9" s="2624"/>
      <c r="H9" s="2599"/>
      <c r="I9" s="2600"/>
      <c r="J9" s="3420"/>
      <c r="K9" s="3422"/>
      <c r="L9" s="2634" t="s">
        <v>2346</v>
      </c>
      <c r="M9" s="2635"/>
      <c r="N9" s="2611"/>
      <c r="O9" s="2636"/>
      <c r="P9" s="2636"/>
      <c r="Q9" s="2637">
        <v>365</v>
      </c>
      <c r="R9" s="2638">
        <f t="shared" si="0"/>
        <v>0</v>
      </c>
      <c r="S9" s="2592"/>
      <c r="T9" s="2592"/>
      <c r="U9" s="2592"/>
      <c r="V9" s="2600"/>
    </row>
    <row r="10" spans="1:22" s="2604" customFormat="1" ht="13.15" customHeight="1">
      <c r="A10" s="2639">
        <v>2</v>
      </c>
      <c r="B10" s="3437" t="s">
        <v>2347</v>
      </c>
      <c r="C10" s="3438"/>
      <c r="D10" s="2640">
        <f>ROUND(D6*E10,0)</f>
        <v>0</v>
      </c>
      <c r="E10" s="2644"/>
      <c r="F10" s="2645" t="s">
        <v>2348</v>
      </c>
      <c r="G10" s="2624"/>
      <c r="H10" s="2599"/>
      <c r="I10" s="2600"/>
      <c r="J10" s="3420"/>
      <c r="K10" s="3422"/>
      <c r="L10" s="2634" t="s">
        <v>2349</v>
      </c>
      <c r="M10" s="2635"/>
      <c r="N10" s="2611"/>
      <c r="O10" s="2636"/>
      <c r="P10" s="2636"/>
      <c r="Q10" s="2637">
        <v>365</v>
      </c>
      <c r="R10" s="2638">
        <f t="shared" si="0"/>
        <v>0</v>
      </c>
      <c r="S10" s="2592"/>
      <c r="T10" s="2592"/>
      <c r="U10" s="2592"/>
      <c r="V10" s="2600"/>
    </row>
    <row r="11" spans="1:22" s="2604" customFormat="1" ht="13.15" customHeight="1">
      <c r="A11" s="2639">
        <v>3</v>
      </c>
      <c r="B11" s="3437" t="s">
        <v>2350</v>
      </c>
      <c r="C11" s="3438"/>
      <c r="D11" s="2640">
        <f>D12+D14+D15+D16</f>
        <v>0</v>
      </c>
      <c r="E11" s="2646" t="e">
        <f>D11/D6</f>
        <v>#DIV/0!</v>
      </c>
      <c r="F11" s="2642"/>
      <c r="G11" s="2643"/>
      <c r="H11" s="2599"/>
      <c r="I11" s="2600"/>
      <c r="J11" s="3420"/>
      <c r="K11" s="3422"/>
      <c r="L11" s="2634" t="s">
        <v>2351</v>
      </c>
      <c r="M11" s="2635"/>
      <c r="N11" s="2611"/>
      <c r="O11" s="2636"/>
      <c r="P11" s="2636"/>
      <c r="Q11" s="2637">
        <v>365</v>
      </c>
      <c r="R11" s="2638">
        <f t="shared" si="0"/>
        <v>0</v>
      </c>
      <c r="S11" s="2592"/>
      <c r="T11" s="2592"/>
      <c r="U11" s="2592"/>
      <c r="V11" s="2600"/>
    </row>
    <row r="12" spans="1:22" s="2604" customFormat="1" ht="13.15" customHeight="1">
      <c r="A12" s="2647" t="s">
        <v>2352</v>
      </c>
      <c r="B12" s="3430" t="s">
        <v>2353</v>
      </c>
      <c r="C12" s="3431"/>
      <c r="D12" s="2648">
        <f>ROUND(D13*1.2%*(1-30%),0)</f>
        <v>0</v>
      </c>
      <c r="E12" s="2649">
        <v>1.2E-2</v>
      </c>
      <c r="F12" s="2642" t="s">
        <v>2354</v>
      </c>
      <c r="G12" s="2643"/>
      <c r="H12" s="2599"/>
      <c r="I12" s="2600"/>
      <c r="J12" s="3420"/>
      <c r="K12" s="3422"/>
      <c r="L12" s="2634" t="s">
        <v>2355</v>
      </c>
      <c r="M12" s="2635"/>
      <c r="N12" s="2611"/>
      <c r="O12" s="2636"/>
      <c r="P12" s="2636"/>
      <c r="Q12" s="2637">
        <v>365</v>
      </c>
      <c r="R12" s="2638">
        <f t="shared" si="0"/>
        <v>0</v>
      </c>
      <c r="S12" s="2592"/>
      <c r="T12" s="2592"/>
      <c r="U12" s="2592"/>
      <c r="V12" s="2600"/>
    </row>
    <row r="13" spans="1:22" s="2604" customFormat="1" ht="13.15" customHeight="1">
      <c r="A13" s="2647"/>
      <c r="B13" s="2650"/>
      <c r="C13" s="2651" t="s">
        <v>2356</v>
      </c>
      <c r="D13" s="2652"/>
      <c r="E13" s="2653"/>
      <c r="F13" s="2642"/>
      <c r="G13" s="2643"/>
      <c r="H13" s="2599"/>
      <c r="I13" s="2600"/>
      <c r="J13" s="3420"/>
      <c r="K13" s="3422"/>
      <c r="L13" s="2634" t="s">
        <v>2357</v>
      </c>
      <c r="M13" s="2635"/>
      <c r="N13" s="2611"/>
      <c r="O13" s="2636"/>
      <c r="P13" s="2636"/>
      <c r="Q13" s="2637">
        <v>365</v>
      </c>
      <c r="R13" s="2638">
        <f t="shared" si="0"/>
        <v>0</v>
      </c>
      <c r="S13" s="2592"/>
      <c r="T13" s="2592"/>
      <c r="U13" s="2592"/>
      <c r="V13" s="2600"/>
    </row>
    <row r="14" spans="1:22" s="2604" customFormat="1" ht="13.15" customHeight="1">
      <c r="A14" s="2647" t="s">
        <v>2358</v>
      </c>
      <c r="B14" s="3430" t="s">
        <v>2359</v>
      </c>
      <c r="C14" s="3431"/>
      <c r="D14" s="2648">
        <f>ROUND(E14*B5/10000,0)</f>
        <v>0</v>
      </c>
      <c r="E14" s="2637"/>
      <c r="F14" s="2642" t="s">
        <v>2360</v>
      </c>
      <c r="G14" s="2643"/>
      <c r="H14" s="2599"/>
      <c r="I14" s="2600"/>
      <c r="J14" s="3420"/>
      <c r="K14" s="3423"/>
      <c r="L14" s="2654" t="s">
        <v>2361</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2362</v>
      </c>
      <c r="B15" s="3430" t="s">
        <v>2363</v>
      </c>
      <c r="C15" s="3431"/>
      <c r="D15" s="2648">
        <f>ROUND(D6*E15,0)</f>
        <v>0</v>
      </c>
      <c r="E15" s="2649">
        <v>5.5E-2</v>
      </c>
      <c r="F15" s="2642" t="s">
        <v>2364</v>
      </c>
      <c r="G15" s="2624"/>
      <c r="H15" s="2599"/>
      <c r="I15" s="2600"/>
      <c r="J15" s="3420">
        <v>2</v>
      </c>
      <c r="K15" s="3421" t="s">
        <v>2365</v>
      </c>
      <c r="L15" s="2634" t="s">
        <v>2366</v>
      </c>
      <c r="M15" s="2635" t="s">
        <v>2367</v>
      </c>
      <c r="N15" s="2635" t="s">
        <v>2368</v>
      </c>
      <c r="O15" s="2636" t="s">
        <v>2369</v>
      </c>
      <c r="P15" s="2636" t="s">
        <v>2331</v>
      </c>
      <c r="Q15" s="2611" t="s">
        <v>2370</v>
      </c>
      <c r="R15" s="2658" t="s">
        <v>2332</v>
      </c>
      <c r="S15" s="2592"/>
      <c r="T15" s="2592"/>
      <c r="U15" s="2592"/>
      <c r="V15" s="2600"/>
    </row>
    <row r="16" spans="1:22" s="2604" customFormat="1" ht="13.15" customHeight="1">
      <c r="A16" s="2647" t="s">
        <v>2371</v>
      </c>
      <c r="B16" s="3430" t="s">
        <v>2372</v>
      </c>
      <c r="C16" s="3431"/>
      <c r="D16" s="2659">
        <f>D6*E16</f>
        <v>0</v>
      </c>
      <c r="E16" s="2660"/>
      <c r="F16" s="2645" t="s">
        <v>2373</v>
      </c>
      <c r="G16" s="2624"/>
      <c r="H16" s="2599"/>
      <c r="I16" s="2600"/>
      <c r="J16" s="3420"/>
      <c r="K16" s="3422"/>
      <c r="L16" s="2634" t="s">
        <v>2374</v>
      </c>
      <c r="M16" s="2635"/>
      <c r="N16" s="2635"/>
      <c r="O16" s="2636"/>
      <c r="P16" s="2637">
        <v>365</v>
      </c>
      <c r="Q16" s="2611"/>
      <c r="R16" s="2658">
        <f>ROUND(M16*N16*O16*P16/10000,0)</f>
        <v>0</v>
      </c>
      <c r="S16" s="2592"/>
      <c r="T16" s="2592"/>
      <c r="U16" s="2592"/>
      <c r="V16" s="2600"/>
    </row>
    <row r="17" spans="1:22" s="2604" customFormat="1" ht="13.15" customHeight="1" thickBot="1">
      <c r="A17" s="2661">
        <v>4</v>
      </c>
      <c r="B17" s="3432" t="s">
        <v>2375</v>
      </c>
      <c r="C17" s="3433"/>
      <c r="D17" s="2662">
        <f>ROUND(D6*E17,0)</f>
        <v>0</v>
      </c>
      <c r="E17" s="2663"/>
      <c r="F17" s="2664" t="s">
        <v>2376</v>
      </c>
      <c r="G17" s="2624"/>
      <c r="H17" s="2599"/>
      <c r="I17" s="2600"/>
      <c r="J17" s="3420"/>
      <c r="K17" s="3422"/>
      <c r="L17" s="2634" t="s">
        <v>2377</v>
      </c>
      <c r="M17" s="2635"/>
      <c r="N17" s="2635"/>
      <c r="O17" s="2636"/>
      <c r="P17" s="2637">
        <v>365</v>
      </c>
      <c r="Q17" s="2611"/>
      <c r="R17" s="2658">
        <f>ROUND(M17*N17*O17*P17/10000,0)</f>
        <v>0</v>
      </c>
      <c r="S17" s="2592"/>
      <c r="T17" s="2592"/>
      <c r="U17" s="2592"/>
      <c r="V17" s="2600"/>
    </row>
    <row r="18" spans="1:22" s="2604" customFormat="1" ht="13.15" customHeight="1" thickBot="1">
      <c r="A18" s="2627" t="s">
        <v>2378</v>
      </c>
      <c r="B18" s="2628"/>
      <c r="C18" s="2628"/>
      <c r="D18" s="2665">
        <f>ROUND(D6*E18,0)</f>
        <v>0</v>
      </c>
      <c r="E18" s="2666"/>
      <c r="F18" s="2667" t="s">
        <v>2379</v>
      </c>
      <c r="G18" s="2624"/>
      <c r="H18" s="2599"/>
      <c r="I18" s="2600"/>
      <c r="J18" s="3420"/>
      <c r="K18" s="3422"/>
      <c r="L18" s="2634" t="s">
        <v>2380</v>
      </c>
      <c r="M18" s="2635"/>
      <c r="N18" s="2635"/>
      <c r="O18" s="2636"/>
      <c r="P18" s="2637">
        <v>365</v>
      </c>
      <c r="Q18" s="2611"/>
      <c r="R18" s="2658">
        <f>ROUND(M18*N18*O18*P18/10000,0)</f>
        <v>0</v>
      </c>
      <c r="S18" s="2592"/>
      <c r="T18" s="2592"/>
      <c r="U18" s="2592"/>
      <c r="V18" s="2600"/>
    </row>
    <row r="19" spans="1:22" s="2604" customFormat="1" ht="13.15" customHeight="1" thickBot="1">
      <c r="A19" s="2668" t="s">
        <v>2381</v>
      </c>
      <c r="B19" s="2622"/>
      <c r="C19" s="2622"/>
      <c r="D19" s="2622"/>
      <c r="E19" s="2622"/>
      <c r="F19" s="2623"/>
      <c r="G19" s="2643"/>
      <c r="H19" s="2599"/>
      <c r="I19" s="2600"/>
      <c r="J19" s="3420"/>
      <c r="K19" s="3423"/>
      <c r="L19" s="2654" t="s">
        <v>2361</v>
      </c>
      <c r="M19" s="2655"/>
      <c r="N19" s="2655">
        <f>SUM(N16:N18)</f>
        <v>0</v>
      </c>
      <c r="O19" s="2656"/>
      <c r="P19" s="2669" t="s">
        <v>2425</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420">
        <v>3</v>
      </c>
      <c r="K20" s="3421" t="s">
        <v>2382</v>
      </c>
      <c r="L20" s="2634" t="s">
        <v>2383</v>
      </c>
      <c r="M20" s="2635" t="s">
        <v>2384</v>
      </c>
      <c r="N20" s="2672" t="s">
        <v>2385</v>
      </c>
      <c r="O20" s="2636" t="s">
        <v>2386</v>
      </c>
      <c r="P20" s="2637" t="s">
        <v>2387</v>
      </c>
      <c r="Q20" s="2611" t="s">
        <v>2388</v>
      </c>
      <c r="R20" s="2658" t="s">
        <v>2389</v>
      </c>
      <c r="S20" s="2592"/>
      <c r="T20" s="2592"/>
      <c r="U20" s="2592"/>
      <c r="V20" s="2600"/>
    </row>
    <row r="21" spans="1:22" s="2604" customFormat="1" ht="13.15" customHeight="1">
      <c r="A21" s="2627"/>
      <c r="B21" s="2628"/>
      <c r="C21" s="2673" t="s">
        <v>2390</v>
      </c>
      <c r="D21" s="2674" t="s">
        <v>2391</v>
      </c>
      <c r="E21" s="2675" t="s">
        <v>2392</v>
      </c>
      <c r="F21" s="2671"/>
      <c r="G21" s="2643"/>
      <c r="H21" s="2599"/>
      <c r="I21" s="2600"/>
      <c r="J21" s="3420"/>
      <c r="K21" s="3422"/>
      <c r="L21" s="2634" t="s">
        <v>2393</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2394</v>
      </c>
      <c r="D22" s="2678" t="s">
        <v>2395</v>
      </c>
      <c r="E22" s="2679" t="s">
        <v>2396</v>
      </c>
      <c r="F22" s="2671"/>
      <c r="G22" s="2592"/>
      <c r="H22" s="2599"/>
      <c r="I22" s="2600"/>
      <c r="J22" s="3420"/>
      <c r="K22" s="3422"/>
      <c r="L22" s="2634" t="s">
        <v>2397</v>
      </c>
      <c r="M22" s="2635"/>
      <c r="N22" s="2635"/>
      <c r="O22" s="2636"/>
      <c r="P22" s="2637">
        <v>365</v>
      </c>
      <c r="Q22" s="2611"/>
      <c r="R22" s="2676">
        <f>ROUND(M22*N22*O22*P22/10000,0)</f>
        <v>0</v>
      </c>
      <c r="S22" s="2592"/>
      <c r="T22" s="2592"/>
      <c r="U22" s="2592"/>
      <c r="V22" s="2600"/>
    </row>
    <row r="23" spans="1:22" s="2604" customFormat="1" ht="13.15" customHeight="1">
      <c r="A23" s="2680">
        <v>1</v>
      </c>
      <c r="B23" s="2681" t="s">
        <v>2398</v>
      </c>
      <c r="C23" s="2682">
        <f>D6</f>
        <v>0</v>
      </c>
      <c r="D23" s="2683">
        <f>C23*(1+D24)</f>
        <v>0</v>
      </c>
      <c r="E23" s="2684">
        <f>D23*(1+E24)</f>
        <v>0</v>
      </c>
      <c r="F23" s="2685"/>
      <c r="G23" s="2686"/>
      <c r="H23" s="2599"/>
      <c r="I23" s="2600"/>
      <c r="J23" s="3420"/>
      <c r="K23" s="3422"/>
      <c r="L23" s="2634" t="s">
        <v>2399</v>
      </c>
      <c r="M23" s="2635"/>
      <c r="N23" s="2635"/>
      <c r="O23" s="2636"/>
      <c r="P23" s="2637">
        <v>365</v>
      </c>
      <c r="Q23" s="2611"/>
      <c r="R23" s="2676">
        <f>ROUND(M23*N23*O23*P23/10000,0)</f>
        <v>0</v>
      </c>
      <c r="S23" s="2592"/>
      <c r="T23" s="2592"/>
      <c r="U23" s="2592"/>
      <c r="V23" s="2600"/>
    </row>
    <row r="24" spans="1:22" s="2604" customFormat="1" ht="13.15" customHeight="1">
      <c r="A24" s="2687"/>
      <c r="B24" s="2688" t="s">
        <v>2400</v>
      </c>
      <c r="C24" s="2689"/>
      <c r="D24" s="2690"/>
      <c r="E24" s="2691"/>
      <c r="F24" s="2692"/>
      <c r="G24" s="2686"/>
      <c r="H24" s="2599"/>
      <c r="I24" s="2600"/>
      <c r="J24" s="3420"/>
      <c r="K24" s="3423"/>
      <c r="L24" s="2654" t="s">
        <v>2361</v>
      </c>
      <c r="M24" s="2655">
        <f>SUM(M21:M23)</f>
        <v>0</v>
      </c>
      <c r="N24" s="2655"/>
      <c r="O24" s="2656"/>
      <c r="P24" s="2669" t="s">
        <v>2425</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2401</v>
      </c>
      <c r="L25" s="2695"/>
      <c r="M25" s="2695"/>
      <c r="N25" s="2695"/>
      <c r="O25" s="2695"/>
      <c r="P25" s="2696"/>
      <c r="Q25" s="2697">
        <v>0</v>
      </c>
      <c r="R25" s="2670">
        <f>ROUND(R14*Q25,0)</f>
        <v>0</v>
      </c>
      <c r="S25" s="2592"/>
      <c r="T25" s="2592"/>
      <c r="U25" s="2592"/>
      <c r="V25" s="2698"/>
    </row>
    <row r="26" spans="1:22" s="2699" customFormat="1" ht="13.15" customHeight="1">
      <c r="A26" s="2680">
        <v>2</v>
      </c>
      <c r="B26" s="2681" t="s">
        <v>2402</v>
      </c>
      <c r="C26" s="2682">
        <f>D7</f>
        <v>0</v>
      </c>
      <c r="D26" s="2683">
        <f>D23*D27</f>
        <v>0</v>
      </c>
      <c r="E26" s="2684">
        <f>E23*E27</f>
        <v>0</v>
      </c>
      <c r="F26" s="2685"/>
      <c r="G26" s="2686"/>
      <c r="H26" s="2599"/>
      <c r="I26" s="2600"/>
      <c r="J26" s="3424">
        <v>5</v>
      </c>
      <c r="K26" s="2700" t="s">
        <v>2403</v>
      </c>
      <c r="L26" s="2701"/>
      <c r="M26" s="2702"/>
      <c r="N26" s="2703" t="s">
        <v>2404</v>
      </c>
      <c r="O26" s="2703" t="s">
        <v>2405</v>
      </c>
      <c r="P26" s="2704" t="s">
        <v>2406</v>
      </c>
      <c r="Q26" s="2704" t="s">
        <v>2407</v>
      </c>
      <c r="R26" s="2609" t="s">
        <v>2332</v>
      </c>
      <c r="S26" s="2643"/>
      <c r="T26" s="2643"/>
      <c r="U26" s="2643"/>
      <c r="V26" s="2698"/>
    </row>
    <row r="27" spans="1:22" s="2604" customFormat="1" ht="13.15" customHeight="1">
      <c r="A27" s="2687"/>
      <c r="B27" s="2688" t="s">
        <v>2408</v>
      </c>
      <c r="C27" s="2705" t="e">
        <f>E7</f>
        <v>#DIV/0!</v>
      </c>
      <c r="D27" s="2690"/>
      <c r="E27" s="2691"/>
      <c r="F27" s="2692"/>
      <c r="G27" s="2686"/>
      <c r="H27" s="2706"/>
      <c r="I27" s="2698"/>
      <c r="J27" s="3425"/>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2409</v>
      </c>
      <c r="F28" s="2692"/>
      <c r="G28" s="2592"/>
      <c r="H28" s="2706"/>
      <c r="I28" s="2698"/>
      <c r="J28" s="2712">
        <v>6</v>
      </c>
      <c r="K28" s="2713" t="s">
        <v>2410</v>
      </c>
      <c r="L28" s="2714" t="s">
        <v>2411</v>
      </c>
      <c r="M28" s="2715"/>
      <c r="N28" s="2714" t="s">
        <v>2412</v>
      </c>
      <c r="O28" s="2716"/>
      <c r="P28" s="2714" t="s">
        <v>2413</v>
      </c>
      <c r="Q28" s="2717">
        <v>1.4999999999999999E-2</v>
      </c>
      <c r="R28" s="2718"/>
      <c r="S28" s="2592"/>
      <c r="T28" s="2592"/>
      <c r="U28" s="2592"/>
      <c r="V28" s="2698"/>
    </row>
    <row r="29" spans="1:22" s="2699" customFormat="1" ht="13.15" customHeight="1">
      <c r="A29" s="2680">
        <v>3</v>
      </c>
      <c r="B29" s="2681" t="s">
        <v>2414</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2408</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2415</v>
      </c>
      <c r="K31" s="2590"/>
      <c r="L31" s="2590"/>
      <c r="M31" s="2590"/>
      <c r="N31" s="2590"/>
      <c r="O31" s="2590"/>
      <c r="P31" s="2590"/>
      <c r="Q31" s="2590"/>
      <c r="R31" s="2591"/>
      <c r="S31" s="2592"/>
      <c r="T31" s="2592"/>
      <c r="U31" s="2592"/>
      <c r="V31" s="2698"/>
    </row>
    <row r="32" spans="1:22" s="2699" customFormat="1" ht="13.15" customHeight="1">
      <c r="A32" s="2680">
        <v>4</v>
      </c>
      <c r="B32" s="2681" t="s">
        <v>2416</v>
      </c>
      <c r="C32" s="2682">
        <f>C23-C26-C29</f>
        <v>0</v>
      </c>
      <c r="D32" s="2683">
        <f>D23-D26-D29</f>
        <v>0</v>
      </c>
      <c r="E32" s="2684">
        <f>E23-E26-E29</f>
        <v>0</v>
      </c>
      <c r="F32" s="2685"/>
      <c r="G32" s="2592"/>
      <c r="H32" s="2599"/>
      <c r="I32" s="2600"/>
      <c r="J32" s="3426" t="s">
        <v>2308</v>
      </c>
      <c r="K32" s="3427"/>
      <c r="L32" s="2601" t="s">
        <v>2309</v>
      </c>
      <c r="M32" s="2601" t="s">
        <v>2310</v>
      </c>
      <c r="N32" s="2601" t="s">
        <v>2311</v>
      </c>
      <c r="O32" s="2601" t="s">
        <v>2312</v>
      </c>
      <c r="P32" s="2601" t="s">
        <v>2313</v>
      </c>
      <c r="Q32" s="2602" t="s">
        <v>2314</v>
      </c>
      <c r="R32" s="2721" t="s">
        <v>2315</v>
      </c>
      <c r="S32" s="2592"/>
      <c r="T32" s="2592"/>
      <c r="U32" s="2592"/>
      <c r="V32" s="2698"/>
    </row>
    <row r="33" spans="1:23" s="2604" customFormat="1" ht="13.15" customHeight="1">
      <c r="A33" s="2680"/>
      <c r="B33" s="2681"/>
      <c r="C33" s="2682"/>
      <c r="D33" s="2722"/>
      <c r="E33" s="2723"/>
      <c r="F33" s="2685"/>
      <c r="G33" s="2592"/>
      <c r="H33" s="2706"/>
      <c r="I33" s="2698"/>
      <c r="J33" s="3428" t="s">
        <v>2318</v>
      </c>
      <c r="K33" s="3429"/>
      <c r="L33" s="2607"/>
      <c r="M33" s="2607"/>
      <c r="N33" s="2607"/>
      <c r="O33" s="2607"/>
      <c r="P33" s="2607"/>
      <c r="Q33" s="2608"/>
      <c r="R33" s="2724">
        <f>SUM(L33:Q33)</f>
        <v>0</v>
      </c>
      <c r="S33" s="2592"/>
      <c r="T33" s="2592"/>
      <c r="U33" s="2592"/>
      <c r="V33" s="2600"/>
    </row>
    <row r="34" spans="1:23" s="2604" customFormat="1" ht="13.15" customHeight="1">
      <c r="A34" s="2680">
        <v>5</v>
      </c>
      <c r="B34" s="2681" t="s">
        <v>2417</v>
      </c>
      <c r="C34" s="2725"/>
      <c r="D34" s="2726"/>
      <c r="E34" s="2727"/>
      <c r="F34" s="2685"/>
      <c r="G34" s="2592"/>
      <c r="H34" s="2706"/>
      <c r="I34" s="2698"/>
      <c r="J34" s="3428" t="s">
        <v>2320</v>
      </c>
      <c r="K34" s="3429"/>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2418</v>
      </c>
      <c r="C35" s="2729"/>
      <c r="D35" s="2730"/>
      <c r="E35" s="2731"/>
      <c r="F35" s="2685"/>
      <c r="G35" s="2732"/>
      <c r="H35" s="2599"/>
      <c r="I35" s="2698"/>
      <c r="J35" s="2618" t="s">
        <v>2322</v>
      </c>
      <c r="K35" s="2619"/>
      <c r="L35" s="2619"/>
      <c r="M35" s="2620"/>
      <c r="N35" s="2620"/>
      <c r="O35" s="2620"/>
      <c r="P35" s="2620"/>
      <c r="Q35" s="2620"/>
      <c r="R35" s="2733">
        <f>R40+R41+R43</f>
        <v>0</v>
      </c>
      <c r="S35" s="2592"/>
      <c r="T35" s="2592" t="s">
        <v>2323</v>
      </c>
      <c r="U35" s="2592"/>
      <c r="V35" s="2600"/>
    </row>
    <row r="36" spans="1:23" s="2604" customFormat="1" ht="13.15" customHeight="1" thickBot="1">
      <c r="A36" s="2680">
        <v>7</v>
      </c>
      <c r="B36" s="2734" t="s">
        <v>2419</v>
      </c>
      <c r="C36" s="2735"/>
      <c r="D36" s="2736"/>
      <c r="E36" s="2737"/>
      <c r="F36" s="2738">
        <f>C36+D36+E36</f>
        <v>0</v>
      </c>
      <c r="G36" s="2592"/>
      <c r="H36" s="2599"/>
      <c r="I36" s="2600"/>
      <c r="J36" s="3420">
        <v>1</v>
      </c>
      <c r="K36" s="3421" t="s">
        <v>2420</v>
      </c>
      <c r="L36" s="2625"/>
      <c r="M36" s="2626"/>
      <c r="N36" s="2626"/>
      <c r="O36" s="2626"/>
      <c r="P36" s="2626"/>
      <c r="Q36" s="2626"/>
      <c r="R36" s="2609" t="s">
        <v>2332</v>
      </c>
      <c r="S36" s="2592"/>
      <c r="T36" s="2592" t="s">
        <v>2333</v>
      </c>
      <c r="U36" s="2592"/>
      <c r="V36" s="2600"/>
    </row>
    <row r="37" spans="1:23" s="2604" customFormat="1" ht="13.15" customHeight="1">
      <c r="A37" s="2680"/>
      <c r="B37" s="2681"/>
      <c r="C37" s="2681"/>
      <c r="D37" s="2681"/>
      <c r="E37" s="2681"/>
      <c r="F37" s="2685"/>
      <c r="G37" s="2592"/>
      <c r="H37" s="2599"/>
      <c r="I37" s="2600"/>
      <c r="J37" s="3420"/>
      <c r="K37" s="3422"/>
      <c r="L37" s="2634"/>
      <c r="M37" s="2635"/>
      <c r="N37" s="2611"/>
      <c r="O37" s="2636"/>
      <c r="P37" s="2636"/>
      <c r="Q37" s="2637"/>
      <c r="R37" s="2638"/>
      <c r="S37" s="2592"/>
      <c r="T37" s="2592" t="s">
        <v>2336</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420"/>
      <c r="K38" s="3422"/>
      <c r="L38" s="2634"/>
      <c r="M38" s="2635"/>
      <c r="N38" s="2611"/>
      <c r="O38" s="2636"/>
      <c r="P38" s="2636"/>
      <c r="Q38" s="2637"/>
      <c r="R38" s="2638"/>
      <c r="S38" s="2592"/>
      <c r="T38" s="2592" t="s">
        <v>2343</v>
      </c>
      <c r="U38" s="2592"/>
      <c r="V38" s="2600"/>
    </row>
    <row r="39" spans="1:23" s="2604" customFormat="1" ht="13.15" customHeight="1">
      <c r="A39" s="2680">
        <v>9</v>
      </c>
      <c r="B39" s="2681" t="s">
        <v>2421</v>
      </c>
      <c r="C39" s="2648" t="e">
        <f>C38</f>
        <v>#DIV/0!</v>
      </c>
      <c r="D39" s="2681">
        <f>D38/(1+D34)^C36</f>
        <v>0</v>
      </c>
      <c r="E39" s="2681">
        <f>E38/(1+E34)^(C36+D36)</f>
        <v>0</v>
      </c>
      <c r="F39" s="2685"/>
      <c r="G39" s="2600"/>
      <c r="H39" s="2599"/>
      <c r="I39" s="2600"/>
      <c r="J39" s="3420"/>
      <c r="K39" s="3422"/>
      <c r="L39" s="2634"/>
      <c r="M39" s="2635"/>
      <c r="N39" s="2611"/>
      <c r="O39" s="2636"/>
      <c r="P39" s="2636"/>
      <c r="Q39" s="2637"/>
      <c r="R39" s="2638"/>
      <c r="S39" s="2592"/>
      <c r="T39" s="2592"/>
      <c r="U39" s="2592"/>
      <c r="V39" s="2600"/>
    </row>
    <row r="40" spans="1:23" s="2604" customFormat="1" ht="13.15" customHeight="1">
      <c r="A40" s="2739">
        <v>10</v>
      </c>
      <c r="B40" s="2681" t="s">
        <v>2422</v>
      </c>
      <c r="C40" s="2740" t="e">
        <f>C39+D39+E39</f>
        <v>#DIV/0!</v>
      </c>
      <c r="D40" s="2741"/>
      <c r="E40" s="2741"/>
      <c r="F40" s="2742"/>
      <c r="G40" s="2592"/>
      <c r="H40" s="2599"/>
      <c r="I40" s="2600"/>
      <c r="J40" s="3420"/>
      <c r="K40" s="3423"/>
      <c r="L40" s="2654" t="s">
        <v>2361</v>
      </c>
      <c r="M40" s="2655"/>
      <c r="N40" s="2655"/>
      <c r="O40" s="2656"/>
      <c r="P40" s="2656"/>
      <c r="Q40" s="2657"/>
      <c r="R40" s="2603">
        <f>SUM(R37:R39)</f>
        <v>0</v>
      </c>
      <c r="S40" s="2592"/>
      <c r="T40" s="2592"/>
      <c r="U40" s="2592"/>
      <c r="V40" s="2600"/>
    </row>
    <row r="41" spans="1:23" s="2604" customFormat="1" ht="13.15" customHeight="1" thickBot="1">
      <c r="A41" s="2743">
        <v>11</v>
      </c>
      <c r="B41" s="2744" t="s">
        <v>2423</v>
      </c>
      <c r="C41" s="2744" t="e">
        <f>ROUND(C40*10000/B4,0)</f>
        <v>#DIV/0!</v>
      </c>
      <c r="D41" s="2745"/>
      <c r="E41" s="2745"/>
      <c r="F41" s="2746"/>
      <c r="G41" s="2599"/>
      <c r="H41" s="2599"/>
      <c r="I41" s="2600"/>
      <c r="J41" s="2693">
        <v>2</v>
      </c>
      <c r="K41" s="2694" t="s">
        <v>2401</v>
      </c>
      <c r="L41" s="2695"/>
      <c r="M41" s="2695"/>
      <c r="N41" s="2695"/>
      <c r="O41" s="2695"/>
      <c r="P41" s="2696"/>
      <c r="Q41" s="2697"/>
      <c r="R41" s="2670">
        <f>ROUND(R40*Q41,0)</f>
        <v>0</v>
      </c>
      <c r="S41" s="2592"/>
      <c r="T41" s="2592"/>
      <c r="U41" s="2643"/>
      <c r="V41" s="2600"/>
    </row>
    <row r="42" spans="1:23" s="2604" customFormat="1" ht="13.15" customHeight="1">
      <c r="G42" s="2599"/>
      <c r="H42" s="2599"/>
      <c r="I42" s="2600"/>
      <c r="J42" s="3424">
        <v>3</v>
      </c>
      <c r="K42" s="2700" t="s">
        <v>2403</v>
      </c>
      <c r="L42" s="2701"/>
      <c r="M42" s="2702"/>
      <c r="N42" s="2703" t="s">
        <v>2404</v>
      </c>
      <c r="O42" s="2703" t="s">
        <v>2405</v>
      </c>
      <c r="P42" s="2704" t="s">
        <v>2406</v>
      </c>
      <c r="Q42" s="2704" t="s">
        <v>2407</v>
      </c>
      <c r="R42" s="2609" t="s">
        <v>2332</v>
      </c>
      <c r="S42" s="2643"/>
      <c r="T42" s="2643"/>
      <c r="U42" s="2592"/>
      <c r="V42" s="2600"/>
    </row>
    <row r="43" spans="1:23" ht="13.15" customHeight="1">
      <c r="A43" s="2604"/>
      <c r="B43" s="2604"/>
      <c r="C43" s="2604"/>
      <c r="D43" s="2604"/>
      <c r="E43" s="2604"/>
      <c r="F43" s="2604"/>
      <c r="I43" s="2587"/>
      <c r="J43" s="3425"/>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2410</v>
      </c>
      <c r="L44" s="2749" t="s">
        <v>2411</v>
      </c>
      <c r="M44" s="2715"/>
      <c r="N44" s="2749" t="s">
        <v>2412</v>
      </c>
      <c r="O44" s="2715"/>
      <c r="P44" s="2749" t="s">
        <v>2413</v>
      </c>
      <c r="Q44" s="2717">
        <v>1.4999999999999999E-2</v>
      </c>
      <c r="R44" s="271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80"/>
      <c r="G1" s="459"/>
      <c r="H1" s="459"/>
      <c r="I1" s="459"/>
      <c r="J1" s="459"/>
      <c r="K1" s="459"/>
      <c r="L1" s="459"/>
      <c r="M1" s="459"/>
      <c r="N1" s="459"/>
      <c r="O1" s="459"/>
      <c r="P1" s="459"/>
      <c r="Q1" s="459"/>
      <c r="R1" s="459"/>
      <c r="S1" s="459"/>
    </row>
    <row r="2" spans="1:22" ht="15.75">
      <c r="A2" s="1728" t="s">
        <v>1462</v>
      </c>
      <c r="B2" s="811">
        <f ca="1">SUMIF(B6:B13,"&lt;&gt;#ref!",B6:B13)</f>
        <v>204432</v>
      </c>
      <c r="C2" s="1729" t="s">
        <v>1651</v>
      </c>
      <c r="D2" s="1730" t="s">
        <v>1652</v>
      </c>
      <c r="E2" s="2393">
        <f>SUM(E6:E13)</f>
        <v>103889.93000000002</v>
      </c>
      <c r="F2" s="2480"/>
      <c r="G2" s="459"/>
      <c r="H2" s="459"/>
      <c r="I2" s="459"/>
      <c r="J2" s="459"/>
      <c r="K2" s="459"/>
      <c r="L2" s="459"/>
      <c r="M2" s="459"/>
      <c r="N2" s="459"/>
      <c r="O2" s="459"/>
      <c r="P2" s="459"/>
      <c r="Q2" s="459"/>
      <c r="R2" s="459"/>
      <c r="S2" s="459"/>
    </row>
    <row r="3" spans="1:22" ht="15.75">
      <c r="A3" s="1728" t="s">
        <v>686</v>
      </c>
      <c r="B3" s="2387">
        <f ca="1">ROUND(B2*10000/E2,0)</f>
        <v>19678</v>
      </c>
      <c r="C3" s="1729" t="s">
        <v>1659</v>
      </c>
      <c r="D3" s="2480"/>
      <c r="E3" s="2483"/>
      <c r="F3" s="2480"/>
      <c r="G3" s="459"/>
      <c r="H3" s="459"/>
      <c r="I3" s="459"/>
      <c r="J3" s="459"/>
      <c r="K3" s="459"/>
      <c r="L3" s="459"/>
      <c r="M3" s="459"/>
      <c r="N3" s="459"/>
      <c r="O3" s="459"/>
      <c r="P3" s="459"/>
      <c r="Q3" s="459"/>
      <c r="R3" s="459"/>
      <c r="S3" s="459"/>
    </row>
    <row r="4" spans="1:22" ht="15.75">
      <c r="A4" s="2484"/>
      <c r="B4" s="2480"/>
      <c r="C4" s="2480"/>
      <c r="D4" s="2480"/>
      <c r="E4" s="2483"/>
      <c r="F4" s="2480"/>
      <c r="G4" s="459"/>
      <c r="H4" s="459"/>
      <c r="I4" s="459"/>
      <c r="J4" s="459"/>
      <c r="K4" s="459"/>
      <c r="L4" s="459"/>
      <c r="M4" s="459"/>
      <c r="N4" s="459"/>
      <c r="O4" s="459"/>
      <c r="P4" s="459"/>
      <c r="Q4" s="459"/>
      <c r="R4" s="459"/>
      <c r="S4" s="459"/>
    </row>
    <row r="5" spans="1:22" ht="15">
      <c r="A5" s="2389" t="s">
        <v>1653</v>
      </c>
      <c r="B5" s="3439" t="s">
        <v>1654</v>
      </c>
      <c r="C5" s="3440"/>
      <c r="D5" s="2481"/>
      <c r="E5" s="1731" t="s">
        <v>1655</v>
      </c>
      <c r="F5" s="129" t="s">
        <v>1656</v>
      </c>
      <c r="G5" s="459"/>
      <c r="H5" s="459"/>
      <c r="I5" s="459"/>
      <c r="J5" s="459"/>
      <c r="K5" s="459"/>
      <c r="L5" s="459"/>
      <c r="M5" s="459"/>
      <c r="N5" s="459"/>
      <c r="O5" s="459"/>
      <c r="P5" s="459"/>
      <c r="Q5" s="459"/>
      <c r="R5" s="459"/>
      <c r="S5" s="459"/>
    </row>
    <row r="6" spans="1:22">
      <c r="A6" s="2390" t="str">
        <f>'数据-取费表'!AN6</f>
        <v>收益法</v>
      </c>
      <c r="B6" s="2388">
        <f ca="1">IF(F6="是",'数据-取费表'!AO6,0)</f>
        <v>204432</v>
      </c>
      <c r="C6" s="1729" t="s">
        <v>1651</v>
      </c>
      <c r="D6" s="2480"/>
      <c r="E6" s="2392">
        <f>IF(OR(A6=0,F6="否"),0,'数据-取费表'!K6+'数据-取费表'!S6)</f>
        <v>103889.93000000002</v>
      </c>
      <c r="F6" s="1732" t="s">
        <v>1657</v>
      </c>
      <c r="G6" s="459"/>
      <c r="H6" s="459"/>
      <c r="I6" s="459"/>
      <c r="J6" s="459"/>
      <c r="K6" s="459"/>
      <c r="L6" s="459"/>
      <c r="M6" s="459"/>
      <c r="N6" s="459"/>
      <c r="O6" s="459"/>
      <c r="P6" s="459"/>
      <c r="Q6" s="459"/>
      <c r="R6" s="459"/>
      <c r="S6" s="459"/>
    </row>
    <row r="7" spans="1:22">
      <c r="A7" s="2390">
        <f>'数据-取费表'!AN7</f>
        <v>0</v>
      </c>
      <c r="B7" s="2388" t="e">
        <f ca="1">IF(F7="是",'数据-取费表'!AO7,0)</f>
        <v>#REF!</v>
      </c>
      <c r="C7" s="1729" t="s">
        <v>1651</v>
      </c>
      <c r="D7" s="2480"/>
      <c r="E7" s="2392">
        <f>IF(OR(A7=0,F7="否"),0,'数据-取费表'!K7+'数据-取费表'!S7)</f>
        <v>0</v>
      </c>
      <c r="F7" s="1732" t="s">
        <v>1657</v>
      </c>
      <c r="G7" s="459"/>
      <c r="H7" s="459"/>
      <c r="I7" s="459"/>
      <c r="J7" s="459"/>
      <c r="K7" s="459"/>
      <c r="L7" s="459"/>
      <c r="M7" s="459"/>
      <c r="N7" s="459"/>
      <c r="O7" s="459"/>
      <c r="P7" s="459"/>
      <c r="Q7" s="459"/>
      <c r="R7" s="459"/>
      <c r="S7" s="459"/>
    </row>
    <row r="8" spans="1:22">
      <c r="A8" s="2390">
        <f>'数据-取费表'!AN8</f>
        <v>0</v>
      </c>
      <c r="B8" s="2388" t="e">
        <f ca="1">IF(F8="是",'数据-取费表'!AO8,0)</f>
        <v>#REF!</v>
      </c>
      <c r="C8" s="1729" t="s">
        <v>1651</v>
      </c>
      <c r="D8" s="2480"/>
      <c r="E8" s="2392">
        <f>IF(OR(A8=0,F8="否"),0,'数据-取费表'!K8+'数据-取费表'!S8)</f>
        <v>0</v>
      </c>
      <c r="F8" s="1732" t="s">
        <v>1657</v>
      </c>
      <c r="G8" s="459"/>
      <c r="H8" s="459"/>
      <c r="I8" s="459"/>
      <c r="J8" s="459"/>
      <c r="K8" s="459"/>
      <c r="L8" s="459"/>
      <c r="M8" s="459"/>
      <c r="N8" s="459"/>
      <c r="O8" s="459"/>
      <c r="P8" s="459"/>
      <c r="Q8" s="459"/>
      <c r="R8" s="459"/>
      <c r="S8" s="459"/>
    </row>
    <row r="9" spans="1:22">
      <c r="A9" s="2390">
        <f>'数据-取费表'!AN9</f>
        <v>0</v>
      </c>
      <c r="B9" s="2388" t="e">
        <f ca="1">IF(F9="是",'数据-取费表'!AO9,0)</f>
        <v>#REF!</v>
      </c>
      <c r="C9" s="1729" t="s">
        <v>1651</v>
      </c>
      <c r="D9" s="2480"/>
      <c r="E9" s="2392">
        <f>IF(OR(A9=0,F9="否"),0,'数据-取费表'!K9+'数据-取费表'!S9)</f>
        <v>0</v>
      </c>
      <c r="F9" s="1732" t="s">
        <v>1657</v>
      </c>
      <c r="G9" s="459"/>
      <c r="H9" s="459"/>
      <c r="I9" s="459"/>
      <c r="J9" s="459"/>
      <c r="K9" s="459"/>
      <c r="L9" s="459"/>
      <c r="M9" s="459"/>
      <c r="N9" s="459"/>
      <c r="O9" s="459"/>
      <c r="P9" s="459"/>
      <c r="Q9" s="459"/>
      <c r="R9" s="459"/>
      <c r="S9" s="459"/>
    </row>
    <row r="10" spans="1:22">
      <c r="A10" s="2390">
        <f>'数据-取费表'!AN10</f>
        <v>0</v>
      </c>
      <c r="B10" s="2388" t="e">
        <f ca="1">IF(F10="是",'数据-取费表'!AO10,0)</f>
        <v>#REF!</v>
      </c>
      <c r="C10" s="1729" t="s">
        <v>1651</v>
      </c>
      <c r="D10" s="2480"/>
      <c r="E10" s="2392">
        <f>IF(OR(A10=0,F10="否"),0,'数据-取费表'!K10+'数据-取费表'!S10)</f>
        <v>0</v>
      </c>
      <c r="F10" s="1732" t="s">
        <v>1657</v>
      </c>
      <c r="G10" s="459"/>
      <c r="H10" s="459"/>
      <c r="I10" s="459"/>
      <c r="J10" s="459"/>
      <c r="K10" s="459"/>
      <c r="L10" s="459"/>
      <c r="M10" s="459"/>
      <c r="N10" s="459"/>
      <c r="O10" s="459"/>
      <c r="P10" s="459"/>
      <c r="Q10" s="459"/>
      <c r="R10" s="459"/>
      <c r="S10" s="459"/>
    </row>
    <row r="11" spans="1:22">
      <c r="A11" s="2390">
        <f>'数据-取费表'!AN11</f>
        <v>0</v>
      </c>
      <c r="B11" s="2388" t="e">
        <f ca="1">IF(F11="是",'数据-取费表'!AO11,0)</f>
        <v>#REF!</v>
      </c>
      <c r="C11" s="1729" t="s">
        <v>1651</v>
      </c>
      <c r="D11" s="2480"/>
      <c r="E11" s="2392">
        <f>IF(OR(A11=0,F11="否"),0,'数据-取费表'!K11+'数据-取费表'!S11)</f>
        <v>0</v>
      </c>
      <c r="F11" s="1732" t="s">
        <v>1657</v>
      </c>
      <c r="G11" s="459"/>
      <c r="H11" s="459"/>
      <c r="I11" s="459"/>
      <c r="J11" s="459"/>
      <c r="K11" s="459"/>
      <c r="L11" s="459"/>
      <c r="M11" s="459"/>
      <c r="N11" s="459"/>
      <c r="O11" s="459"/>
      <c r="P11" s="459"/>
      <c r="Q11" s="459"/>
      <c r="R11" s="459"/>
      <c r="S11" s="459"/>
    </row>
    <row r="12" spans="1:22">
      <c r="A12" s="2390">
        <f>'数据-取费表'!AN12</f>
        <v>0</v>
      </c>
      <c r="B12" s="2388" t="e">
        <f ca="1">IF(F12="是",'数据-取费表'!AO12,0)</f>
        <v>#REF!</v>
      </c>
      <c r="C12" s="1729" t="s">
        <v>1651</v>
      </c>
      <c r="D12" s="2480"/>
      <c r="E12" s="2392">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1">
        <f>'数据-取费表'!AN13</f>
        <v>0</v>
      </c>
      <c r="B13" s="2388" t="e">
        <f ca="1">IF(F13="是",'数据-取费表'!AO13,0)</f>
        <v>#REF!</v>
      </c>
      <c r="C13" s="1733" t="s">
        <v>1651</v>
      </c>
      <c r="D13" s="2482"/>
      <c r="E13" s="2392">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zoomScaleSheetLayoutView="70" workbookViewId="0">
      <selection activeCell="J47" sqref="J47:J49"/>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4"/>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5"/>
      <c r="M2" s="2486"/>
      <c r="N2" s="2486"/>
      <c r="O2" s="2486"/>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103889.93000000002</v>
      </c>
      <c r="E3" s="854"/>
      <c r="F3" s="1743"/>
      <c r="G3" s="854"/>
      <c r="H3" s="854"/>
      <c r="I3" s="854"/>
      <c r="J3" s="854"/>
      <c r="K3" s="1740"/>
      <c r="L3" s="2485"/>
      <c r="M3" s="2486"/>
      <c r="N3" s="2486"/>
      <c r="O3" s="2486"/>
      <c r="P3" s="1741"/>
      <c r="Q3" s="1742"/>
      <c r="R3" s="1742"/>
      <c r="S3" s="1742"/>
      <c r="T3" s="1742"/>
      <c r="U3" s="1742"/>
      <c r="V3" s="1742"/>
      <c r="W3" s="1742"/>
      <c r="X3" s="1742"/>
      <c r="Y3" s="1742"/>
      <c r="Z3" s="1742"/>
      <c r="AA3" s="1742"/>
      <c r="AB3" s="1742"/>
      <c r="AC3" s="998"/>
    </row>
    <row r="4" spans="1:29" ht="15">
      <c r="A4" s="345" t="s">
        <v>1666</v>
      </c>
      <c r="B4" s="346"/>
      <c r="C4" s="3459" t="s">
        <v>1667</v>
      </c>
      <c r="D4" s="3460"/>
      <c r="E4" s="3461" t="s">
        <v>1668</v>
      </c>
      <c r="F4" s="3462"/>
      <c r="G4" s="3459" t="s">
        <v>1669</v>
      </c>
      <c r="H4" s="3460"/>
      <c r="I4" s="3459" t="s">
        <v>1670</v>
      </c>
      <c r="J4" s="3460"/>
      <c r="K4" s="1744" t="s">
        <v>1671</v>
      </c>
      <c r="L4" s="2487"/>
      <c r="M4" s="2488"/>
      <c r="N4" s="2488"/>
      <c r="O4" s="2488"/>
      <c r="P4" s="3463" t="s">
        <v>1672</v>
      </c>
      <c r="Q4" s="3464"/>
      <c r="R4" s="3469" t="s">
        <v>1668</v>
      </c>
      <c r="S4" s="3470"/>
      <c r="T4" s="3469" t="s">
        <v>1669</v>
      </c>
      <c r="U4" s="3470"/>
      <c r="V4" s="3445" t="s">
        <v>1670</v>
      </c>
      <c r="W4" s="3445"/>
      <c r="X4" s="1265"/>
      <c r="Y4" s="3469" t="s">
        <v>1672</v>
      </c>
      <c r="Z4" s="3470"/>
      <c r="AA4" s="3456" t="s">
        <v>1668</v>
      </c>
      <c r="AB4" s="3456" t="s">
        <v>1669</v>
      </c>
      <c r="AC4" s="3456" t="s">
        <v>1670</v>
      </c>
    </row>
    <row r="5" spans="1:29" ht="15">
      <c r="A5" s="348"/>
      <c r="B5" s="349"/>
      <c r="C5" s="3477" t="s">
        <v>1673</v>
      </c>
      <c r="D5" s="3478"/>
      <c r="E5" s="3484" t="s">
        <v>1674</v>
      </c>
      <c r="F5" s="3485"/>
      <c r="G5" s="3477" t="s">
        <v>1675</v>
      </c>
      <c r="H5" s="3478"/>
      <c r="I5" s="3477" t="s">
        <v>1676</v>
      </c>
      <c r="J5" s="3478"/>
      <c r="K5" s="1745"/>
      <c r="L5" s="2487"/>
      <c r="M5" s="2488"/>
      <c r="N5" s="2488"/>
      <c r="O5" s="2488"/>
      <c r="P5" s="3465"/>
      <c r="Q5" s="3466"/>
      <c r="R5" s="3471"/>
      <c r="S5" s="3472"/>
      <c r="T5" s="3471"/>
      <c r="U5" s="3472"/>
      <c r="V5" s="3445"/>
      <c r="W5" s="3445"/>
      <c r="X5" s="1265"/>
      <c r="Y5" s="3471"/>
      <c r="Z5" s="3472"/>
      <c r="AA5" s="3457"/>
      <c r="AB5" s="3457"/>
      <c r="AC5" s="3457"/>
    </row>
    <row r="6" spans="1:29" ht="15.75" thickBot="1">
      <c r="A6" s="350"/>
      <c r="B6" s="351"/>
      <c r="C6" s="3475" t="s">
        <v>1677</v>
      </c>
      <c r="D6" s="3476"/>
      <c r="E6" s="3482" t="s">
        <v>1677</v>
      </c>
      <c r="F6" s="3483"/>
      <c r="G6" s="3475" t="s">
        <v>1677</v>
      </c>
      <c r="H6" s="3476"/>
      <c r="I6" s="3475" t="s">
        <v>1677</v>
      </c>
      <c r="J6" s="3476"/>
      <c r="K6" s="1745" t="s">
        <v>1678</v>
      </c>
      <c r="L6" s="2487"/>
      <c r="M6" s="2488"/>
      <c r="N6" s="2488"/>
      <c r="O6" s="2488"/>
      <c r="P6" s="3467"/>
      <c r="Q6" s="3468"/>
      <c r="R6" s="3471"/>
      <c r="S6" s="3472"/>
      <c r="T6" s="3473"/>
      <c r="U6" s="3474"/>
      <c r="V6" s="3445"/>
      <c r="W6" s="3445"/>
      <c r="X6" s="1265"/>
      <c r="Y6" s="3473"/>
      <c r="Z6" s="3474"/>
      <c r="AA6" s="3458"/>
      <c r="AB6" s="3458"/>
      <c r="AC6" s="3458"/>
    </row>
    <row r="7" spans="1:29" s="102" customFormat="1" ht="15.75" thickBot="1">
      <c r="A7" s="352" t="s">
        <v>1679</v>
      </c>
      <c r="B7" s="353"/>
      <c r="C7" s="354">
        <f>'数据-取费表'!B2</f>
        <v>45785</v>
      </c>
      <c r="D7" s="355">
        <v>100</v>
      </c>
      <c r="E7" s="356"/>
      <c r="F7" s="357">
        <f>SUMIF(58:58,YEAR(E7)&amp;"-"&amp;MONTH(E7),59:59)</f>
        <v>0</v>
      </c>
      <c r="G7" s="356"/>
      <c r="H7" s="355">
        <f>SUMIF(58:58,YEAR(G7)&amp;"-"&amp;MONTH(G7),59:59)</f>
        <v>0</v>
      </c>
      <c r="I7" s="356"/>
      <c r="J7" s="355">
        <f>SUMIF(58:58,YEAR(I7)&amp;"-"&amp;MONTH(I7),59:59)</f>
        <v>0</v>
      </c>
      <c r="K7" s="1746"/>
      <c r="L7" s="2489"/>
      <c r="M7" s="2440"/>
      <c r="N7" s="2440"/>
      <c r="O7" s="2440"/>
      <c r="P7" s="3479" t="s">
        <v>1680</v>
      </c>
      <c r="Q7" s="3481"/>
      <c r="R7" s="664" t="s">
        <v>20</v>
      </c>
      <c r="S7" s="665">
        <f t="shared" ref="S7:S15" si="0">F7</f>
        <v>0</v>
      </c>
      <c r="T7" s="664" t="s">
        <v>20</v>
      </c>
      <c r="U7" s="665">
        <f t="shared" ref="U7:U15" si="1">H7</f>
        <v>0</v>
      </c>
      <c r="V7" s="664" t="s">
        <v>20</v>
      </c>
      <c r="W7" s="665">
        <f t="shared" ref="W7:W15" si="2">J7</f>
        <v>0</v>
      </c>
      <c r="X7" s="666"/>
      <c r="Y7" s="3479" t="s">
        <v>1680</v>
      </c>
      <c r="Z7" s="3480"/>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9"/>
      <c r="M8" s="2440"/>
      <c r="N8" s="2440"/>
      <c r="O8" s="2440"/>
      <c r="P8" s="3479" t="s">
        <v>1683</v>
      </c>
      <c r="Q8" s="3480"/>
      <c r="R8" s="664" t="s">
        <v>20</v>
      </c>
      <c r="S8" s="665">
        <f t="shared" si="0"/>
        <v>100</v>
      </c>
      <c r="T8" s="664" t="s">
        <v>20</v>
      </c>
      <c r="U8" s="665">
        <f t="shared" si="1"/>
        <v>100</v>
      </c>
      <c r="V8" s="664" t="s">
        <v>20</v>
      </c>
      <c r="W8" s="665">
        <f t="shared" si="2"/>
        <v>100</v>
      </c>
      <c r="X8" s="666"/>
      <c r="Y8" s="3479" t="s">
        <v>1683</v>
      </c>
      <c r="Z8" s="3480"/>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9"/>
      <c r="M9" s="2440"/>
      <c r="N9" s="2440"/>
      <c r="O9" s="2440"/>
      <c r="P9" s="3455"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6"/>
      <c r="L10" s="2490"/>
      <c r="M10" s="2491"/>
      <c r="N10" s="2491"/>
      <c r="O10" s="2491"/>
      <c r="P10" s="345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2"/>
      <c r="M11" s="2488"/>
      <c r="N11" s="2488"/>
      <c r="O11" s="2488"/>
      <c r="P11" s="3455"/>
      <c r="Q11" s="530" t="str">
        <f t="shared" si="6"/>
        <v>容积率</v>
      </c>
      <c r="R11" s="664" t="s">
        <v>18</v>
      </c>
      <c r="S11" s="665" t="e">
        <f t="shared" si="0"/>
        <v>#N/A</v>
      </c>
      <c r="T11" s="664" t="s">
        <v>18</v>
      </c>
      <c r="U11" s="665" t="e">
        <f t="shared" si="1"/>
        <v>#N/A</v>
      </c>
      <c r="V11" s="664" t="s">
        <v>18</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9"/>
      <c r="M12" s="2440"/>
      <c r="N12" s="2440"/>
      <c r="O12" s="2440"/>
      <c r="P12" s="3455"/>
      <c r="Q12" s="530">
        <f t="shared" si="6"/>
        <v>111</v>
      </c>
      <c r="R12" s="664" t="s">
        <v>18</v>
      </c>
      <c r="S12" s="665">
        <f t="shared" si="0"/>
        <v>100</v>
      </c>
      <c r="T12" s="664" t="s">
        <v>18</v>
      </c>
      <c r="U12" s="665">
        <f t="shared" si="1"/>
        <v>100</v>
      </c>
      <c r="V12" s="664" t="s">
        <v>18</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3"/>
      <c r="M13" s="2488"/>
      <c r="N13" s="2488"/>
      <c r="O13" s="2488"/>
      <c r="P13" s="3455"/>
      <c r="Q13" s="530">
        <f t="shared" si="6"/>
        <v>111</v>
      </c>
      <c r="R13" s="664" t="s">
        <v>18</v>
      </c>
      <c r="S13" s="665">
        <f t="shared" si="0"/>
        <v>100</v>
      </c>
      <c r="T13" s="664" t="s">
        <v>18</v>
      </c>
      <c r="U13" s="665">
        <f t="shared" si="1"/>
        <v>100</v>
      </c>
      <c r="V13" s="664" t="s">
        <v>18</v>
      </c>
      <c r="W13" s="665">
        <f t="shared" si="2"/>
        <v>100</v>
      </c>
      <c r="X13" s="666"/>
      <c r="Y13" s="330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3"/>
      <c r="M14" s="2488"/>
      <c r="N14" s="2488"/>
      <c r="O14" s="2488"/>
      <c r="P14" s="3455"/>
      <c r="Q14" s="530">
        <f t="shared" si="6"/>
        <v>111</v>
      </c>
      <c r="R14" s="664" t="s">
        <v>18</v>
      </c>
      <c r="S14" s="665">
        <f t="shared" si="0"/>
        <v>100</v>
      </c>
      <c r="T14" s="664" t="s">
        <v>18</v>
      </c>
      <c r="U14" s="665">
        <f t="shared" si="1"/>
        <v>100</v>
      </c>
      <c r="V14" s="664" t="s">
        <v>18</v>
      </c>
      <c r="W14" s="665">
        <f t="shared" si="2"/>
        <v>100</v>
      </c>
      <c r="X14" s="666"/>
      <c r="Y14" s="3300"/>
      <c r="Z14" s="50">
        <f t="shared" si="7"/>
        <v>111</v>
      </c>
      <c r="AA14" s="50">
        <f t="shared" si="3"/>
        <v>1</v>
      </c>
      <c r="AB14" s="50">
        <f t="shared" si="4"/>
        <v>1</v>
      </c>
      <c r="AC14" s="50">
        <f t="shared" si="5"/>
        <v>1</v>
      </c>
    </row>
    <row r="15" spans="1:29" ht="1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3"/>
      <c r="M15" s="2488"/>
      <c r="N15" s="2488"/>
      <c r="O15" s="2488"/>
      <c r="P15" s="3453" t="s">
        <v>1691</v>
      </c>
      <c r="Q15" s="1263" t="str">
        <f t="shared" si="6"/>
        <v>居住社区成熟度</v>
      </c>
      <c r="R15" s="667" t="s">
        <v>18</v>
      </c>
      <c r="S15" s="668">
        <f t="shared" si="0"/>
        <v>100</v>
      </c>
      <c r="T15" s="667" t="s">
        <v>18</v>
      </c>
      <c r="U15" s="668">
        <f t="shared" si="1"/>
        <v>100</v>
      </c>
      <c r="V15" s="667" t="s">
        <v>18</v>
      </c>
      <c r="W15" s="668">
        <f t="shared" si="2"/>
        <v>100</v>
      </c>
      <c r="X15" s="1265"/>
      <c r="Y15" s="3446"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3"/>
      <c r="M16" s="2488"/>
      <c r="N16" s="2488"/>
      <c r="O16" s="2488"/>
      <c r="P16" s="3454"/>
      <c r="Q16" s="1263"/>
      <c r="R16" s="667"/>
      <c r="S16" s="668"/>
      <c r="T16" s="667"/>
      <c r="U16" s="668"/>
      <c r="V16" s="667"/>
      <c r="W16" s="668"/>
      <c r="X16" s="1265"/>
      <c r="Y16" s="3447"/>
      <c r="Z16" s="1264"/>
      <c r="AA16" s="1264">
        <v>1</v>
      </c>
      <c r="AB16" s="1264">
        <v>1</v>
      </c>
      <c r="AC16" s="1264">
        <v>1</v>
      </c>
    </row>
    <row r="17" spans="1:29" ht="15">
      <c r="A17" s="367"/>
      <c r="B17" s="390" t="s">
        <v>1259</v>
      </c>
      <c r="C17" s="1754">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3"/>
      <c r="M17" s="2488"/>
      <c r="N17" s="2488"/>
      <c r="O17" s="2488"/>
      <c r="P17" s="3454"/>
      <c r="Q17" s="1263" t="str">
        <f>B17</f>
        <v>交通便捷度</v>
      </c>
      <c r="R17" s="667" t="s">
        <v>18</v>
      </c>
      <c r="S17" s="668">
        <f>F17</f>
        <v>100</v>
      </c>
      <c r="T17" s="667" t="s">
        <v>18</v>
      </c>
      <c r="U17" s="668">
        <f>H17</f>
        <v>100</v>
      </c>
      <c r="V17" s="667" t="s">
        <v>18</v>
      </c>
      <c r="W17" s="668">
        <f>J17</f>
        <v>100</v>
      </c>
      <c r="X17" s="1265"/>
      <c r="Y17" s="3447"/>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3"/>
      <c r="M18" s="2488"/>
      <c r="N18" s="2488"/>
      <c r="O18" s="2488"/>
      <c r="P18" s="3454"/>
      <c r="Q18" s="1263"/>
      <c r="R18" s="667"/>
      <c r="S18" s="668"/>
      <c r="T18" s="667"/>
      <c r="U18" s="668"/>
      <c r="V18" s="667"/>
      <c r="W18" s="668"/>
      <c r="X18" s="1265"/>
      <c r="Y18" s="3447"/>
      <c r="Z18" s="1264"/>
      <c r="AA18" s="1264">
        <v>1</v>
      </c>
      <c r="AB18" s="1264">
        <v>1</v>
      </c>
      <c r="AC18" s="1264">
        <v>1</v>
      </c>
    </row>
    <row r="19" spans="1:29" ht="15">
      <c r="A19" s="367"/>
      <c r="B19" s="390" t="s">
        <v>1258</v>
      </c>
      <c r="C19" s="1754">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3"/>
      <c r="M19" s="2488"/>
      <c r="N19" s="2488"/>
      <c r="O19" s="2488"/>
      <c r="P19" s="3454"/>
      <c r="Q19" s="1263" t="str">
        <f>B19</f>
        <v>公共配套设施</v>
      </c>
      <c r="R19" s="667" t="s">
        <v>18</v>
      </c>
      <c r="S19" s="668">
        <f>F19</f>
        <v>100</v>
      </c>
      <c r="T19" s="667" t="s">
        <v>18</v>
      </c>
      <c r="U19" s="668">
        <f>H19</f>
        <v>100</v>
      </c>
      <c r="V19" s="667" t="s">
        <v>18</v>
      </c>
      <c r="W19" s="668">
        <f>J19</f>
        <v>100</v>
      </c>
      <c r="X19" s="1265"/>
      <c r="Y19" s="3447"/>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3"/>
      <c r="M20" s="2488"/>
      <c r="N20" s="2488"/>
      <c r="O20" s="2488"/>
      <c r="P20" s="3454"/>
      <c r="Q20" s="1263"/>
      <c r="R20" s="667"/>
      <c r="S20" s="668"/>
      <c r="T20" s="667"/>
      <c r="U20" s="668"/>
      <c r="V20" s="667"/>
      <c r="W20" s="668"/>
      <c r="X20" s="1265"/>
      <c r="Y20" s="3447"/>
      <c r="Z20" s="1264"/>
      <c r="AA20" s="1264">
        <v>1</v>
      </c>
      <c r="AB20" s="1264">
        <v>1</v>
      </c>
      <c r="AC20" s="1264">
        <v>1</v>
      </c>
    </row>
    <row r="21" spans="1:29" ht="15">
      <c r="A21" s="367"/>
      <c r="B21" s="586" t="s">
        <v>1260</v>
      </c>
      <c r="C21" s="1754">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3"/>
      <c r="M21" s="2488"/>
      <c r="N21" s="2488"/>
      <c r="O21" s="2488"/>
      <c r="P21" s="3454"/>
      <c r="Q21" s="1263" t="str">
        <f>B21</f>
        <v>基础设施水平</v>
      </c>
      <c r="R21" s="667" t="s">
        <v>14</v>
      </c>
      <c r="S21" s="668">
        <f>F21</f>
        <v>100</v>
      </c>
      <c r="T21" s="667" t="s">
        <v>14</v>
      </c>
      <c r="U21" s="668">
        <f>H21</f>
        <v>100</v>
      </c>
      <c r="V21" s="667" t="s">
        <v>14</v>
      </c>
      <c r="W21" s="668">
        <f>J21</f>
        <v>100</v>
      </c>
      <c r="X21" s="1265"/>
      <c r="Y21" s="34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3"/>
      <c r="M22" s="2488"/>
      <c r="N22" s="2488"/>
      <c r="O22" s="2488"/>
      <c r="P22" s="3454"/>
      <c r="Q22" s="1263"/>
      <c r="R22" s="667"/>
      <c r="S22" s="668"/>
      <c r="T22" s="667"/>
      <c r="U22" s="668"/>
      <c r="V22" s="667"/>
      <c r="W22" s="668"/>
      <c r="X22" s="1265"/>
      <c r="Y22" s="3447"/>
      <c r="Z22" s="1264"/>
      <c r="AA22" s="1264">
        <v>1</v>
      </c>
      <c r="AB22" s="1264">
        <v>1</v>
      </c>
      <c r="AC22" s="1264">
        <v>1</v>
      </c>
    </row>
    <row r="23" spans="1:29" ht="15">
      <c r="A23" s="367"/>
      <c r="B23" s="390" t="s">
        <v>1261</v>
      </c>
      <c r="C23" s="1754">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3"/>
      <c r="M23" s="2488"/>
      <c r="N23" s="2488"/>
      <c r="O23" s="2488"/>
      <c r="P23" s="3454"/>
      <c r="Q23" s="1263" t="str">
        <f>B23</f>
        <v>自然及人文环境</v>
      </c>
      <c r="R23" s="667" t="s">
        <v>18</v>
      </c>
      <c r="S23" s="668">
        <f>F23</f>
        <v>100</v>
      </c>
      <c r="T23" s="667" t="s">
        <v>18</v>
      </c>
      <c r="U23" s="668">
        <f>H23</f>
        <v>100</v>
      </c>
      <c r="V23" s="667" t="s">
        <v>18</v>
      </c>
      <c r="W23" s="668">
        <f>J23</f>
        <v>100</v>
      </c>
      <c r="X23" s="1265"/>
      <c r="Y23" s="3447"/>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3"/>
      <c r="M24" s="2488"/>
      <c r="N24" s="2488"/>
      <c r="O24" s="2488"/>
      <c r="P24" s="3454"/>
      <c r="Q24" s="1263"/>
      <c r="R24" s="667"/>
      <c r="S24" s="668"/>
      <c r="T24" s="667"/>
      <c r="U24" s="668"/>
      <c r="V24" s="667"/>
      <c r="W24" s="668"/>
      <c r="X24" s="1265"/>
      <c r="Y24" s="3447"/>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3"/>
      <c r="M25" s="2488"/>
      <c r="N25" s="2488"/>
      <c r="O25" s="2488"/>
      <c r="P25" s="3454"/>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47"/>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3"/>
      <c r="M26" s="2488"/>
      <c r="N26" s="2488"/>
      <c r="O26" s="2488"/>
      <c r="P26" s="3454"/>
      <c r="Q26" s="1263" t="str">
        <f t="shared" si="11"/>
        <v>朝向</v>
      </c>
      <c r="R26" s="667" t="s">
        <v>18</v>
      </c>
      <c r="S26" s="668">
        <f t="shared" si="12"/>
        <v>100</v>
      </c>
      <c r="T26" s="667" t="s">
        <v>18</v>
      </c>
      <c r="U26" s="668">
        <f t="shared" si="13"/>
        <v>100</v>
      </c>
      <c r="V26" s="667" t="s">
        <v>18</v>
      </c>
      <c r="W26" s="668">
        <f t="shared" si="14"/>
        <v>100</v>
      </c>
      <c r="X26" s="1265"/>
      <c r="Y26" s="3447"/>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9"/>
      <c r="M27" s="2440"/>
      <c r="N27" s="2440"/>
      <c r="O27" s="2440"/>
      <c r="P27" s="3454"/>
      <c r="Q27" s="530">
        <f t="shared" si="11"/>
        <v>111</v>
      </c>
      <c r="R27" s="664" t="s">
        <v>18</v>
      </c>
      <c r="S27" s="665">
        <f t="shared" si="12"/>
        <v>100</v>
      </c>
      <c r="T27" s="664" t="s">
        <v>18</v>
      </c>
      <c r="U27" s="665">
        <f t="shared" si="13"/>
        <v>100</v>
      </c>
      <c r="V27" s="664" t="s">
        <v>18</v>
      </c>
      <c r="W27" s="665">
        <f t="shared" si="14"/>
        <v>100</v>
      </c>
      <c r="X27" s="666"/>
      <c r="Y27" s="3447"/>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3"/>
      <c r="M28" s="2488"/>
      <c r="N28" s="2488"/>
      <c r="O28" s="2488"/>
      <c r="P28" s="3454"/>
      <c r="Q28" s="1263">
        <f t="shared" si="11"/>
        <v>111</v>
      </c>
      <c r="R28" s="667" t="s">
        <v>18</v>
      </c>
      <c r="S28" s="668">
        <f t="shared" si="12"/>
        <v>100</v>
      </c>
      <c r="T28" s="667" t="s">
        <v>18</v>
      </c>
      <c r="U28" s="668">
        <f t="shared" si="13"/>
        <v>100</v>
      </c>
      <c r="V28" s="667" t="s">
        <v>18</v>
      </c>
      <c r="W28" s="668">
        <f t="shared" si="14"/>
        <v>100</v>
      </c>
      <c r="X28" s="1265"/>
      <c r="Y28" s="3447"/>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3"/>
      <c r="M29" s="2488"/>
      <c r="N29" s="2488"/>
      <c r="O29" s="2488"/>
      <c r="P29" s="3454"/>
      <c r="Q29" s="1263">
        <f t="shared" si="11"/>
        <v>111</v>
      </c>
      <c r="R29" s="667" t="s">
        <v>18</v>
      </c>
      <c r="S29" s="668">
        <f t="shared" si="12"/>
        <v>100</v>
      </c>
      <c r="T29" s="667" t="s">
        <v>18</v>
      </c>
      <c r="U29" s="668">
        <f t="shared" si="13"/>
        <v>100</v>
      </c>
      <c r="V29" s="667" t="s">
        <v>18</v>
      </c>
      <c r="W29" s="668">
        <f t="shared" si="14"/>
        <v>100</v>
      </c>
      <c r="X29" s="1265"/>
      <c r="Y29" s="3447"/>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3"/>
      <c r="M30" s="2488"/>
      <c r="N30" s="2488"/>
      <c r="O30" s="2488"/>
      <c r="P30" s="3454"/>
      <c r="Q30" s="1263">
        <f t="shared" si="11"/>
        <v>111</v>
      </c>
      <c r="R30" s="667" t="s">
        <v>18</v>
      </c>
      <c r="S30" s="668">
        <f t="shared" si="12"/>
        <v>100</v>
      </c>
      <c r="T30" s="667" t="s">
        <v>18</v>
      </c>
      <c r="U30" s="668">
        <f t="shared" si="13"/>
        <v>100</v>
      </c>
      <c r="V30" s="667" t="s">
        <v>18</v>
      </c>
      <c r="W30" s="668">
        <f t="shared" si="14"/>
        <v>100</v>
      </c>
      <c r="X30" s="1265"/>
      <c r="Y30" s="3447"/>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3"/>
      <c r="M31" s="2488"/>
      <c r="N31" s="2488"/>
      <c r="O31" s="2488"/>
      <c r="P31" s="3454"/>
      <c r="Q31" s="1263">
        <f t="shared" si="11"/>
        <v>111</v>
      </c>
      <c r="R31" s="667" t="s">
        <v>18</v>
      </c>
      <c r="S31" s="668">
        <f t="shared" si="12"/>
        <v>100</v>
      </c>
      <c r="T31" s="667" t="s">
        <v>18</v>
      </c>
      <c r="U31" s="668">
        <f t="shared" si="13"/>
        <v>100</v>
      </c>
      <c r="V31" s="667" t="s">
        <v>18</v>
      </c>
      <c r="W31" s="668">
        <f t="shared" si="14"/>
        <v>100</v>
      </c>
      <c r="X31" s="1265"/>
      <c r="Y31" s="3447"/>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3"/>
      <c r="M32" s="2488"/>
      <c r="N32" s="2488"/>
      <c r="O32" s="2488"/>
      <c r="P32" s="3448" t="s">
        <v>1696</v>
      </c>
      <c r="Q32" s="1263" t="str">
        <f t="shared" si="11"/>
        <v>建筑类型</v>
      </c>
      <c r="R32" s="667" t="s">
        <v>18</v>
      </c>
      <c r="S32" s="668">
        <f t="shared" si="12"/>
        <v>100</v>
      </c>
      <c r="T32" s="667" t="s">
        <v>18</v>
      </c>
      <c r="U32" s="668">
        <f t="shared" si="13"/>
        <v>100</v>
      </c>
      <c r="V32" s="667" t="s">
        <v>18</v>
      </c>
      <c r="W32" s="668">
        <f t="shared" si="14"/>
        <v>100</v>
      </c>
      <c r="X32" s="1265"/>
      <c r="Y32" s="3451"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2"/>
      <c r="M33" s="2494"/>
      <c r="N33" s="2494"/>
      <c r="O33" s="2494"/>
      <c r="P33" s="3449"/>
      <c r="Q33" s="531" t="str">
        <f t="shared" si="11"/>
        <v>项目建筑规模</v>
      </c>
      <c r="R33" s="669" t="s">
        <v>18</v>
      </c>
      <c r="S33" s="670" t="e">
        <f t="shared" si="12"/>
        <v>#N/A</v>
      </c>
      <c r="T33" s="669" t="s">
        <v>18</v>
      </c>
      <c r="U33" s="670" t="e">
        <f t="shared" si="13"/>
        <v>#N/A</v>
      </c>
      <c r="V33" s="669" t="s">
        <v>18</v>
      </c>
      <c r="W33" s="670" t="e">
        <f t="shared" si="14"/>
        <v>#N/A</v>
      </c>
      <c r="X33" s="671"/>
      <c r="Y33" s="3451"/>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3"/>
      <c r="M34" s="2488"/>
      <c r="N34" s="2488"/>
      <c r="O34" s="2488"/>
      <c r="P34" s="3449"/>
      <c r="Q34" s="1263" t="str">
        <f t="shared" si="11"/>
        <v>建筑结构</v>
      </c>
      <c r="R34" s="667" t="s">
        <v>18</v>
      </c>
      <c r="S34" s="668">
        <f t="shared" si="12"/>
        <v>100</v>
      </c>
      <c r="T34" s="667" t="s">
        <v>18</v>
      </c>
      <c r="U34" s="668">
        <f t="shared" si="13"/>
        <v>100</v>
      </c>
      <c r="V34" s="667" t="s">
        <v>18</v>
      </c>
      <c r="W34" s="668">
        <f t="shared" si="14"/>
        <v>100</v>
      </c>
      <c r="X34" s="1265"/>
      <c r="Y34" s="3451"/>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3"/>
      <c r="M35" s="2488"/>
      <c r="N35" s="2488"/>
      <c r="O35" s="2488"/>
      <c r="P35" s="3449"/>
      <c r="Q35" s="1263" t="str">
        <f t="shared" si="11"/>
        <v>建筑品质</v>
      </c>
      <c r="R35" s="667" t="s">
        <v>18</v>
      </c>
      <c r="S35" s="668">
        <f t="shared" si="12"/>
        <v>100</v>
      </c>
      <c r="T35" s="667" t="s">
        <v>18</v>
      </c>
      <c r="U35" s="668">
        <f t="shared" si="13"/>
        <v>100</v>
      </c>
      <c r="V35" s="667" t="s">
        <v>18</v>
      </c>
      <c r="W35" s="668">
        <f t="shared" si="14"/>
        <v>100</v>
      </c>
      <c r="X35" s="1265"/>
      <c r="Y35" s="3451"/>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3"/>
      <c r="M36" s="2488"/>
      <c r="N36" s="2488"/>
      <c r="O36" s="2488"/>
      <c r="P36" s="3449"/>
      <c r="Q36" s="1263" t="str">
        <f t="shared" si="11"/>
        <v>公共部分装修</v>
      </c>
      <c r="R36" s="667" t="s">
        <v>18</v>
      </c>
      <c r="S36" s="668">
        <f t="shared" si="12"/>
        <v>100</v>
      </c>
      <c r="T36" s="667" t="s">
        <v>18</v>
      </c>
      <c r="U36" s="668">
        <f t="shared" si="13"/>
        <v>100</v>
      </c>
      <c r="V36" s="667" t="s">
        <v>18</v>
      </c>
      <c r="W36" s="668">
        <f t="shared" si="14"/>
        <v>100</v>
      </c>
      <c r="X36" s="1265"/>
      <c r="Y36" s="3451"/>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9"/>
      <c r="M37" s="2440"/>
      <c r="N37" s="2440"/>
      <c r="O37" s="2440"/>
      <c r="P37" s="3449"/>
      <c r="Q37" s="530" t="str">
        <f t="shared" si="11"/>
        <v>成新度</v>
      </c>
      <c r="R37" s="664" t="s">
        <v>18</v>
      </c>
      <c r="S37" s="665" t="e">
        <f t="shared" si="12"/>
        <v>#N/A</v>
      </c>
      <c r="T37" s="664" t="s">
        <v>18</v>
      </c>
      <c r="U37" s="665" t="e">
        <f t="shared" si="13"/>
        <v>#N/A</v>
      </c>
      <c r="V37" s="664" t="s">
        <v>18</v>
      </c>
      <c r="W37" s="665" t="e">
        <f t="shared" si="14"/>
        <v>#N/A</v>
      </c>
      <c r="X37" s="666"/>
      <c r="Y37" s="3451"/>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3"/>
      <c r="M38" s="2488"/>
      <c r="N38" s="2488"/>
      <c r="O38" s="2488"/>
      <c r="P38" s="3449" t="s">
        <v>1696</v>
      </c>
      <c r="Q38" s="1263" t="str">
        <f t="shared" si="11"/>
        <v>物业管理</v>
      </c>
      <c r="R38" s="667" t="s">
        <v>18</v>
      </c>
      <c r="S38" s="668">
        <f t="shared" si="12"/>
        <v>100</v>
      </c>
      <c r="T38" s="667" t="s">
        <v>18</v>
      </c>
      <c r="U38" s="668">
        <f t="shared" si="13"/>
        <v>100</v>
      </c>
      <c r="V38" s="667" t="s">
        <v>18</v>
      </c>
      <c r="W38" s="668">
        <f t="shared" si="14"/>
        <v>100</v>
      </c>
      <c r="X38" s="1265"/>
      <c r="Y38" s="3451"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3"/>
      <c r="M39" s="2488"/>
      <c r="N39" s="2488"/>
      <c r="O39" s="2488"/>
      <c r="P39" s="3449"/>
      <c r="Q39" s="1263" t="str">
        <f t="shared" si="11"/>
        <v>市政基础设施</v>
      </c>
      <c r="R39" s="667" t="s">
        <v>18</v>
      </c>
      <c r="S39" s="668">
        <f t="shared" si="12"/>
        <v>100</v>
      </c>
      <c r="T39" s="667" t="s">
        <v>18</v>
      </c>
      <c r="U39" s="668">
        <f t="shared" si="13"/>
        <v>100</v>
      </c>
      <c r="V39" s="667" t="s">
        <v>18</v>
      </c>
      <c r="W39" s="668">
        <f t="shared" si="14"/>
        <v>100</v>
      </c>
      <c r="X39" s="1265"/>
      <c r="Y39" s="3451"/>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3"/>
      <c r="M40" s="2488"/>
      <c r="N40" s="2488"/>
      <c r="O40" s="2488"/>
      <c r="P40" s="3449"/>
      <c r="Q40" s="1263" t="str">
        <f t="shared" si="11"/>
        <v>房型</v>
      </c>
      <c r="R40" s="667" t="s">
        <v>18</v>
      </c>
      <c r="S40" s="668">
        <f t="shared" si="12"/>
        <v>100</v>
      </c>
      <c r="T40" s="667" t="s">
        <v>18</v>
      </c>
      <c r="U40" s="668">
        <f t="shared" si="13"/>
        <v>100</v>
      </c>
      <c r="V40" s="667" t="s">
        <v>18</v>
      </c>
      <c r="W40" s="668">
        <f t="shared" si="14"/>
        <v>100</v>
      </c>
      <c r="X40" s="1265"/>
      <c r="Y40" s="3451"/>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2"/>
      <c r="M41" s="2494"/>
      <c r="N41" s="2494"/>
      <c r="O41" s="2494"/>
      <c r="P41" s="3449"/>
      <c r="Q41" s="531" t="str">
        <f t="shared" si="11"/>
        <v>单套/主力户型建筑面积</v>
      </c>
      <c r="R41" s="669" t="s">
        <v>18</v>
      </c>
      <c r="S41" s="670">
        <f t="shared" si="12"/>
        <v>100</v>
      </c>
      <c r="T41" s="669" t="s">
        <v>18</v>
      </c>
      <c r="U41" s="670">
        <f t="shared" si="13"/>
        <v>100</v>
      </c>
      <c r="V41" s="669" t="s">
        <v>18</v>
      </c>
      <c r="W41" s="670">
        <f t="shared" si="14"/>
        <v>100</v>
      </c>
      <c r="X41" s="671"/>
      <c r="Y41" s="3451"/>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3"/>
      <c r="M42" s="2488"/>
      <c r="N42" s="2488"/>
      <c r="O42" s="2488"/>
      <c r="P42" s="3449"/>
      <c r="Q42" s="1263" t="str">
        <f t="shared" si="11"/>
        <v>内部装修</v>
      </c>
      <c r="R42" s="667" t="s">
        <v>18</v>
      </c>
      <c r="S42" s="668">
        <f t="shared" si="12"/>
        <v>100</v>
      </c>
      <c r="T42" s="667" t="s">
        <v>18</v>
      </c>
      <c r="U42" s="668">
        <f t="shared" si="13"/>
        <v>100</v>
      </c>
      <c r="V42" s="667" t="s">
        <v>18</v>
      </c>
      <c r="W42" s="668">
        <f t="shared" si="14"/>
        <v>100</v>
      </c>
      <c r="X42" s="1265"/>
      <c r="Y42" s="3451"/>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3"/>
      <c r="M43" s="2488"/>
      <c r="N43" s="2488"/>
      <c r="O43" s="2488"/>
      <c r="P43" s="3449"/>
      <c r="Q43" s="1263" t="str">
        <f t="shared" si="11"/>
        <v>内部装修维护情况</v>
      </c>
      <c r="R43" s="667" t="s">
        <v>18</v>
      </c>
      <c r="S43" s="668">
        <f t="shared" si="12"/>
        <v>100</v>
      </c>
      <c r="T43" s="667" t="s">
        <v>18</v>
      </c>
      <c r="U43" s="668">
        <f t="shared" si="13"/>
        <v>100</v>
      </c>
      <c r="V43" s="667" t="s">
        <v>18</v>
      </c>
      <c r="W43" s="668">
        <f t="shared" si="14"/>
        <v>100</v>
      </c>
      <c r="X43" s="1265"/>
      <c r="Y43" s="3451"/>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9"/>
      <c r="M44" s="2440"/>
      <c r="N44" s="2440"/>
      <c r="O44" s="2440"/>
      <c r="P44" s="3449"/>
      <c r="Q44" s="530">
        <f t="shared" si="11"/>
        <v>111</v>
      </c>
      <c r="R44" s="664" t="s">
        <v>18</v>
      </c>
      <c r="S44" s="665">
        <f t="shared" si="12"/>
        <v>100</v>
      </c>
      <c r="T44" s="664" t="s">
        <v>18</v>
      </c>
      <c r="U44" s="665">
        <f t="shared" si="13"/>
        <v>100</v>
      </c>
      <c r="V44" s="664" t="s">
        <v>18</v>
      </c>
      <c r="W44" s="665">
        <f t="shared" si="14"/>
        <v>100</v>
      </c>
      <c r="X44" s="666"/>
      <c r="Y44" s="3451"/>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3"/>
      <c r="M45" s="2488"/>
      <c r="N45" s="2488"/>
      <c r="O45" s="2488"/>
      <c r="P45" s="3449"/>
      <c r="Q45" s="1263">
        <f t="shared" si="11"/>
        <v>111</v>
      </c>
      <c r="R45" s="667" t="s">
        <v>18</v>
      </c>
      <c r="S45" s="668">
        <f t="shared" si="12"/>
        <v>100</v>
      </c>
      <c r="T45" s="667" t="s">
        <v>18</v>
      </c>
      <c r="U45" s="668">
        <f t="shared" si="13"/>
        <v>100</v>
      </c>
      <c r="V45" s="667" t="s">
        <v>18</v>
      </c>
      <c r="W45" s="668">
        <f t="shared" si="14"/>
        <v>100</v>
      </c>
      <c r="X45" s="1265"/>
      <c r="Y45" s="3451"/>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3"/>
      <c r="M46" s="2488"/>
      <c r="N46" s="2488"/>
      <c r="O46" s="2488"/>
      <c r="P46" s="3450"/>
      <c r="Q46" s="1263">
        <f t="shared" si="11"/>
        <v>111</v>
      </c>
      <c r="R46" s="667" t="s">
        <v>17</v>
      </c>
      <c r="S46" s="668">
        <f t="shared" si="12"/>
        <v>100</v>
      </c>
      <c r="T46" s="667" t="s">
        <v>17</v>
      </c>
      <c r="U46" s="668">
        <f t="shared" si="13"/>
        <v>100</v>
      </c>
      <c r="V46" s="667" t="s">
        <v>17</v>
      </c>
      <c r="W46" s="668">
        <f t="shared" si="14"/>
        <v>100</v>
      </c>
      <c r="X46" s="1265"/>
      <c r="Y46" s="3452"/>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5"/>
      <c r="M47" s="2488"/>
      <c r="N47" s="2488"/>
      <c r="O47" s="2488"/>
      <c r="P47" s="3444" t="str">
        <f>A47</f>
        <v>成交单价（元/平方米）</v>
      </c>
      <c r="Q47" s="3444"/>
      <c r="R47" s="3445">
        <f>E47</f>
        <v>0</v>
      </c>
      <c r="S47" s="3445"/>
      <c r="T47" s="3445">
        <f>G47</f>
        <v>0</v>
      </c>
      <c r="U47" s="3445"/>
      <c r="V47" s="3445">
        <f>I47</f>
        <v>0</v>
      </c>
      <c r="W47" s="344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5"/>
      <c r="M48" s="2488"/>
      <c r="N48" s="2488"/>
      <c r="O48" s="2488"/>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5"/>
      <c r="M49" s="2488"/>
      <c r="N49" s="2488"/>
      <c r="O49" s="2488"/>
      <c r="P49" s="3441" t="str">
        <f>A49</f>
        <v>估价对象XX用房的比较价值（楼面单价，元/平方米）</v>
      </c>
      <c r="Q49" s="3442"/>
      <c r="R49" s="3443" t="e">
        <f>IF(F1="售价",ROUND(IF(D48="简单平均",AVERAGE(R48:V48),R48*F48+T48*H48+V48*J48),0),ROUND(IF(D48="简单平均",AVERAGE(R48:V48),R48*F48+T48*H48+V48*J48),1))</f>
        <v>#DIV/0!</v>
      </c>
      <c r="S49" s="3443"/>
      <c r="T49" s="3443"/>
      <c r="U49" s="3443"/>
      <c r="V49" s="3443"/>
      <c r="W49" s="3443"/>
      <c r="X49" s="385"/>
      <c r="Y49" s="385"/>
      <c r="Z49" s="385"/>
      <c r="AA49" s="385"/>
      <c r="AB49" s="385"/>
      <c r="AC49" s="385"/>
    </row>
    <row r="50" spans="1:29">
      <c r="A50" s="2488"/>
      <c r="B50" s="2488"/>
      <c r="C50" s="2488"/>
      <c r="D50" s="2488"/>
      <c r="E50" s="2488"/>
      <c r="F50" s="2488"/>
      <c r="G50" s="2499"/>
      <c r="H50" s="2488"/>
      <c r="I50" s="2488"/>
      <c r="J50" s="2488"/>
      <c r="K50" s="2500"/>
      <c r="L50" s="2496"/>
      <c r="M50" s="2488"/>
      <c r="N50" s="2488"/>
      <c r="O50" s="2488"/>
    </row>
    <row r="51" spans="1:29">
      <c r="A51" s="2488"/>
      <c r="B51" s="2488"/>
      <c r="C51" s="2488"/>
      <c r="D51" s="2488"/>
      <c r="E51" s="2488"/>
      <c r="F51" s="2488"/>
      <c r="G51" s="2488"/>
      <c r="H51" s="2488"/>
      <c r="I51" s="2488"/>
      <c r="J51" s="2488"/>
      <c r="K51" s="2500"/>
      <c r="L51" s="2496"/>
      <c r="M51" s="2488"/>
      <c r="N51" s="2488"/>
      <c r="O51" s="2488"/>
    </row>
    <row r="52" spans="1:29" ht="13.5" customHeight="1">
      <c r="A52" s="2488"/>
      <c r="B52" s="2488"/>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500"/>
      <c r="L52" s="2496"/>
      <c r="M52" s="2488"/>
      <c r="N52" s="2488"/>
      <c r="O52" s="2488"/>
    </row>
    <row r="53" spans="1:29" ht="13.5" customHeight="1">
      <c r="A53" s="2488"/>
      <c r="B53" s="2488"/>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500"/>
      <c r="L53" s="2496"/>
      <c r="M53" s="2488"/>
      <c r="N53" s="2488"/>
      <c r="O53" s="2488"/>
    </row>
    <row r="54" spans="1:29" s="437" customFormat="1" ht="13.5" customHeight="1">
      <c r="A54" s="2498"/>
      <c r="B54" s="2498"/>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3"/>
      <c r="L54" s="2497"/>
      <c r="M54" s="2498"/>
      <c r="N54" s="2498"/>
      <c r="O54" s="2498"/>
      <c r="P54" s="1770"/>
    </row>
    <row r="55" spans="1:29" s="437" customFormat="1">
      <c r="A55" s="2498"/>
      <c r="B55" s="2501"/>
      <c r="C55" s="2502"/>
      <c r="D55" s="2498"/>
      <c r="E55" s="2498"/>
      <c r="F55" s="2498"/>
      <c r="G55" s="2498"/>
      <c r="H55" s="2498"/>
      <c r="I55" s="2498"/>
      <c r="J55" s="2498"/>
      <c r="K55" s="2503"/>
      <c r="L55" s="2497"/>
      <c r="M55" s="2498"/>
      <c r="N55" s="2498"/>
      <c r="O55" s="2498"/>
      <c r="P55" s="1770"/>
    </row>
    <row r="56" spans="1:29">
      <c r="A56" s="2488"/>
      <c r="B56" s="2501"/>
      <c r="C56" s="2502"/>
      <c r="D56" s="2488"/>
      <c r="E56" s="2488"/>
      <c r="F56" s="2488"/>
      <c r="G56" s="2488"/>
      <c r="H56" s="2488"/>
      <c r="I56" s="2488"/>
      <c r="J56" s="2488"/>
      <c r="K56" s="2500"/>
      <c r="L56" s="2496"/>
      <c r="M56" s="2488"/>
      <c r="N56" s="2488"/>
      <c r="O56" s="2488"/>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2025-5</v>
      </c>
      <c r="D58" s="1104">
        <f>EDATE(C58,-1)</f>
        <v>45748</v>
      </c>
      <c r="E58" s="1104">
        <f>EDATE(D58,-1)</f>
        <v>45717</v>
      </c>
      <c r="F58" s="1104">
        <f t="shared" ref="F58:O58" si="19">EDATE(E58,-1)</f>
        <v>45689</v>
      </c>
      <c r="G58" s="1104">
        <f t="shared" si="19"/>
        <v>45658</v>
      </c>
      <c r="H58" s="1104">
        <f t="shared" si="19"/>
        <v>45627</v>
      </c>
      <c r="I58" s="1104">
        <f t="shared" si="19"/>
        <v>45597</v>
      </c>
      <c r="J58" s="1104">
        <f t="shared" si="19"/>
        <v>45566</v>
      </c>
      <c r="K58" s="1104">
        <f t="shared" si="19"/>
        <v>45536</v>
      </c>
      <c r="L58" s="1104">
        <f t="shared" si="19"/>
        <v>45505</v>
      </c>
      <c r="M58" s="1104">
        <f t="shared" si="19"/>
        <v>45474</v>
      </c>
      <c r="N58" s="1104">
        <f t="shared" si="19"/>
        <v>45444</v>
      </c>
      <c r="O58" s="1104">
        <f t="shared" si="19"/>
        <v>45413</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6" priority="14" stopIfTrue="1">
      <formula>$F$52="超过30%"</formula>
    </cfRule>
  </conditionalFormatting>
  <conditionalFormatting sqref="E53">
    <cfRule type="expression" dxfId="115" priority="11" stopIfTrue="1">
      <formula>$F$53="超过20%"</formula>
    </cfRule>
  </conditionalFormatting>
  <conditionalFormatting sqref="E54">
    <cfRule type="expression" dxfId="114" priority="10" stopIfTrue="1">
      <formula>$F$54="超过30%"</formula>
    </cfRule>
  </conditionalFormatting>
  <conditionalFormatting sqref="F7:F46 H7:H46 J7:J46">
    <cfRule type="cellIs" dxfId="113" priority="1" operator="notEqual">
      <formula>100</formula>
    </cfRule>
  </conditionalFormatting>
  <conditionalFormatting sqref="F48">
    <cfRule type="expression" dxfId="112" priority="4">
      <formula>$D$48="简单平均"</formula>
    </cfRule>
  </conditionalFormatting>
  <conditionalFormatting sqref="F52:F54 H52:H54 J52:J54">
    <cfRule type="containsText" dxfId="111" priority="15" stopIfTrue="1" operator="containsText" text="超过">
      <formula>NOT(ISERROR(SEARCH("超过",F52)))</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G54">
    <cfRule type="expression" dxfId="108" priority="12" stopIfTrue="1">
      <formula>$H$54="超过30%"</formula>
    </cfRule>
  </conditionalFormatting>
  <conditionalFormatting sqref="H48">
    <cfRule type="expression" dxfId="107" priority="3">
      <formula>$D$48="简单平均"</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J48">
    <cfRule type="expression" dxfId="103" priority="2">
      <formula>$D$48="简单平均"</formula>
    </cfRule>
  </conditionalFormatting>
  <dataValidations count="24">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C2" xr:uid="{00000000-0002-0000-1B00-000014000000}">
      <formula1>"需扣减承租人权益,——"</formula1>
    </dataValidation>
    <dataValidation type="list" allowBlank="1" showInputMessage="1" showErrorMessage="1" sqref="F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103889.93000000002</v>
      </c>
      <c r="E3" s="1805"/>
      <c r="F3" s="856"/>
      <c r="G3" s="855"/>
      <c r="H3" s="855"/>
      <c r="I3" s="855"/>
      <c r="J3" s="855"/>
      <c r="K3" s="857"/>
      <c r="L3" s="2504"/>
      <c r="M3" s="2505"/>
      <c r="N3" s="2505"/>
      <c r="O3" s="2505"/>
      <c r="P3" s="341"/>
      <c r="Q3" s="341"/>
      <c r="R3" s="341"/>
      <c r="S3" s="341"/>
      <c r="T3" s="341"/>
      <c r="U3" s="341"/>
      <c r="V3" s="341"/>
      <c r="W3" s="341"/>
      <c r="X3" s="341"/>
      <c r="Y3" s="341"/>
      <c r="Z3" s="341"/>
      <c r="AA3" s="341"/>
      <c r="AB3" s="341"/>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492" t="s">
        <v>1775</v>
      </c>
      <c r="Q4" s="3493"/>
      <c r="R4" s="3496" t="s">
        <v>1771</v>
      </c>
      <c r="S4" s="3497"/>
      <c r="T4" s="3496" t="s">
        <v>1772</v>
      </c>
      <c r="U4" s="3497"/>
      <c r="V4" s="3498" t="s">
        <v>1773</v>
      </c>
      <c r="W4" s="3498"/>
      <c r="X4" s="1809"/>
      <c r="Y4" s="3496" t="s">
        <v>1775</v>
      </c>
      <c r="Z4" s="3497"/>
      <c r="AA4" s="3500" t="s">
        <v>1771</v>
      </c>
      <c r="AB4" s="3500" t="s">
        <v>1772</v>
      </c>
      <c r="AC4" s="3489" t="s">
        <v>1773</v>
      </c>
    </row>
    <row r="5" spans="1:29" ht="15">
      <c r="A5" s="348"/>
      <c r="B5" s="349"/>
      <c r="C5" s="3477" t="s">
        <v>1673</v>
      </c>
      <c r="D5" s="3478"/>
      <c r="E5" s="3484" t="s">
        <v>1674</v>
      </c>
      <c r="F5" s="3485"/>
      <c r="G5" s="3477" t="s">
        <v>1675</v>
      </c>
      <c r="H5" s="3478"/>
      <c r="I5" s="3477" t="s">
        <v>1676</v>
      </c>
      <c r="J5" s="3478"/>
      <c r="K5" s="537"/>
      <c r="L5" s="2487"/>
      <c r="M5" s="2488"/>
      <c r="N5" s="2488"/>
      <c r="O5" s="2488"/>
      <c r="P5" s="3494"/>
      <c r="Q5" s="3466"/>
      <c r="R5" s="3471"/>
      <c r="S5" s="3472"/>
      <c r="T5" s="3471"/>
      <c r="U5" s="3472"/>
      <c r="V5" s="3445"/>
      <c r="W5" s="3445"/>
      <c r="X5" s="1265"/>
      <c r="Y5" s="3471"/>
      <c r="Z5" s="3472"/>
      <c r="AA5" s="3457"/>
      <c r="AB5" s="3457"/>
      <c r="AC5" s="3490"/>
    </row>
    <row r="6" spans="1:29" ht="15.75" thickBot="1">
      <c r="A6" s="350"/>
      <c r="B6" s="351"/>
      <c r="C6" s="3475" t="s">
        <v>1677</v>
      </c>
      <c r="D6" s="3476"/>
      <c r="E6" s="3482" t="s">
        <v>1677</v>
      </c>
      <c r="F6" s="3483"/>
      <c r="G6" s="3475" t="s">
        <v>1677</v>
      </c>
      <c r="H6" s="3476"/>
      <c r="I6" s="3475" t="s">
        <v>1677</v>
      </c>
      <c r="J6" s="3476"/>
      <c r="K6" s="537" t="s">
        <v>1678</v>
      </c>
      <c r="L6" s="2487"/>
      <c r="M6" s="2488"/>
      <c r="N6" s="2488"/>
      <c r="O6" s="2488"/>
      <c r="P6" s="3495"/>
      <c r="Q6" s="3468"/>
      <c r="R6" s="3471"/>
      <c r="S6" s="3472"/>
      <c r="T6" s="3473"/>
      <c r="U6" s="3474"/>
      <c r="V6" s="3445"/>
      <c r="W6" s="3445"/>
      <c r="X6" s="1265"/>
      <c r="Y6" s="3473"/>
      <c r="Z6" s="3474"/>
      <c r="AA6" s="3458"/>
      <c r="AB6" s="3458"/>
      <c r="AC6" s="3491"/>
    </row>
    <row r="7" spans="1:29" s="102" customFormat="1" ht="15.75" thickBot="1">
      <c r="A7" s="352" t="s">
        <v>1679</v>
      </c>
      <c r="B7" s="353"/>
      <c r="C7" s="354">
        <f>'数据-取费表'!B2</f>
        <v>45785</v>
      </c>
      <c r="D7" s="355">
        <v>100</v>
      </c>
      <c r="E7" s="356"/>
      <c r="F7" s="357">
        <f>SUMIF(59:59,YEAR(E7)&amp;"-"&amp;MONTH(E7),60:60)</f>
        <v>0</v>
      </c>
      <c r="G7" s="356"/>
      <c r="H7" s="355">
        <f>SUMIF(59:59,YEAR(G7)&amp;"-"&amp;MONTH(G7),60:60)</f>
        <v>0</v>
      </c>
      <c r="I7" s="356"/>
      <c r="J7" s="355">
        <f>SUMIF(59:59,YEAR(I7)&amp;"-"&amp;MONTH(I7),60:60)</f>
        <v>0</v>
      </c>
      <c r="K7" s="38"/>
      <c r="L7" s="2489"/>
      <c r="M7" s="2440"/>
      <c r="N7" s="2440"/>
      <c r="O7" s="2440"/>
      <c r="P7" s="3499" t="s">
        <v>1680</v>
      </c>
      <c r="Q7" s="3481"/>
      <c r="R7" s="664" t="s">
        <v>14</v>
      </c>
      <c r="S7" s="665">
        <f t="shared" ref="S7:S15" si="0">F7</f>
        <v>0</v>
      </c>
      <c r="T7" s="664" t="s">
        <v>14</v>
      </c>
      <c r="U7" s="665">
        <f t="shared" ref="U7:U15" si="1">H7</f>
        <v>0</v>
      </c>
      <c r="V7" s="664" t="s">
        <v>14</v>
      </c>
      <c r="W7" s="665">
        <f t="shared" ref="W7:W15" si="2">J7</f>
        <v>0</v>
      </c>
      <c r="X7" s="666"/>
      <c r="Y7" s="3479" t="s">
        <v>1680</v>
      </c>
      <c r="Z7" s="3480"/>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9"/>
      <c r="M8" s="2440"/>
      <c r="N8" s="2440"/>
      <c r="O8" s="2440"/>
      <c r="P8" s="3499" t="s">
        <v>1683</v>
      </c>
      <c r="Q8" s="3480"/>
      <c r="R8" s="664" t="s">
        <v>14</v>
      </c>
      <c r="S8" s="665">
        <f t="shared" si="0"/>
        <v>100</v>
      </c>
      <c r="T8" s="664" t="s">
        <v>14</v>
      </c>
      <c r="U8" s="665">
        <f t="shared" si="1"/>
        <v>100</v>
      </c>
      <c r="V8" s="664" t="s">
        <v>14</v>
      </c>
      <c r="W8" s="665">
        <f t="shared" si="2"/>
        <v>100</v>
      </c>
      <c r="X8" s="666"/>
      <c r="Y8" s="3479" t="s">
        <v>1683</v>
      </c>
      <c r="Z8" s="3480"/>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9"/>
      <c r="M9" s="2440"/>
      <c r="N9" s="2440"/>
      <c r="O9" s="2440"/>
      <c r="P9" s="3455"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90"/>
      <c r="M10" s="2491"/>
      <c r="N10" s="2491"/>
      <c r="O10" s="2491"/>
      <c r="P10" s="3455"/>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2"/>
      <c r="M11" s="2488"/>
      <c r="N11" s="2488"/>
      <c r="O11" s="2488"/>
      <c r="P11" s="3455"/>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9"/>
      <c r="M12" s="2440"/>
      <c r="N12" s="2440"/>
      <c r="O12" s="2440"/>
      <c r="P12" s="345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3"/>
      <c r="M13" s="2488"/>
      <c r="N13" s="2488"/>
      <c r="O13" s="2488"/>
      <c r="P13" s="345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3"/>
      <c r="M14" s="2488"/>
      <c r="N14" s="2488"/>
      <c r="O14" s="2488"/>
      <c r="P14" s="345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802">
        <f t="shared" si="5"/>
        <v>1</v>
      </c>
    </row>
    <row r="15" spans="1:29" ht="15">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3"/>
      <c r="M15" s="2488"/>
      <c r="N15" s="2488"/>
      <c r="O15" s="2488"/>
      <c r="P15" s="3453" t="s">
        <v>1691</v>
      </c>
      <c r="Q15" s="1263" t="str">
        <f t="shared" si="6"/>
        <v>办公集聚程度</v>
      </c>
      <c r="R15" s="667" t="s">
        <v>14</v>
      </c>
      <c r="S15" s="668">
        <f t="shared" si="0"/>
        <v>100</v>
      </c>
      <c r="T15" s="667" t="s">
        <v>14</v>
      </c>
      <c r="U15" s="668">
        <f t="shared" si="1"/>
        <v>100</v>
      </c>
      <c r="V15" s="667" t="s">
        <v>14</v>
      </c>
      <c r="W15" s="668">
        <f t="shared" si="2"/>
        <v>100</v>
      </c>
      <c r="X15" s="1265"/>
      <c r="Y15" s="3446"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3"/>
      <c r="M16" s="2488"/>
      <c r="N16" s="2488"/>
      <c r="O16" s="2488"/>
      <c r="P16" s="3454"/>
      <c r="Q16" s="1263"/>
      <c r="R16" s="667"/>
      <c r="S16" s="668"/>
      <c r="T16" s="667"/>
      <c r="U16" s="668"/>
      <c r="V16" s="667"/>
      <c r="W16" s="668"/>
      <c r="X16" s="1265"/>
      <c r="Y16" s="3447"/>
      <c r="Z16" s="1264"/>
      <c r="AA16" s="1264">
        <v>1</v>
      </c>
      <c r="AB16" s="1264">
        <v>1</v>
      </c>
      <c r="AC16" s="1812">
        <v>1</v>
      </c>
    </row>
    <row r="17" spans="1:29" ht="15">
      <c r="A17" s="367"/>
      <c r="B17" s="556" t="s">
        <v>1259</v>
      </c>
      <c r="C17" s="1813">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3"/>
      <c r="M17" s="2488"/>
      <c r="N17" s="2488"/>
      <c r="O17" s="2488"/>
      <c r="P17" s="3454"/>
      <c r="Q17" s="1263" t="str">
        <f>B17</f>
        <v>交通便捷度</v>
      </c>
      <c r="R17" s="667" t="s">
        <v>14</v>
      </c>
      <c r="S17" s="668">
        <f>F17</f>
        <v>100</v>
      </c>
      <c r="T17" s="667" t="s">
        <v>14</v>
      </c>
      <c r="U17" s="668">
        <f>H17</f>
        <v>100</v>
      </c>
      <c r="V17" s="667" t="s">
        <v>14</v>
      </c>
      <c r="W17" s="668">
        <f>J17</f>
        <v>100</v>
      </c>
      <c r="X17" s="1265"/>
      <c r="Y17" s="3447"/>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3"/>
      <c r="M18" s="2488"/>
      <c r="N18" s="2488"/>
      <c r="O18" s="2488"/>
      <c r="P18" s="3454"/>
      <c r="Q18" s="1263"/>
      <c r="R18" s="667"/>
      <c r="S18" s="668"/>
      <c r="T18" s="667"/>
      <c r="U18" s="668"/>
      <c r="V18" s="667"/>
      <c r="W18" s="668"/>
      <c r="X18" s="1265"/>
      <c r="Y18" s="3447"/>
      <c r="Z18" s="1264"/>
      <c r="AA18" s="1264">
        <v>1</v>
      </c>
      <c r="AB18" s="1264">
        <v>1</v>
      </c>
      <c r="AC18" s="1812">
        <v>1</v>
      </c>
    </row>
    <row r="19" spans="1:29" ht="15">
      <c r="A19" s="367"/>
      <c r="B19" s="556" t="s">
        <v>1812</v>
      </c>
      <c r="C19" s="1813">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3"/>
      <c r="M19" s="2488"/>
      <c r="N19" s="2488"/>
      <c r="O19" s="2488"/>
      <c r="P19" s="3454"/>
      <c r="Q19" s="1263" t="str">
        <f>B19</f>
        <v>公共配套设施</v>
      </c>
      <c r="R19" s="667" t="s">
        <v>14</v>
      </c>
      <c r="S19" s="668">
        <f>F19</f>
        <v>100</v>
      </c>
      <c r="T19" s="667" t="s">
        <v>14</v>
      </c>
      <c r="U19" s="668">
        <f>H19</f>
        <v>100</v>
      </c>
      <c r="V19" s="667" t="s">
        <v>14</v>
      </c>
      <c r="W19" s="668">
        <f>J19</f>
        <v>100</v>
      </c>
      <c r="X19" s="1265"/>
      <c r="Y19" s="3447"/>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3"/>
      <c r="M20" s="2488"/>
      <c r="N20" s="2488"/>
      <c r="O20" s="2488"/>
      <c r="P20" s="3454"/>
      <c r="Q20" s="1263"/>
      <c r="R20" s="667"/>
      <c r="S20" s="668"/>
      <c r="T20" s="667"/>
      <c r="U20" s="668"/>
      <c r="V20" s="667"/>
      <c r="W20" s="668"/>
      <c r="X20" s="1265"/>
      <c r="Y20" s="3447"/>
      <c r="Z20" s="1264"/>
      <c r="AA20" s="1264">
        <v>1</v>
      </c>
      <c r="AB20" s="1264">
        <v>1</v>
      </c>
      <c r="AC20" s="1812">
        <v>1</v>
      </c>
    </row>
    <row r="21" spans="1:29" ht="15">
      <c r="A21" s="367"/>
      <c r="B21" s="557" t="s">
        <v>1813</v>
      </c>
      <c r="C21" s="1813">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3"/>
      <c r="M21" s="2488"/>
      <c r="N21" s="2488"/>
      <c r="O21" s="2488"/>
      <c r="P21" s="3454"/>
      <c r="Q21" s="1263" t="str">
        <f>B21</f>
        <v>基础设施水平</v>
      </c>
      <c r="R21" s="667" t="s">
        <v>14</v>
      </c>
      <c r="S21" s="668">
        <f>F21</f>
        <v>100</v>
      </c>
      <c r="T21" s="667" t="s">
        <v>14</v>
      </c>
      <c r="U21" s="668">
        <f>H21</f>
        <v>100</v>
      </c>
      <c r="V21" s="667" t="s">
        <v>14</v>
      </c>
      <c r="W21" s="668">
        <f>J21</f>
        <v>100</v>
      </c>
      <c r="X21" s="1265"/>
      <c r="Y21" s="3447"/>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3"/>
      <c r="M22" s="2488"/>
      <c r="N22" s="2488"/>
      <c r="O22" s="2488"/>
      <c r="P22" s="3454"/>
      <c r="Q22" s="1263"/>
      <c r="R22" s="667"/>
      <c r="S22" s="668"/>
      <c r="T22" s="667"/>
      <c r="U22" s="668"/>
      <c r="V22" s="667"/>
      <c r="W22" s="668"/>
      <c r="X22" s="1265"/>
      <c r="Y22" s="3447"/>
      <c r="Z22" s="1264"/>
      <c r="AA22" s="1264">
        <v>1</v>
      </c>
      <c r="AB22" s="1264">
        <v>1</v>
      </c>
      <c r="AC22" s="1812">
        <v>1</v>
      </c>
    </row>
    <row r="23" spans="1:29" ht="15">
      <c r="A23" s="367"/>
      <c r="B23" s="556" t="s">
        <v>1814</v>
      </c>
      <c r="C23" s="1813">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3"/>
      <c r="M23" s="2488"/>
      <c r="N23" s="2488"/>
      <c r="O23" s="2488"/>
      <c r="P23" s="3454"/>
      <c r="Q23" s="1263" t="str">
        <f>B23</f>
        <v>环境质量</v>
      </c>
      <c r="R23" s="667" t="s">
        <v>14</v>
      </c>
      <c r="S23" s="668">
        <f>F23</f>
        <v>100</v>
      </c>
      <c r="T23" s="667" t="s">
        <v>14</v>
      </c>
      <c r="U23" s="668">
        <f>H23</f>
        <v>100</v>
      </c>
      <c r="V23" s="667" t="s">
        <v>14</v>
      </c>
      <c r="W23" s="668">
        <f>J23</f>
        <v>100</v>
      </c>
      <c r="X23" s="1265"/>
      <c r="Y23" s="3447"/>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3"/>
      <c r="M24" s="2488"/>
      <c r="N24" s="2488"/>
      <c r="O24" s="2488"/>
      <c r="P24" s="3454"/>
      <c r="Q24" s="1263"/>
      <c r="R24" s="667"/>
      <c r="S24" s="668"/>
      <c r="T24" s="667"/>
      <c r="U24" s="668"/>
      <c r="V24" s="667"/>
      <c r="W24" s="668"/>
      <c r="X24" s="1265"/>
      <c r="Y24" s="3447"/>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3"/>
      <c r="M25" s="2488"/>
      <c r="N25" s="2488"/>
      <c r="O25" s="2488"/>
      <c r="P25" s="3454"/>
      <c r="Q25" s="1263" t="str">
        <f>B25</f>
        <v>毗邻道路的类型与等级</v>
      </c>
      <c r="R25" s="667" t="s">
        <v>14</v>
      </c>
      <c r="S25" s="668">
        <f>F25</f>
        <v>100</v>
      </c>
      <c r="T25" s="667" t="s">
        <v>14</v>
      </c>
      <c r="U25" s="668">
        <f>H25</f>
        <v>100</v>
      </c>
      <c r="V25" s="667" t="s">
        <v>14</v>
      </c>
      <c r="W25" s="668">
        <f>J25</f>
        <v>100</v>
      </c>
      <c r="X25" s="1265"/>
      <c r="Y25" s="3447"/>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3"/>
      <c r="M26" s="2488"/>
      <c r="N26" s="2488"/>
      <c r="O26" s="2488"/>
      <c r="P26" s="3454"/>
      <c r="Q26" s="1263"/>
      <c r="R26" s="667"/>
      <c r="S26" s="668"/>
      <c r="T26" s="667"/>
      <c r="U26" s="668"/>
      <c r="V26" s="667"/>
      <c r="W26" s="668"/>
      <c r="X26" s="1265"/>
      <c r="Y26" s="3447"/>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3"/>
      <c r="M27" s="2488"/>
      <c r="N27" s="2488"/>
      <c r="O27" s="2488"/>
      <c r="P27" s="3454"/>
      <c r="Q27" s="1263" t="str">
        <f t="shared" ref="Q27:Q47" si="11">B27</f>
        <v>楼层</v>
      </c>
      <c r="R27" s="667" t="s">
        <v>14</v>
      </c>
      <c r="S27" s="668">
        <f>F27</f>
        <v>100</v>
      </c>
      <c r="T27" s="667" t="s">
        <v>14</v>
      </c>
      <c r="U27" s="668">
        <f>H27</f>
        <v>100</v>
      </c>
      <c r="V27" s="667" t="s">
        <v>14</v>
      </c>
      <c r="W27" s="668">
        <f>J27</f>
        <v>100</v>
      </c>
      <c r="X27" s="1265"/>
      <c r="Y27" s="3447"/>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9"/>
      <c r="M28" s="2440"/>
      <c r="N28" s="2440"/>
      <c r="O28" s="2440"/>
      <c r="P28" s="3454"/>
      <c r="Q28" s="530" t="str">
        <f t="shared" si="11"/>
        <v>朝向</v>
      </c>
      <c r="R28" s="664" t="s">
        <v>14</v>
      </c>
      <c r="S28" s="665">
        <f>F28</f>
        <v>100</v>
      </c>
      <c r="T28" s="664" t="s">
        <v>14</v>
      </c>
      <c r="U28" s="665">
        <f>H28</f>
        <v>100</v>
      </c>
      <c r="V28" s="664" t="s">
        <v>14</v>
      </c>
      <c r="W28" s="665">
        <f>J28</f>
        <v>100</v>
      </c>
      <c r="X28" s="666"/>
      <c r="Y28" s="3447"/>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3"/>
      <c r="M29" s="2488"/>
      <c r="N29" s="2488"/>
      <c r="O29" s="2488"/>
      <c r="P29" s="3454"/>
      <c r="Q29" s="1263">
        <f t="shared" si="11"/>
        <v>111</v>
      </c>
      <c r="R29" s="667" t="s">
        <v>14</v>
      </c>
      <c r="S29" s="668">
        <f t="shared" ref="S29:S47" si="12">F29</f>
        <v>100</v>
      </c>
      <c r="T29" s="667" t="s">
        <v>14</v>
      </c>
      <c r="U29" s="668">
        <f t="shared" ref="U29:U47" si="13">H29</f>
        <v>100</v>
      </c>
      <c r="V29" s="667" t="s">
        <v>14</v>
      </c>
      <c r="W29" s="668">
        <f t="shared" ref="W29:W47" si="14">J29</f>
        <v>100</v>
      </c>
      <c r="X29" s="1265"/>
      <c r="Y29" s="3447"/>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3"/>
      <c r="M30" s="2488"/>
      <c r="N30" s="2488"/>
      <c r="O30" s="2488"/>
      <c r="P30" s="3454"/>
      <c r="Q30" s="1263">
        <f t="shared" si="11"/>
        <v>111</v>
      </c>
      <c r="R30" s="667" t="s">
        <v>14</v>
      </c>
      <c r="S30" s="668">
        <f t="shared" si="12"/>
        <v>100</v>
      </c>
      <c r="T30" s="667" t="s">
        <v>14</v>
      </c>
      <c r="U30" s="668">
        <f t="shared" si="13"/>
        <v>100</v>
      </c>
      <c r="V30" s="667" t="s">
        <v>14</v>
      </c>
      <c r="W30" s="668">
        <f t="shared" si="14"/>
        <v>100</v>
      </c>
      <c r="X30" s="1265"/>
      <c r="Y30" s="3447"/>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3"/>
      <c r="M31" s="2488"/>
      <c r="N31" s="2488"/>
      <c r="O31" s="2488"/>
      <c r="P31" s="3454"/>
      <c r="Q31" s="1263">
        <f t="shared" si="11"/>
        <v>111</v>
      </c>
      <c r="R31" s="667" t="s">
        <v>14</v>
      </c>
      <c r="S31" s="668">
        <f t="shared" si="12"/>
        <v>100</v>
      </c>
      <c r="T31" s="667" t="s">
        <v>14</v>
      </c>
      <c r="U31" s="668">
        <f t="shared" si="13"/>
        <v>100</v>
      </c>
      <c r="V31" s="667" t="s">
        <v>14</v>
      </c>
      <c r="W31" s="668">
        <f t="shared" si="14"/>
        <v>100</v>
      </c>
      <c r="X31" s="1265"/>
      <c r="Y31" s="3447"/>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3"/>
      <c r="M32" s="2488"/>
      <c r="N32" s="2488"/>
      <c r="O32" s="2488"/>
      <c r="P32" s="3454"/>
      <c r="Q32" s="1263">
        <f t="shared" si="11"/>
        <v>111</v>
      </c>
      <c r="R32" s="667" t="s">
        <v>14</v>
      </c>
      <c r="S32" s="668">
        <f t="shared" si="12"/>
        <v>100</v>
      </c>
      <c r="T32" s="667" t="s">
        <v>14</v>
      </c>
      <c r="U32" s="668">
        <f t="shared" si="13"/>
        <v>100</v>
      </c>
      <c r="V32" s="667" t="s">
        <v>14</v>
      </c>
      <c r="W32" s="668">
        <f t="shared" si="14"/>
        <v>100</v>
      </c>
      <c r="X32" s="1265"/>
      <c r="Y32" s="3447"/>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3"/>
      <c r="M33" s="2488"/>
      <c r="N33" s="2488"/>
      <c r="O33" s="2488"/>
      <c r="P33" s="3448" t="s">
        <v>1696</v>
      </c>
      <c r="Q33" s="1263" t="str">
        <f t="shared" si="11"/>
        <v>建筑类型</v>
      </c>
      <c r="R33" s="667" t="s">
        <v>14</v>
      </c>
      <c r="S33" s="668">
        <f t="shared" si="12"/>
        <v>100</v>
      </c>
      <c r="T33" s="667" t="s">
        <v>14</v>
      </c>
      <c r="U33" s="668">
        <f t="shared" si="13"/>
        <v>100</v>
      </c>
      <c r="V33" s="667" t="s">
        <v>14</v>
      </c>
      <c r="W33" s="668">
        <f t="shared" si="14"/>
        <v>100</v>
      </c>
      <c r="X33" s="1265"/>
      <c r="Y33" s="3451"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2"/>
      <c r="M34" s="2494"/>
      <c r="N34" s="2494"/>
      <c r="O34" s="2494"/>
      <c r="P34" s="3449"/>
      <c r="Q34" s="531" t="str">
        <f t="shared" si="11"/>
        <v>项目建筑规模</v>
      </c>
      <c r="R34" s="669" t="s">
        <v>14</v>
      </c>
      <c r="S34" s="670" t="e">
        <f t="shared" si="12"/>
        <v>#N/A</v>
      </c>
      <c r="T34" s="669" t="s">
        <v>14</v>
      </c>
      <c r="U34" s="670" t="e">
        <f t="shared" si="13"/>
        <v>#N/A</v>
      </c>
      <c r="V34" s="669" t="s">
        <v>14</v>
      </c>
      <c r="W34" s="670" t="e">
        <f t="shared" si="14"/>
        <v>#N/A</v>
      </c>
      <c r="X34" s="671"/>
      <c r="Y34" s="3451"/>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3"/>
      <c r="M35" s="2488"/>
      <c r="N35" s="2488"/>
      <c r="O35" s="2488"/>
      <c r="P35" s="3449"/>
      <c r="Q35" s="1263" t="str">
        <f t="shared" si="11"/>
        <v>建筑结构</v>
      </c>
      <c r="R35" s="667" t="s">
        <v>14</v>
      </c>
      <c r="S35" s="668">
        <f t="shared" si="12"/>
        <v>100</v>
      </c>
      <c r="T35" s="667" t="s">
        <v>14</v>
      </c>
      <c r="U35" s="668">
        <f t="shared" si="13"/>
        <v>100</v>
      </c>
      <c r="V35" s="667" t="s">
        <v>14</v>
      </c>
      <c r="W35" s="668">
        <f t="shared" si="14"/>
        <v>100</v>
      </c>
      <c r="X35" s="1265"/>
      <c r="Y35" s="3451"/>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3"/>
      <c r="M36" s="2488"/>
      <c r="N36" s="2488"/>
      <c r="O36" s="2488"/>
      <c r="P36" s="3449"/>
      <c r="Q36" s="1263" t="str">
        <f t="shared" si="11"/>
        <v>公共部分装修</v>
      </c>
      <c r="R36" s="667" t="s">
        <v>14</v>
      </c>
      <c r="S36" s="668">
        <f t="shared" si="12"/>
        <v>100</v>
      </c>
      <c r="T36" s="667" t="s">
        <v>14</v>
      </c>
      <c r="U36" s="668">
        <f t="shared" si="13"/>
        <v>100</v>
      </c>
      <c r="V36" s="667" t="s">
        <v>14</v>
      </c>
      <c r="W36" s="668">
        <f t="shared" si="14"/>
        <v>100</v>
      </c>
      <c r="X36" s="1265"/>
      <c r="Y36" s="3451"/>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3"/>
      <c r="M37" s="2488"/>
      <c r="N37" s="2488"/>
      <c r="O37" s="2488"/>
      <c r="P37" s="3449"/>
      <c r="Q37" s="1263" t="str">
        <f t="shared" si="11"/>
        <v>成新度</v>
      </c>
      <c r="R37" s="667" t="s">
        <v>14</v>
      </c>
      <c r="S37" s="668" t="e">
        <f t="shared" si="12"/>
        <v>#N/A</v>
      </c>
      <c r="T37" s="667" t="s">
        <v>14</v>
      </c>
      <c r="U37" s="668" t="e">
        <f t="shared" si="13"/>
        <v>#N/A</v>
      </c>
      <c r="V37" s="667" t="s">
        <v>14</v>
      </c>
      <c r="W37" s="668" t="e">
        <f t="shared" si="14"/>
        <v>#N/A</v>
      </c>
      <c r="X37" s="1265"/>
      <c r="Y37" s="3451"/>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9"/>
      <c r="M38" s="2440"/>
      <c r="N38" s="2440"/>
      <c r="O38" s="2440"/>
      <c r="P38" s="3449"/>
      <c r="Q38" s="530" t="str">
        <f t="shared" si="11"/>
        <v>写字楼等级</v>
      </c>
      <c r="R38" s="664" t="s">
        <v>14</v>
      </c>
      <c r="S38" s="665">
        <f t="shared" si="12"/>
        <v>100</v>
      </c>
      <c r="T38" s="664" t="s">
        <v>14</v>
      </c>
      <c r="U38" s="665">
        <f t="shared" si="13"/>
        <v>100</v>
      </c>
      <c r="V38" s="664" t="s">
        <v>14</v>
      </c>
      <c r="W38" s="665">
        <f t="shared" si="14"/>
        <v>100</v>
      </c>
      <c r="X38" s="666"/>
      <c r="Y38" s="3451"/>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3"/>
      <c r="M39" s="2488"/>
      <c r="N39" s="2488"/>
      <c r="O39" s="2488"/>
      <c r="P39" s="3449" t="s">
        <v>1696</v>
      </c>
      <c r="Q39" s="1263" t="str">
        <f t="shared" si="11"/>
        <v>物业管理</v>
      </c>
      <c r="R39" s="667" t="s">
        <v>14</v>
      </c>
      <c r="S39" s="668">
        <f t="shared" si="12"/>
        <v>100</v>
      </c>
      <c r="T39" s="667" t="s">
        <v>14</v>
      </c>
      <c r="U39" s="668">
        <f t="shared" si="13"/>
        <v>100</v>
      </c>
      <c r="V39" s="667" t="s">
        <v>14</v>
      </c>
      <c r="W39" s="668">
        <f t="shared" si="14"/>
        <v>100</v>
      </c>
      <c r="X39" s="1265"/>
      <c r="Y39" s="3451"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3"/>
      <c r="M40" s="2488"/>
      <c r="N40" s="2488"/>
      <c r="O40" s="2488"/>
      <c r="P40" s="3449"/>
      <c r="Q40" s="1263" t="str">
        <f t="shared" si="11"/>
        <v>市政基础设施</v>
      </c>
      <c r="R40" s="667" t="s">
        <v>14</v>
      </c>
      <c r="S40" s="668">
        <f t="shared" si="12"/>
        <v>100</v>
      </c>
      <c r="T40" s="667" t="s">
        <v>14</v>
      </c>
      <c r="U40" s="668">
        <f t="shared" si="13"/>
        <v>100</v>
      </c>
      <c r="V40" s="667" t="s">
        <v>14</v>
      </c>
      <c r="W40" s="668">
        <f t="shared" si="14"/>
        <v>100</v>
      </c>
      <c r="X40" s="1265"/>
      <c r="Y40" s="3451"/>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3"/>
      <c r="M41" s="2488"/>
      <c r="N41" s="2488"/>
      <c r="O41" s="2488"/>
      <c r="P41" s="3449"/>
      <c r="Q41" s="1263" t="str">
        <f t="shared" si="11"/>
        <v>层高</v>
      </c>
      <c r="R41" s="667" t="s">
        <v>14</v>
      </c>
      <c r="S41" s="668">
        <f t="shared" si="12"/>
        <v>100</v>
      </c>
      <c r="T41" s="667" t="s">
        <v>14</v>
      </c>
      <c r="U41" s="668">
        <f t="shared" si="13"/>
        <v>100</v>
      </c>
      <c r="V41" s="667" t="s">
        <v>14</v>
      </c>
      <c r="W41" s="668">
        <f t="shared" si="14"/>
        <v>100</v>
      </c>
      <c r="X41" s="1265"/>
      <c r="Y41" s="3451"/>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2"/>
      <c r="M42" s="2494"/>
      <c r="N42" s="2494"/>
      <c r="O42" s="2494"/>
      <c r="P42" s="3449"/>
      <c r="Q42" s="531" t="str">
        <f t="shared" si="11"/>
        <v>单套建筑面积</v>
      </c>
      <c r="R42" s="669" t="s">
        <v>14</v>
      </c>
      <c r="S42" s="670">
        <f t="shared" si="12"/>
        <v>100</v>
      </c>
      <c r="T42" s="669" t="s">
        <v>14</v>
      </c>
      <c r="U42" s="670">
        <f t="shared" si="13"/>
        <v>100</v>
      </c>
      <c r="V42" s="669" t="s">
        <v>14</v>
      </c>
      <c r="W42" s="670">
        <f t="shared" si="14"/>
        <v>100</v>
      </c>
      <c r="X42" s="671"/>
      <c r="Y42" s="3451"/>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3"/>
      <c r="M43" s="2488"/>
      <c r="N43" s="2488"/>
      <c r="O43" s="2488"/>
      <c r="P43" s="3449"/>
      <c r="Q43" s="1263" t="str">
        <f t="shared" si="11"/>
        <v>内部装修</v>
      </c>
      <c r="R43" s="667" t="s">
        <v>14</v>
      </c>
      <c r="S43" s="668">
        <f t="shared" si="12"/>
        <v>100</v>
      </c>
      <c r="T43" s="667" t="s">
        <v>14</v>
      </c>
      <c r="U43" s="668">
        <f t="shared" si="13"/>
        <v>100</v>
      </c>
      <c r="V43" s="667" t="s">
        <v>14</v>
      </c>
      <c r="W43" s="668">
        <f t="shared" si="14"/>
        <v>100</v>
      </c>
      <c r="X43" s="1265"/>
      <c r="Y43" s="3451"/>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3"/>
      <c r="M44" s="2488"/>
      <c r="N44" s="2488"/>
      <c r="O44" s="2488"/>
      <c r="P44" s="3449"/>
      <c r="Q44" s="1263" t="str">
        <f t="shared" si="11"/>
        <v>内部装修维护情况</v>
      </c>
      <c r="R44" s="667" t="s">
        <v>14</v>
      </c>
      <c r="S44" s="668">
        <f t="shared" si="12"/>
        <v>100</v>
      </c>
      <c r="T44" s="667" t="s">
        <v>14</v>
      </c>
      <c r="U44" s="668">
        <f t="shared" si="13"/>
        <v>100</v>
      </c>
      <c r="V44" s="667" t="s">
        <v>14</v>
      </c>
      <c r="W44" s="668">
        <f t="shared" si="14"/>
        <v>100</v>
      </c>
      <c r="X44" s="1265"/>
      <c r="Y44" s="3451"/>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9"/>
      <c r="M45" s="2440"/>
      <c r="N45" s="2440"/>
      <c r="O45" s="2440"/>
      <c r="P45" s="3449"/>
      <c r="Q45" s="530">
        <f t="shared" si="11"/>
        <v>111</v>
      </c>
      <c r="R45" s="664" t="s">
        <v>14</v>
      </c>
      <c r="S45" s="665">
        <f t="shared" si="12"/>
        <v>100</v>
      </c>
      <c r="T45" s="664" t="s">
        <v>14</v>
      </c>
      <c r="U45" s="665">
        <f t="shared" si="13"/>
        <v>100</v>
      </c>
      <c r="V45" s="664" t="s">
        <v>14</v>
      </c>
      <c r="W45" s="665">
        <f t="shared" si="14"/>
        <v>100</v>
      </c>
      <c r="X45" s="666"/>
      <c r="Y45" s="3451"/>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3"/>
      <c r="M46" s="2488"/>
      <c r="N46" s="2488"/>
      <c r="O46" s="2488"/>
      <c r="P46" s="3449"/>
      <c r="Q46" s="1263">
        <f t="shared" si="11"/>
        <v>111</v>
      </c>
      <c r="R46" s="667" t="s">
        <v>14</v>
      </c>
      <c r="S46" s="668">
        <f t="shared" si="12"/>
        <v>100</v>
      </c>
      <c r="T46" s="667" t="s">
        <v>14</v>
      </c>
      <c r="U46" s="668">
        <f t="shared" si="13"/>
        <v>100</v>
      </c>
      <c r="V46" s="667" t="s">
        <v>14</v>
      </c>
      <c r="W46" s="668">
        <f t="shared" si="14"/>
        <v>100</v>
      </c>
      <c r="X46" s="1265"/>
      <c r="Y46" s="3451"/>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3"/>
      <c r="M47" s="2488"/>
      <c r="N47" s="2488"/>
      <c r="O47" s="2488"/>
      <c r="P47" s="3450"/>
      <c r="Q47" s="1263">
        <f t="shared" si="11"/>
        <v>111</v>
      </c>
      <c r="R47" s="667" t="s">
        <v>14</v>
      </c>
      <c r="S47" s="668">
        <f t="shared" si="12"/>
        <v>100</v>
      </c>
      <c r="T47" s="667" t="s">
        <v>14</v>
      </c>
      <c r="U47" s="668">
        <f t="shared" si="13"/>
        <v>100</v>
      </c>
      <c r="V47" s="667" t="s">
        <v>14</v>
      </c>
      <c r="W47" s="668">
        <f t="shared" si="14"/>
        <v>100</v>
      </c>
      <c r="X47" s="1265"/>
      <c r="Y47" s="3452"/>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5"/>
      <c r="M48" s="2488"/>
      <c r="N48" s="2488"/>
      <c r="O48" s="2488"/>
      <c r="P48" s="3455" t="str">
        <f>A48</f>
        <v>成交单价（元/平方米）</v>
      </c>
      <c r="Q48" s="3444"/>
      <c r="R48" s="3445">
        <f>E48</f>
        <v>0</v>
      </c>
      <c r="S48" s="3445"/>
      <c r="T48" s="3445">
        <f>G48</f>
        <v>0</v>
      </c>
      <c r="U48" s="3445"/>
      <c r="V48" s="3445">
        <f>I48</f>
        <v>0</v>
      </c>
      <c r="W48" s="344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5"/>
      <c r="M49" s="2488"/>
      <c r="N49" s="2488"/>
      <c r="O49" s="2488"/>
      <c r="P49" s="3455" t="str">
        <f>A49</f>
        <v>比较价值（元/平方米）</v>
      </c>
      <c r="Q49" s="344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5"/>
      <c r="M50" s="2488"/>
      <c r="N50" s="2488"/>
      <c r="O50" s="2488"/>
      <c r="P50" s="3486" t="str">
        <f>A50</f>
        <v>估价对象XX用房的比较价值（楼面单价，元/平方米）</v>
      </c>
      <c r="Q50" s="3487"/>
      <c r="R50" s="3488" t="e">
        <f>IF(F1="售价",ROUND(IF(D49="简单平均",AVERAGE(R49:V49),R49*F49+T49*H49+V49*J49),0),ROUND(IF(D49="简单平均",AVERAGE(R49:V49),R49*F49+T49*H49+V49*J49),1))</f>
        <v>#DIV/0!</v>
      </c>
      <c r="S50" s="3488"/>
      <c r="T50" s="3488"/>
      <c r="U50" s="3488"/>
      <c r="V50" s="3488"/>
      <c r="W50" s="3488"/>
      <c r="X50" s="1798"/>
      <c r="Y50" s="1798"/>
      <c r="Z50" s="1798"/>
      <c r="AA50" s="1798"/>
      <c r="AB50" s="1798"/>
      <c r="AC50" s="1799"/>
    </row>
    <row r="51" spans="1:29">
      <c r="A51" s="2488"/>
      <c r="B51" s="2488"/>
      <c r="C51" s="2488"/>
      <c r="D51" s="2488"/>
      <c r="E51" s="2488"/>
      <c r="F51" s="2488"/>
      <c r="G51" s="2499"/>
      <c r="H51" s="2488"/>
      <c r="I51" s="2488"/>
      <c r="J51" s="2488"/>
      <c r="K51" s="2500"/>
      <c r="L51" s="2496"/>
      <c r="M51" s="2488"/>
      <c r="N51" s="2488"/>
      <c r="O51" s="2488"/>
      <c r="P51" s="2524"/>
      <c r="Q51" s="2488"/>
      <c r="R51" s="2488"/>
      <c r="S51" s="2488"/>
      <c r="T51" s="2488"/>
      <c r="U51" s="2488"/>
      <c r="V51" s="2488"/>
      <c r="W51" s="2488"/>
      <c r="X51" s="2488"/>
      <c r="Y51" s="2488"/>
      <c r="Z51" s="2488"/>
      <c r="AA51" s="2488"/>
      <c r="AB51" s="2488"/>
      <c r="AC51" s="2488"/>
    </row>
    <row r="52" spans="1:29">
      <c r="A52" s="2488"/>
      <c r="B52" s="2488"/>
      <c r="C52" s="2488"/>
      <c r="D52" s="2488"/>
      <c r="E52" s="2488"/>
      <c r="F52" s="2488"/>
      <c r="G52" s="2488"/>
      <c r="H52" s="2488"/>
      <c r="I52" s="2488"/>
      <c r="J52" s="2488"/>
      <c r="K52" s="2500"/>
      <c r="L52" s="2496"/>
      <c r="M52" s="2488"/>
      <c r="N52" s="2488"/>
      <c r="O52" s="2488"/>
      <c r="P52" s="2524"/>
      <c r="Q52" s="2488"/>
      <c r="R52" s="2488"/>
      <c r="S52" s="2488"/>
      <c r="T52" s="2488"/>
      <c r="U52" s="2488"/>
      <c r="V52" s="2488"/>
      <c r="W52" s="2488"/>
      <c r="X52" s="2488"/>
      <c r="Y52" s="2488"/>
      <c r="Z52" s="2488"/>
      <c r="AA52" s="2488"/>
      <c r="AB52" s="2488"/>
      <c r="AC52" s="2488"/>
    </row>
    <row r="53" spans="1:29" ht="13.5" customHeight="1">
      <c r="A53" s="2488"/>
      <c r="B53" s="2488"/>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500"/>
      <c r="L53" s="2496"/>
      <c r="M53" s="2488"/>
      <c r="N53" s="2488"/>
      <c r="O53" s="2488"/>
      <c r="P53" s="2524"/>
      <c r="Q53" s="2488"/>
      <c r="R53" s="2488"/>
      <c r="S53" s="2488"/>
      <c r="T53" s="2488"/>
      <c r="U53" s="2488"/>
      <c r="V53" s="2488"/>
      <c r="W53" s="2488"/>
      <c r="X53" s="2488"/>
      <c r="Y53" s="2488"/>
      <c r="Z53" s="2488"/>
      <c r="AA53" s="2488"/>
      <c r="AB53" s="2488"/>
      <c r="AC53" s="2488"/>
    </row>
    <row r="54" spans="1:29" ht="13.5" customHeight="1">
      <c r="A54" s="2488"/>
      <c r="B54" s="2488"/>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500"/>
      <c r="L54" s="2496"/>
      <c r="M54" s="2488"/>
      <c r="N54" s="2488"/>
      <c r="O54" s="2488"/>
      <c r="P54" s="2524"/>
      <c r="Q54" s="2488"/>
      <c r="R54" s="2488"/>
      <c r="S54" s="2488"/>
      <c r="T54" s="2488"/>
      <c r="U54" s="2488"/>
      <c r="V54" s="2488"/>
      <c r="W54" s="2488"/>
      <c r="X54" s="2488"/>
      <c r="Y54" s="2488"/>
      <c r="Z54" s="2488"/>
      <c r="AA54" s="2488"/>
      <c r="AB54" s="2488"/>
      <c r="AC54" s="2488"/>
    </row>
    <row r="55" spans="1:29" s="437" customFormat="1" ht="13.5" customHeight="1">
      <c r="A55" s="2498"/>
      <c r="B55" s="2498"/>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3"/>
      <c r="L55" s="2497"/>
      <c r="M55" s="2498"/>
      <c r="N55" s="2498"/>
      <c r="O55" s="2498"/>
      <c r="P55" s="2525"/>
      <c r="Q55" s="2498"/>
      <c r="R55" s="2498"/>
      <c r="S55" s="2498"/>
      <c r="T55" s="2498"/>
      <c r="U55" s="2498"/>
      <c r="V55" s="2498"/>
      <c r="W55" s="2498"/>
      <c r="X55" s="2498"/>
      <c r="Y55" s="2498"/>
      <c r="Z55" s="2498"/>
      <c r="AA55" s="2498"/>
      <c r="AB55" s="2498"/>
      <c r="AC55" s="2498"/>
    </row>
    <row r="56" spans="1:29" s="437" customFormat="1">
      <c r="A56" s="2498"/>
      <c r="B56" s="2501"/>
      <c r="C56" s="2502"/>
      <c r="D56" s="2498"/>
      <c r="E56" s="2498"/>
      <c r="F56" s="2498"/>
      <c r="G56" s="2498"/>
      <c r="H56" s="2498"/>
      <c r="I56" s="2498"/>
      <c r="J56" s="2498"/>
      <c r="K56" s="2503"/>
      <c r="L56" s="2497"/>
      <c r="M56" s="2498"/>
      <c r="N56" s="2498"/>
      <c r="O56" s="2498"/>
      <c r="P56" s="2525"/>
      <c r="Q56" s="2498"/>
      <c r="R56" s="2498"/>
      <c r="S56" s="2498"/>
      <c r="T56" s="2498"/>
      <c r="U56" s="2498"/>
      <c r="V56" s="2498"/>
      <c r="W56" s="2498"/>
      <c r="X56" s="2498"/>
      <c r="Y56" s="2498"/>
      <c r="Z56" s="2498"/>
      <c r="AA56" s="2498"/>
      <c r="AB56" s="2498"/>
      <c r="AC56" s="2498"/>
    </row>
    <row r="57" spans="1:29">
      <c r="A57" s="2488"/>
      <c r="B57" s="2501"/>
      <c r="C57" s="2502"/>
      <c r="D57" s="2488"/>
      <c r="E57" s="2488"/>
      <c r="F57" s="2488"/>
      <c r="G57" s="2488"/>
      <c r="H57" s="2488"/>
      <c r="I57" s="2488"/>
      <c r="J57" s="2488"/>
      <c r="K57" s="2500"/>
      <c r="L57" s="2496"/>
      <c r="M57" s="2488"/>
      <c r="N57" s="2488"/>
      <c r="O57" s="2488"/>
      <c r="P57" s="2524"/>
      <c r="Q57" s="2488"/>
      <c r="R57" s="2488"/>
      <c r="S57" s="2488"/>
      <c r="T57" s="2488"/>
      <c r="U57" s="2488"/>
      <c r="V57" s="2488"/>
      <c r="W57" s="2488"/>
      <c r="X57" s="2488"/>
      <c r="Y57" s="2488"/>
      <c r="Z57" s="2488"/>
      <c r="AA57" s="2488"/>
      <c r="AB57" s="2488"/>
      <c r="AC57" s="2488"/>
    </row>
    <row r="58" spans="1:29" ht="21.75" thickBot="1">
      <c r="A58" s="658" t="s">
        <v>1798</v>
      </c>
      <c r="B58" s="385"/>
      <c r="C58" s="659"/>
      <c r="D58" s="659"/>
      <c r="E58" s="659"/>
      <c r="F58" s="660"/>
      <c r="G58" s="660"/>
      <c r="H58" s="659"/>
      <c r="I58" s="659"/>
      <c r="J58" s="659"/>
      <c r="K58" s="661"/>
      <c r="L58" s="888"/>
      <c r="M58" s="886"/>
      <c r="N58" s="2537"/>
      <c r="O58" s="2537"/>
      <c r="P58" s="2526"/>
      <c r="Q58" s="2509"/>
      <c r="R58" s="2488"/>
      <c r="S58" s="2488"/>
      <c r="T58" s="2488"/>
      <c r="U58" s="2488"/>
      <c r="V58" s="2488"/>
      <c r="W58" s="2488"/>
      <c r="X58" s="2488"/>
      <c r="Y58" s="2488"/>
      <c r="Z58" s="2488"/>
      <c r="AA58" s="2488"/>
      <c r="AB58" s="2488"/>
      <c r="AC58" s="2488"/>
    </row>
    <row r="59" spans="1:29" s="442" customFormat="1" ht="15">
      <c r="A59" s="440" t="s">
        <v>1679</v>
      </c>
      <c r="B59" s="441"/>
      <c r="C59" s="1103" t="str">
        <f>YEAR(C7)&amp;"-"&amp;MONTH(C7)</f>
        <v>2025-5</v>
      </c>
      <c r="D59" s="1104">
        <f>EDATE(C59,-1)</f>
        <v>45748</v>
      </c>
      <c r="E59" s="1104">
        <f>EDATE(D59,-1)</f>
        <v>45717</v>
      </c>
      <c r="F59" s="1104">
        <f t="shared" ref="F59:O59" si="16">EDATE(E59,-1)</f>
        <v>45689</v>
      </c>
      <c r="G59" s="1104">
        <f t="shared" si="16"/>
        <v>45658</v>
      </c>
      <c r="H59" s="1104">
        <f t="shared" si="16"/>
        <v>45627</v>
      </c>
      <c r="I59" s="1104">
        <f t="shared" si="16"/>
        <v>45597</v>
      </c>
      <c r="J59" s="1104">
        <f t="shared" si="16"/>
        <v>45566</v>
      </c>
      <c r="K59" s="1104">
        <f t="shared" si="16"/>
        <v>45536</v>
      </c>
      <c r="L59" s="1104">
        <f t="shared" si="16"/>
        <v>45505</v>
      </c>
      <c r="M59" s="1104">
        <f t="shared" si="16"/>
        <v>45474</v>
      </c>
      <c r="N59" s="1104">
        <f t="shared" si="16"/>
        <v>45444</v>
      </c>
      <c r="O59" s="1104">
        <f t="shared" si="16"/>
        <v>45413</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40"/>
      <c r="R60" s="2440"/>
      <c r="S60" s="2440"/>
      <c r="T60" s="2440"/>
      <c r="U60" s="2440"/>
      <c r="V60" s="2440"/>
      <c r="W60" s="2440"/>
      <c r="X60" s="2440"/>
      <c r="Y60" s="2440"/>
      <c r="Z60" s="2440"/>
      <c r="AA60" s="2440"/>
      <c r="AB60" s="2440"/>
      <c r="AC60" s="2440"/>
    </row>
    <row r="61" spans="1:29" s="102" customFormat="1" ht="15.75" thickBot="1">
      <c r="A61" s="449" t="s">
        <v>1716</v>
      </c>
      <c r="B61" s="450"/>
      <c r="C61" s="451"/>
      <c r="D61" s="452"/>
      <c r="E61" s="452"/>
      <c r="F61" s="452"/>
      <c r="G61" s="452"/>
      <c r="H61" s="452"/>
      <c r="I61" s="452"/>
      <c r="J61" s="452"/>
      <c r="K61" s="452"/>
      <c r="L61" s="452"/>
      <c r="M61" s="453"/>
      <c r="N61" s="452"/>
      <c r="O61" s="453"/>
      <c r="P61" s="2528"/>
      <c r="Q61" s="2509"/>
      <c r="R61" s="2440"/>
      <c r="S61" s="2440"/>
      <c r="T61" s="2440"/>
      <c r="U61" s="2440"/>
      <c r="V61" s="2440"/>
      <c r="W61" s="2440"/>
      <c r="X61" s="2440"/>
      <c r="Y61" s="2440"/>
      <c r="Z61" s="2440"/>
      <c r="AA61" s="2440"/>
      <c r="AB61" s="2440"/>
      <c r="AC61" s="2440"/>
    </row>
    <row r="62" spans="1:29" s="102" customFormat="1" ht="15">
      <c r="A62" s="455" t="s">
        <v>1681</v>
      </c>
      <c r="B62" s="444"/>
      <c r="C62" s="456" t="s">
        <v>1776</v>
      </c>
      <c r="D62" s="31"/>
      <c r="E62" s="31"/>
      <c r="F62" s="31"/>
      <c r="G62" s="31"/>
      <c r="H62" s="31"/>
      <c r="I62" s="31"/>
      <c r="J62" s="31"/>
      <c r="K62" s="31"/>
      <c r="L62" s="457"/>
      <c r="M62" s="458"/>
      <c r="N62" s="2520"/>
      <c r="O62" s="2520"/>
      <c r="P62" s="2529"/>
      <c r="Q62" s="2509"/>
      <c r="R62" s="2440"/>
      <c r="S62" s="2440"/>
      <c r="T62" s="2440"/>
      <c r="U62" s="2440"/>
      <c r="V62" s="2440"/>
      <c r="W62" s="2440"/>
      <c r="X62" s="2440"/>
      <c r="Y62" s="2440"/>
      <c r="Z62" s="2440"/>
      <c r="AA62" s="2440"/>
      <c r="AB62" s="2440"/>
      <c r="AC62" s="2440"/>
    </row>
    <row r="63" spans="1:29" s="102" customFormat="1" ht="15.75" thickBot="1">
      <c r="A63" s="455"/>
      <c r="B63" s="444"/>
      <c r="C63" s="445">
        <v>100</v>
      </c>
      <c r="D63" s="446"/>
      <c r="E63" s="446"/>
      <c r="F63" s="446"/>
      <c r="G63" s="446"/>
      <c r="H63" s="446"/>
      <c r="I63" s="446"/>
      <c r="J63" s="446"/>
      <c r="K63" s="446"/>
      <c r="L63" s="446"/>
      <c r="M63" s="448"/>
      <c r="N63" s="2520"/>
      <c r="O63" s="2520"/>
      <c r="P63" s="2528"/>
      <c r="Q63" s="2509"/>
      <c r="R63" s="2440"/>
      <c r="S63" s="2440"/>
      <c r="T63" s="2440"/>
      <c r="U63" s="2440"/>
      <c r="V63" s="2440"/>
      <c r="W63" s="2440"/>
      <c r="X63" s="2440"/>
      <c r="Y63" s="2440"/>
      <c r="Z63" s="2440"/>
      <c r="AA63" s="2440"/>
      <c r="AB63" s="2440"/>
      <c r="AC63" s="2440"/>
    </row>
    <row r="64" spans="1:29">
      <c r="A64" s="379" t="s">
        <v>1719</v>
      </c>
      <c r="B64" s="460" t="s">
        <v>1685</v>
      </c>
      <c r="C64" s="461">
        <f>C9</f>
        <v>0</v>
      </c>
      <c r="D64" s="462"/>
      <c r="E64" s="462"/>
      <c r="F64" s="462"/>
      <c r="G64" s="462"/>
      <c r="H64" s="462"/>
      <c r="I64" s="462"/>
      <c r="J64" s="462"/>
      <c r="K64" s="463"/>
      <c r="L64" s="464"/>
      <c r="M64" s="465"/>
      <c r="N64" s="2521"/>
      <c r="O64" s="2521"/>
      <c r="P64" s="2530"/>
      <c r="Q64" s="2509"/>
      <c r="R64" s="2488"/>
      <c r="S64" s="2488"/>
      <c r="T64" s="2488"/>
      <c r="U64" s="2488"/>
      <c r="V64" s="2488"/>
      <c r="W64" s="2488"/>
      <c r="X64" s="2488"/>
      <c r="Y64" s="2488"/>
      <c r="Z64" s="2488"/>
      <c r="AA64" s="2488"/>
      <c r="AB64" s="2488"/>
      <c r="AC64" s="2488"/>
    </row>
    <row r="65" spans="1:29" ht="15.75" thickBot="1">
      <c r="A65" s="367"/>
      <c r="B65" s="466"/>
      <c r="C65" s="467">
        <v>100</v>
      </c>
      <c r="D65" s="467"/>
      <c r="E65" s="467"/>
      <c r="F65" s="467"/>
      <c r="G65" s="467"/>
      <c r="H65" s="467"/>
      <c r="I65" s="467"/>
      <c r="J65" s="467"/>
      <c r="K65" s="467"/>
      <c r="L65" s="467"/>
      <c r="M65" s="468"/>
      <c r="N65" s="2522"/>
      <c r="O65" s="2522"/>
      <c r="P65" s="2530"/>
      <c r="Q65" s="2509"/>
      <c r="R65" s="2488"/>
      <c r="S65" s="2488"/>
      <c r="T65" s="2488"/>
      <c r="U65" s="2488"/>
      <c r="V65" s="2488"/>
      <c r="W65" s="2488"/>
      <c r="X65" s="2488"/>
      <c r="Y65" s="2488"/>
      <c r="Z65" s="2488"/>
      <c r="AA65" s="2488"/>
      <c r="AB65" s="2488"/>
      <c r="AC65" s="2488"/>
    </row>
    <row r="66" spans="1:29" ht="27.75" thickTop="1">
      <c r="A66" s="367"/>
      <c r="B66" s="469" t="s">
        <v>1688</v>
      </c>
      <c r="C66" s="513"/>
      <c r="D66" s="513"/>
      <c r="E66" s="513"/>
      <c r="F66" s="513"/>
      <c r="G66" s="513"/>
      <c r="H66" s="513"/>
      <c r="I66" s="513"/>
      <c r="J66" s="513"/>
      <c r="K66" s="514"/>
      <c r="L66" s="515"/>
      <c r="M66" s="516"/>
      <c r="N66" s="2521"/>
      <c r="O66" s="2521"/>
      <c r="P66" s="2530"/>
      <c r="Q66" s="2509"/>
      <c r="R66" s="2488"/>
      <c r="S66" s="2488"/>
      <c r="T66" s="2488"/>
      <c r="U66" s="2488"/>
      <c r="V66" s="2488"/>
      <c r="W66" s="2488"/>
      <c r="X66" s="2488"/>
      <c r="Y66" s="2488"/>
      <c r="Z66" s="2488"/>
      <c r="AA66" s="2488"/>
      <c r="AB66" s="2488"/>
      <c r="AC66" s="2488"/>
    </row>
    <row r="67" spans="1:29" ht="15.75" thickBot="1">
      <c r="A67" s="367"/>
      <c r="B67" s="474"/>
      <c r="C67" s="467"/>
      <c r="D67" s="467"/>
      <c r="E67" s="467"/>
      <c r="F67" s="467"/>
      <c r="G67" s="467"/>
      <c r="H67" s="467"/>
      <c r="I67" s="467"/>
      <c r="J67" s="467"/>
      <c r="K67" s="467"/>
      <c r="L67" s="467"/>
      <c r="M67" s="468"/>
      <c r="N67" s="2522"/>
      <c r="O67" s="2522"/>
      <c r="P67" s="2530"/>
      <c r="Q67" s="2509"/>
      <c r="R67" s="2488"/>
      <c r="S67" s="2488"/>
      <c r="T67" s="2488"/>
      <c r="U67" s="2488"/>
      <c r="V67" s="2488"/>
      <c r="W67" s="2488"/>
      <c r="X67" s="2488"/>
      <c r="Y67" s="2488"/>
      <c r="Z67" s="2488"/>
      <c r="AA67" s="2488"/>
      <c r="AB67" s="2488"/>
      <c r="AC67" s="2488"/>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9"/>
      <c r="R68" s="2488"/>
      <c r="S68" s="2488"/>
      <c r="T68" s="2488"/>
      <c r="U68" s="2488"/>
      <c r="V68" s="2488"/>
      <c r="W68" s="2488"/>
      <c r="X68" s="2488"/>
      <c r="Y68" s="2488"/>
      <c r="Z68" s="2488"/>
      <c r="AA68" s="2488"/>
      <c r="AB68" s="2488"/>
      <c r="AC68" s="2488"/>
    </row>
    <row r="69" spans="1:29" ht="15">
      <c r="A69" s="367"/>
      <c r="B69" s="479"/>
      <c r="C69" s="480">
        <v>0</v>
      </c>
      <c r="D69" s="480">
        <v>3</v>
      </c>
      <c r="E69" s="480"/>
      <c r="F69" s="480"/>
      <c r="G69" s="480"/>
      <c r="H69" s="480"/>
      <c r="I69" s="480"/>
      <c r="J69" s="480"/>
      <c r="K69" s="481"/>
      <c r="L69" s="482"/>
      <c r="M69" s="483"/>
      <c r="N69" s="2521"/>
      <c r="O69" s="2521"/>
      <c r="P69" s="2530"/>
      <c r="Q69" s="2509"/>
      <c r="R69" s="2488"/>
      <c r="S69" s="2488"/>
      <c r="T69" s="2488"/>
      <c r="U69" s="2488"/>
      <c r="V69" s="2488"/>
      <c r="W69" s="2488"/>
      <c r="X69" s="2488"/>
      <c r="Y69" s="2488"/>
      <c r="Z69" s="2488"/>
      <c r="AA69" s="2488"/>
      <c r="AB69" s="2488"/>
      <c r="AC69" s="2488"/>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9"/>
      <c r="R70" s="2488"/>
      <c r="S70" s="2488"/>
      <c r="T70" s="2488"/>
      <c r="U70" s="2488"/>
      <c r="V70" s="2488"/>
      <c r="W70" s="2488"/>
      <c r="X70" s="2488"/>
      <c r="Y70" s="2488"/>
      <c r="Z70" s="2488"/>
      <c r="AA70" s="2488"/>
      <c r="AB70" s="2488"/>
      <c r="AC70" s="2488"/>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4"/>
      <c r="S71" s="2494"/>
      <c r="T71" s="2494"/>
      <c r="U71" s="2494"/>
      <c r="V71" s="2494"/>
      <c r="W71" s="2494"/>
      <c r="X71" s="2494"/>
      <c r="Y71" s="2494"/>
      <c r="Z71" s="2494"/>
      <c r="AA71" s="2494"/>
      <c r="AB71" s="2494"/>
      <c r="AC71" s="2494"/>
    </row>
    <row r="72" spans="1:29" s="408" customFormat="1" ht="15.75" thickBot="1">
      <c r="A72" s="484"/>
      <c r="B72" s="474"/>
      <c r="C72" s="491"/>
      <c r="D72" s="467"/>
      <c r="E72" s="467"/>
      <c r="F72" s="467"/>
      <c r="G72" s="467"/>
      <c r="H72" s="467"/>
      <c r="I72" s="467"/>
      <c r="J72" s="467"/>
      <c r="K72" s="467"/>
      <c r="L72" s="467"/>
      <c r="M72" s="468"/>
      <c r="N72" s="2522"/>
      <c r="O72" s="2522"/>
      <c r="P72" s="2531"/>
      <c r="Q72" s="2515"/>
      <c r="R72" s="2494"/>
      <c r="S72" s="2494"/>
      <c r="T72" s="2494"/>
      <c r="U72" s="2494"/>
      <c r="V72" s="2494"/>
      <c r="W72" s="2494"/>
      <c r="X72" s="2494"/>
      <c r="Y72" s="2494"/>
      <c r="Z72" s="2494"/>
      <c r="AA72" s="2494"/>
      <c r="AB72" s="2494"/>
      <c r="AC72" s="2494"/>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4"/>
      <c r="S73" s="2494"/>
      <c r="T73" s="2494"/>
      <c r="U73" s="2494"/>
      <c r="V73" s="2494"/>
      <c r="W73" s="2494"/>
      <c r="X73" s="2494"/>
      <c r="Y73" s="2494"/>
      <c r="Z73" s="2494"/>
      <c r="AA73" s="2494"/>
      <c r="AB73" s="2494"/>
      <c r="AC73" s="2494"/>
    </row>
    <row r="74" spans="1:29" s="408" customFormat="1" ht="15.75" thickBot="1">
      <c r="A74" s="484"/>
      <c r="B74" s="474"/>
      <c r="C74" s="491"/>
      <c r="D74" s="491"/>
      <c r="E74" s="491"/>
      <c r="F74" s="491"/>
      <c r="G74" s="491"/>
      <c r="H74" s="493"/>
      <c r="I74" s="493"/>
      <c r="J74" s="493"/>
      <c r="K74" s="493"/>
      <c r="L74" s="493"/>
      <c r="M74" s="494"/>
      <c r="N74" s="2523"/>
      <c r="O74" s="2523"/>
      <c r="P74" s="2531"/>
      <c r="Q74" s="2515"/>
      <c r="R74" s="2494"/>
      <c r="S74" s="2494"/>
      <c r="T74" s="2494"/>
      <c r="U74" s="2494"/>
      <c r="V74" s="2494"/>
      <c r="W74" s="2494"/>
      <c r="X74" s="2494"/>
      <c r="Y74" s="2494"/>
      <c r="Z74" s="2494"/>
      <c r="AA74" s="2494"/>
      <c r="AB74" s="2494"/>
      <c r="AC74" s="2494"/>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4"/>
      <c r="S75" s="2494"/>
      <c r="T75" s="2494"/>
      <c r="U75" s="2494"/>
      <c r="V75" s="2494"/>
      <c r="W75" s="2494"/>
      <c r="X75" s="2494"/>
      <c r="Y75" s="2494"/>
      <c r="Z75" s="2494"/>
      <c r="AA75" s="2494"/>
      <c r="AB75" s="2494"/>
      <c r="AC75" s="2494"/>
    </row>
    <row r="76" spans="1:29" s="408" customFormat="1" ht="15.75" thickBot="1">
      <c r="A76" s="499"/>
      <c r="B76" s="500"/>
      <c r="C76" s="501"/>
      <c r="D76" s="501"/>
      <c r="E76" s="501"/>
      <c r="F76" s="501"/>
      <c r="G76" s="501"/>
      <c r="H76" s="502"/>
      <c r="I76" s="502"/>
      <c r="J76" s="502"/>
      <c r="K76" s="502"/>
      <c r="L76" s="502"/>
      <c r="M76" s="503"/>
      <c r="N76" s="2523"/>
      <c r="O76" s="2523"/>
      <c r="P76" s="2531"/>
      <c r="Q76" s="2515"/>
      <c r="R76" s="2494"/>
      <c r="S76" s="2494"/>
      <c r="T76" s="2494"/>
      <c r="U76" s="2494"/>
      <c r="V76" s="2494"/>
      <c r="W76" s="2494"/>
      <c r="X76" s="2494"/>
      <c r="Y76" s="2494"/>
      <c r="Z76" s="2494"/>
      <c r="AA76" s="2494"/>
      <c r="AB76" s="2494"/>
      <c r="AC76" s="2494"/>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9"/>
      <c r="R77" s="2488"/>
      <c r="S77" s="2488"/>
      <c r="T77" s="2488"/>
      <c r="U77" s="2488"/>
      <c r="V77" s="2488"/>
      <c r="W77" s="2488"/>
      <c r="X77" s="2488"/>
      <c r="Y77" s="2488"/>
      <c r="Z77" s="2488"/>
      <c r="AA77" s="2488"/>
      <c r="AB77" s="2488"/>
      <c r="AC77" s="2488"/>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9"/>
      <c r="R78" s="2488"/>
      <c r="S78" s="2488"/>
      <c r="T78" s="2488"/>
      <c r="U78" s="2488"/>
      <c r="V78" s="2488"/>
      <c r="W78" s="2488"/>
      <c r="X78" s="2488"/>
      <c r="Y78" s="2488"/>
      <c r="Z78" s="2488"/>
      <c r="AA78" s="2488"/>
      <c r="AB78" s="2488"/>
      <c r="AC78" s="2488"/>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9"/>
      <c r="R80" s="2488"/>
      <c r="S80" s="2488"/>
      <c r="T80" s="2488"/>
      <c r="U80" s="2488"/>
      <c r="V80" s="2488"/>
      <c r="W80" s="2488"/>
      <c r="X80" s="2488"/>
      <c r="Y80" s="2488"/>
      <c r="Z80" s="2488"/>
      <c r="AA80" s="2488"/>
      <c r="AB80" s="2488"/>
      <c r="AC80" s="2488"/>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9"/>
      <c r="R81" s="2488"/>
      <c r="S81" s="2488"/>
      <c r="T81" s="2488"/>
      <c r="U81" s="2488"/>
      <c r="V81" s="2488"/>
      <c r="W81" s="2488"/>
      <c r="X81" s="2488"/>
      <c r="Y81" s="2488"/>
      <c r="Z81" s="2488"/>
      <c r="AA81" s="2488"/>
      <c r="AB81" s="2488"/>
      <c r="AC81" s="2488"/>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9"/>
      <c r="R82" s="2488"/>
      <c r="S82" s="2488"/>
      <c r="T82" s="2488"/>
      <c r="U82" s="2488"/>
      <c r="V82" s="2488"/>
      <c r="W82" s="2488"/>
      <c r="X82" s="2488"/>
      <c r="Y82" s="2488"/>
      <c r="Z82" s="2488"/>
      <c r="AA82" s="2488"/>
      <c r="AB82" s="2488"/>
      <c r="AC82" s="2488"/>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9"/>
      <c r="R83" s="2488"/>
      <c r="S83" s="2488"/>
      <c r="T83" s="2488"/>
      <c r="U83" s="2488"/>
      <c r="V83" s="2488"/>
      <c r="W83" s="2488"/>
      <c r="X83" s="2488"/>
      <c r="Y83" s="2488"/>
      <c r="Z83" s="2488"/>
      <c r="AA83" s="2488"/>
      <c r="AB83" s="2488"/>
      <c r="AC83" s="2488"/>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9"/>
      <c r="R84" s="2488"/>
      <c r="S84" s="2488"/>
      <c r="T84" s="2488"/>
      <c r="U84" s="2488"/>
      <c r="V84" s="2488"/>
      <c r="W84" s="2488"/>
      <c r="X84" s="2488"/>
      <c r="Y84" s="2488"/>
      <c r="Z84" s="2488"/>
      <c r="AA84" s="2488"/>
      <c r="AB84" s="2488"/>
      <c r="AC84" s="2488"/>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9"/>
      <c r="R85" s="2488"/>
      <c r="S85" s="2488"/>
      <c r="T85" s="2488"/>
      <c r="U85" s="2488"/>
      <c r="V85" s="2488"/>
      <c r="W85" s="2488"/>
      <c r="X85" s="2488"/>
      <c r="Y85" s="2488"/>
      <c r="Z85" s="2488"/>
      <c r="AA85" s="2488"/>
      <c r="AB85" s="2488"/>
      <c r="AC85" s="2488"/>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9"/>
      <c r="R86" s="2488"/>
      <c r="S86" s="2488"/>
      <c r="T86" s="2488"/>
      <c r="U86" s="2488"/>
      <c r="V86" s="2488"/>
      <c r="W86" s="2488"/>
      <c r="X86" s="2488"/>
      <c r="Y86" s="2488"/>
      <c r="Z86" s="2488"/>
      <c r="AA86" s="2488"/>
      <c r="AB86" s="2488"/>
      <c r="AC86" s="2488"/>
    </row>
    <row r="87" spans="1:29" s="102" customFormat="1" ht="27.75" thickTop="1">
      <c r="A87" s="370"/>
      <c r="B87" s="469" t="s">
        <v>1823</v>
      </c>
      <c r="C87" s="485"/>
      <c r="D87" s="485"/>
      <c r="E87" s="485"/>
      <c r="F87" s="485"/>
      <c r="G87" s="485"/>
      <c r="H87" s="485"/>
      <c r="I87" s="485"/>
      <c r="J87" s="485"/>
      <c r="K87" s="485"/>
      <c r="L87" s="510"/>
      <c r="M87" s="511"/>
      <c r="N87" s="2520"/>
      <c r="O87" s="2520"/>
      <c r="P87" s="2530"/>
      <c r="Q87" s="2509"/>
      <c r="R87" s="2440"/>
      <c r="S87" s="2440"/>
      <c r="T87" s="2440"/>
      <c r="U87" s="2440"/>
      <c r="V87" s="2440"/>
      <c r="W87" s="2440"/>
      <c r="X87" s="2440"/>
      <c r="Y87" s="2440"/>
      <c r="Z87" s="2440"/>
      <c r="AA87" s="2440"/>
      <c r="AB87" s="2440"/>
      <c r="AC87" s="2440"/>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9"/>
      <c r="R88" s="2440"/>
      <c r="S88" s="2440"/>
      <c r="T88" s="2440"/>
      <c r="U88" s="2440"/>
      <c r="V88" s="2440"/>
      <c r="W88" s="2440"/>
      <c r="X88" s="2440"/>
      <c r="Y88" s="2440"/>
      <c r="Z88" s="2440"/>
      <c r="AA88" s="2440"/>
      <c r="AB88" s="2440"/>
      <c r="AC88" s="2440"/>
    </row>
    <row r="89" spans="1:29" s="102" customFormat="1" ht="15.75" thickTop="1">
      <c r="A89" s="370"/>
      <c r="B89" s="469" t="str">
        <f>B27</f>
        <v>楼层</v>
      </c>
      <c r="C89" s="485"/>
      <c r="D89" s="485"/>
      <c r="E89" s="485"/>
      <c r="F89" s="1780"/>
      <c r="G89" s="485"/>
      <c r="H89" s="485"/>
      <c r="I89" s="485"/>
      <c r="J89" s="485"/>
      <c r="K89" s="485"/>
      <c r="L89" s="485"/>
      <c r="M89" s="511"/>
      <c r="N89" s="2520"/>
      <c r="O89" s="2520"/>
      <c r="P89" s="2530"/>
      <c r="Q89" s="2509"/>
      <c r="R89" s="2440"/>
      <c r="S89" s="2440"/>
      <c r="T89" s="2440"/>
      <c r="U89" s="2440"/>
      <c r="V89" s="2440"/>
      <c r="W89" s="2440"/>
      <c r="X89" s="2440"/>
      <c r="Y89" s="2440"/>
      <c r="Z89" s="2440"/>
      <c r="AA89" s="2440"/>
      <c r="AB89" s="2440"/>
      <c r="AC89" s="2440"/>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9"/>
      <c r="R90" s="2440"/>
      <c r="S90" s="2440"/>
      <c r="T90" s="2440"/>
      <c r="U90" s="2440"/>
      <c r="V90" s="2440"/>
      <c r="W90" s="2440"/>
      <c r="X90" s="2440"/>
      <c r="Y90" s="2440"/>
      <c r="Z90" s="2440"/>
      <c r="AA90" s="2440"/>
      <c r="AB90" s="2440"/>
      <c r="AC90" s="2440"/>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4"/>
      <c r="S92" s="2494"/>
      <c r="T92" s="2494"/>
      <c r="U92" s="2494"/>
      <c r="V92" s="2494"/>
      <c r="W92" s="2494"/>
      <c r="X92" s="2494"/>
      <c r="Y92" s="2494"/>
      <c r="Z92" s="2494"/>
      <c r="AA92" s="2494"/>
      <c r="AB92" s="2494"/>
      <c r="AC92" s="2494"/>
    </row>
    <row r="93" spans="1:29" ht="15.75" thickTop="1">
      <c r="A93" s="367"/>
      <c r="B93" s="469">
        <f>B29</f>
        <v>111</v>
      </c>
      <c r="C93" s="485"/>
      <c r="D93" s="485"/>
      <c r="E93" s="485"/>
      <c r="F93" s="485"/>
      <c r="G93" s="485"/>
      <c r="H93" s="485"/>
      <c r="I93" s="485"/>
      <c r="J93" s="485"/>
      <c r="K93" s="485"/>
      <c r="L93" s="510"/>
      <c r="M93" s="511"/>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91"/>
      <c r="D94" s="467"/>
      <c r="E94" s="467"/>
      <c r="F94" s="467"/>
      <c r="G94" s="467"/>
      <c r="H94" s="467"/>
      <c r="I94" s="467"/>
      <c r="J94" s="467"/>
      <c r="K94" s="467"/>
      <c r="L94" s="467"/>
      <c r="M94" s="468"/>
      <c r="N94" s="2522"/>
      <c r="O94" s="2522"/>
      <c r="P94" s="2530"/>
      <c r="Q94" s="2509"/>
      <c r="R94" s="2488"/>
      <c r="S94" s="2488"/>
      <c r="T94" s="2488"/>
      <c r="U94" s="2488"/>
      <c r="V94" s="2488"/>
      <c r="W94" s="2488"/>
      <c r="X94" s="2488"/>
      <c r="Y94" s="2488"/>
      <c r="Z94" s="2488"/>
      <c r="AA94" s="2488"/>
      <c r="AB94" s="2488"/>
      <c r="AC94" s="2488"/>
    </row>
    <row r="95" spans="1:29" ht="15.75" thickTop="1">
      <c r="A95" s="367"/>
      <c r="B95" s="469">
        <f>B30</f>
        <v>111</v>
      </c>
      <c r="C95" s="485"/>
      <c r="D95" s="485"/>
      <c r="E95" s="485"/>
      <c r="F95" s="485"/>
      <c r="G95" s="513"/>
      <c r="H95" s="513"/>
      <c r="I95" s="513"/>
      <c r="J95" s="513"/>
      <c r="K95" s="514"/>
      <c r="L95" s="515"/>
      <c r="M95" s="516"/>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91"/>
      <c r="D96" s="491"/>
      <c r="E96" s="491"/>
      <c r="F96" s="491"/>
      <c r="G96" s="467"/>
      <c r="H96" s="467"/>
      <c r="I96" s="467"/>
      <c r="J96" s="467"/>
      <c r="K96" s="467"/>
      <c r="L96" s="467"/>
      <c r="M96" s="468"/>
      <c r="N96" s="2522"/>
      <c r="O96" s="2522"/>
      <c r="P96" s="2530"/>
      <c r="Q96" s="2509"/>
      <c r="R96" s="2488"/>
      <c r="S96" s="2488"/>
      <c r="T96" s="2488"/>
      <c r="U96" s="2488"/>
      <c r="V96" s="2488"/>
      <c r="W96" s="2488"/>
      <c r="X96" s="2488"/>
      <c r="Y96" s="2488"/>
      <c r="Z96" s="2488"/>
      <c r="AA96" s="2488"/>
      <c r="AB96" s="2488"/>
      <c r="AC96" s="2488"/>
    </row>
    <row r="97" spans="1:29" ht="15.75" thickTop="1">
      <c r="A97" s="367"/>
      <c r="B97" s="469">
        <f>B31</f>
        <v>111</v>
      </c>
      <c r="C97" s="485"/>
      <c r="D97" s="485"/>
      <c r="E97" s="485"/>
      <c r="F97" s="485"/>
      <c r="G97" s="513"/>
      <c r="H97" s="513"/>
      <c r="I97" s="513"/>
      <c r="J97" s="513"/>
      <c r="K97" s="514"/>
      <c r="L97" s="515"/>
      <c r="M97" s="516"/>
      <c r="N97" s="2521"/>
      <c r="O97" s="2521"/>
      <c r="P97" s="2530"/>
      <c r="Q97" s="2509"/>
      <c r="R97" s="2488"/>
      <c r="S97" s="2488"/>
      <c r="T97" s="2488"/>
      <c r="U97" s="2488"/>
      <c r="V97" s="2488"/>
      <c r="W97" s="2488"/>
      <c r="X97" s="2488"/>
      <c r="Y97" s="2488"/>
      <c r="Z97" s="2488"/>
      <c r="AA97" s="2488"/>
      <c r="AB97" s="2488"/>
      <c r="AC97" s="2488"/>
    </row>
    <row r="98" spans="1:29" ht="15.75" thickBot="1">
      <c r="A98" s="367"/>
      <c r="B98" s="474"/>
      <c r="C98" s="491"/>
      <c r="D98" s="467"/>
      <c r="E98" s="467"/>
      <c r="F98" s="467"/>
      <c r="G98" s="467"/>
      <c r="H98" s="467"/>
      <c r="I98" s="467"/>
      <c r="J98" s="467"/>
      <c r="K98" s="467"/>
      <c r="L98" s="467"/>
      <c r="M98" s="468"/>
      <c r="N98" s="2522"/>
      <c r="O98" s="2522"/>
      <c r="P98" s="2530"/>
      <c r="Q98" s="2509"/>
      <c r="R98" s="2488"/>
      <c r="S98" s="2488"/>
      <c r="T98" s="2488"/>
      <c r="U98" s="2488"/>
      <c r="V98" s="2488"/>
      <c r="W98" s="2488"/>
      <c r="X98" s="2488"/>
      <c r="Y98" s="2488"/>
      <c r="Z98" s="2488"/>
      <c r="AA98" s="2488"/>
      <c r="AB98" s="2488"/>
      <c r="AC98" s="2488"/>
    </row>
    <row r="99" spans="1:29" ht="15.75" thickTop="1">
      <c r="A99" s="367"/>
      <c r="B99" s="477">
        <f>B32</f>
        <v>111</v>
      </c>
      <c r="C99" s="31"/>
      <c r="D99" s="31"/>
      <c r="E99" s="31"/>
      <c r="F99" s="31"/>
      <c r="G99" s="517"/>
      <c r="H99" s="517"/>
      <c r="I99" s="517"/>
      <c r="J99" s="517"/>
      <c r="K99" s="518"/>
      <c r="L99" s="519"/>
      <c r="M99" s="520"/>
      <c r="N99" s="2521"/>
      <c r="O99" s="2521"/>
      <c r="P99" s="2530"/>
      <c r="Q99" s="2509"/>
      <c r="R99" s="2488"/>
      <c r="S99" s="2488"/>
      <c r="T99" s="2488"/>
      <c r="U99" s="2488"/>
      <c r="V99" s="2488"/>
      <c r="W99" s="2488"/>
      <c r="X99" s="2488"/>
      <c r="Y99" s="2488"/>
      <c r="Z99" s="2488"/>
      <c r="AA99" s="2488"/>
      <c r="AB99" s="2488"/>
      <c r="AC99" s="2488"/>
    </row>
    <row r="100" spans="1:29" ht="15.75" thickBot="1">
      <c r="A100" s="375"/>
      <c r="B100" s="500"/>
      <c r="C100" s="501"/>
      <c r="D100" s="501"/>
      <c r="E100" s="501"/>
      <c r="F100" s="501"/>
      <c r="G100" s="521"/>
      <c r="H100" s="521"/>
      <c r="I100" s="521"/>
      <c r="J100" s="521"/>
      <c r="K100" s="521"/>
      <c r="L100" s="521"/>
      <c r="M100" s="522"/>
      <c r="N100" s="2522"/>
      <c r="O100" s="2522"/>
      <c r="P100" s="2530"/>
      <c r="Q100" s="2509"/>
      <c r="R100" s="2488"/>
      <c r="S100" s="2488"/>
      <c r="T100" s="2488"/>
      <c r="U100" s="2488"/>
      <c r="V100" s="2488"/>
      <c r="W100" s="2488"/>
      <c r="X100" s="2488"/>
      <c r="Y100" s="2488"/>
      <c r="Z100" s="2488"/>
      <c r="AA100" s="2488"/>
      <c r="AB100" s="2488"/>
      <c r="AC100" s="2488"/>
    </row>
    <row r="101" spans="1:29">
      <c r="A101" s="379" t="s">
        <v>1694</v>
      </c>
      <c r="B101" s="460" t="s">
        <v>1736</v>
      </c>
      <c r="C101" s="462"/>
      <c r="D101" s="462"/>
      <c r="E101" s="462"/>
      <c r="F101" s="462"/>
      <c r="G101" s="462"/>
      <c r="H101" s="462"/>
      <c r="I101" s="462"/>
      <c r="J101" s="462"/>
      <c r="K101" s="463"/>
      <c r="L101" s="464"/>
      <c r="M101" s="465"/>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9"/>
      <c r="R102" s="2488"/>
      <c r="S102" s="2488"/>
      <c r="T102" s="2488"/>
      <c r="U102" s="2488"/>
      <c r="V102" s="2488"/>
      <c r="W102" s="2488"/>
      <c r="X102" s="2488"/>
      <c r="Y102" s="2488"/>
      <c r="Z102" s="2488"/>
      <c r="AA102" s="2488"/>
      <c r="AB102" s="2488"/>
      <c r="AC102" s="2488"/>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9"/>
      <c r="R103" s="2488"/>
      <c r="S103" s="2488"/>
      <c r="T103" s="2488"/>
      <c r="U103" s="2488"/>
      <c r="V103" s="2488"/>
      <c r="W103" s="2488"/>
      <c r="X103" s="2488"/>
      <c r="Y103" s="2488"/>
      <c r="Z103" s="2488"/>
      <c r="AA103" s="2488"/>
      <c r="AB103" s="2488"/>
      <c r="AC103" s="2488"/>
    </row>
    <row r="104" spans="1:29" s="408" customFormat="1">
      <c r="A104" s="406"/>
      <c r="B104" s="523"/>
      <c r="C104" s="6"/>
      <c r="D104" s="6"/>
      <c r="E104" s="6"/>
      <c r="F104" s="6"/>
      <c r="G104" s="6"/>
      <c r="H104" s="6"/>
      <c r="I104" s="6"/>
      <c r="J104" s="524"/>
      <c r="K104" s="524"/>
      <c r="L104" s="525"/>
      <c r="M104" s="526"/>
      <c r="N104" s="2523"/>
      <c r="O104" s="2523"/>
      <c r="P104" s="2531"/>
      <c r="Q104" s="2515"/>
      <c r="R104" s="2494"/>
      <c r="S104" s="2494"/>
      <c r="T104" s="2494"/>
      <c r="U104" s="2494"/>
      <c r="V104" s="2494"/>
      <c r="W104" s="2494"/>
      <c r="X104" s="2494"/>
      <c r="Y104" s="2494"/>
      <c r="Z104" s="2494"/>
      <c r="AA104" s="2494"/>
      <c r="AB104" s="2494"/>
      <c r="AC104" s="2494"/>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4"/>
      <c r="S105" s="2494"/>
      <c r="T105" s="2494"/>
      <c r="U105" s="2494"/>
      <c r="V105" s="2494"/>
      <c r="W105" s="2494"/>
      <c r="X105" s="2494"/>
      <c r="Y105" s="2494"/>
      <c r="Z105" s="2494"/>
      <c r="AA105" s="2494"/>
      <c r="AB105" s="2494"/>
      <c r="AC105" s="2494"/>
    </row>
    <row r="106" spans="1:29" ht="15" thickTop="1">
      <c r="A106" s="409"/>
      <c r="B106" s="469" t="s">
        <v>1738</v>
      </c>
      <c r="C106" s="485"/>
      <c r="D106" s="485"/>
      <c r="E106" s="513"/>
      <c r="F106" s="513"/>
      <c r="G106" s="513"/>
      <c r="H106" s="513"/>
      <c r="I106" s="513"/>
      <c r="J106" s="513"/>
      <c r="K106" s="514"/>
      <c r="L106" s="515"/>
      <c r="M106" s="516"/>
      <c r="N106" s="2521"/>
      <c r="O106" s="2521"/>
      <c r="P106" s="2530"/>
      <c r="Q106" s="2509"/>
      <c r="R106" s="2488"/>
      <c r="S106" s="2488"/>
      <c r="T106" s="2488"/>
      <c r="U106" s="2488"/>
      <c r="V106" s="2488"/>
      <c r="W106" s="2488"/>
      <c r="X106" s="2488"/>
      <c r="Y106" s="2488"/>
      <c r="Z106" s="2488"/>
      <c r="AA106" s="2488"/>
      <c r="AB106" s="2488"/>
      <c r="AC106" s="2488"/>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9"/>
      <c r="R107" s="2488"/>
      <c r="S107" s="2488"/>
      <c r="T107" s="2488"/>
      <c r="U107" s="2488"/>
      <c r="V107" s="2488"/>
      <c r="W107" s="2488"/>
      <c r="X107" s="2488"/>
      <c r="Y107" s="2488"/>
      <c r="Z107" s="2488"/>
      <c r="AA107" s="2488"/>
      <c r="AB107" s="2488"/>
      <c r="AC107" s="2488"/>
    </row>
    <row r="108" spans="1:29" ht="15" thickTop="1">
      <c r="A108" s="409"/>
      <c r="B108" s="469" t="s">
        <v>1740</v>
      </c>
      <c r="C108" s="485"/>
      <c r="D108" s="485"/>
      <c r="E108" s="485"/>
      <c r="F108" s="513"/>
      <c r="G108" s="513"/>
      <c r="H108" s="513"/>
      <c r="I108" s="513"/>
      <c r="J108" s="513"/>
      <c r="K108" s="514"/>
      <c r="L108" s="515"/>
      <c r="M108" s="516"/>
      <c r="N108" s="2521"/>
      <c r="O108" s="2521"/>
      <c r="P108" s="2530"/>
      <c r="Q108" s="2509"/>
      <c r="R108" s="2488"/>
      <c r="S108" s="2488"/>
      <c r="T108" s="2488"/>
      <c r="U108" s="2488"/>
      <c r="V108" s="2488"/>
      <c r="W108" s="2488"/>
      <c r="X108" s="2488"/>
      <c r="Y108" s="2488"/>
      <c r="Z108" s="2488"/>
      <c r="AA108" s="2488"/>
      <c r="AB108" s="2488"/>
      <c r="AC108" s="2488"/>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9"/>
      <c r="R109" s="2488"/>
      <c r="S109" s="2488"/>
      <c r="T109" s="2488"/>
      <c r="U109" s="2488"/>
      <c r="V109" s="2488"/>
      <c r="W109" s="2488"/>
      <c r="X109" s="2488"/>
      <c r="Y109" s="2488"/>
      <c r="Z109" s="2488"/>
      <c r="AA109" s="2488"/>
      <c r="AB109" s="2488"/>
      <c r="AC109" s="2488"/>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9"/>
      <c r="R110" s="2488"/>
      <c r="S110" s="2488"/>
      <c r="T110" s="2488"/>
      <c r="U110" s="2488"/>
      <c r="V110" s="2488"/>
      <c r="W110" s="2488"/>
      <c r="X110" s="2488"/>
      <c r="Y110" s="2488"/>
      <c r="Z110" s="2488"/>
      <c r="AA110" s="2488"/>
      <c r="AB110" s="2488"/>
      <c r="AC110" s="2488"/>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9"/>
      <c r="R111" s="2488"/>
      <c r="S111" s="2488"/>
      <c r="T111" s="2488"/>
      <c r="U111" s="2488"/>
      <c r="V111" s="2488"/>
      <c r="W111" s="2488"/>
      <c r="X111" s="2488"/>
      <c r="Y111" s="2488"/>
      <c r="Z111" s="2488"/>
      <c r="AA111" s="2488"/>
      <c r="AB111" s="2488"/>
      <c r="AC111" s="2488"/>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9"/>
      <c r="R112" s="2488"/>
      <c r="S112" s="2488"/>
      <c r="T112" s="2488"/>
      <c r="U112" s="2488"/>
      <c r="V112" s="2488"/>
      <c r="W112" s="2488"/>
      <c r="X112" s="2488"/>
      <c r="Y112" s="2488"/>
      <c r="Z112" s="2488"/>
      <c r="AA112" s="2488"/>
      <c r="AB112" s="2488"/>
      <c r="AC112" s="2488"/>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4"/>
      <c r="S113" s="2494"/>
      <c r="T113" s="2494"/>
      <c r="U113" s="2494"/>
      <c r="V113" s="2494"/>
      <c r="W113" s="2494"/>
      <c r="X113" s="2494"/>
      <c r="Y113" s="2494"/>
      <c r="Z113" s="2494"/>
      <c r="AA113" s="2494"/>
      <c r="AB113" s="2494"/>
      <c r="AC113" s="2494"/>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4"/>
      <c r="S114" s="2494"/>
      <c r="T114" s="2494"/>
      <c r="U114" s="2494"/>
      <c r="V114" s="2494"/>
      <c r="W114" s="2494"/>
      <c r="X114" s="2494"/>
      <c r="Y114" s="2494"/>
      <c r="Z114" s="2494"/>
      <c r="AA114" s="2494"/>
      <c r="AB114" s="2494"/>
      <c r="AC114" s="2494"/>
    </row>
    <row r="115" spans="1:29" ht="15" thickTop="1">
      <c r="A115" s="409"/>
      <c r="B115" s="469" t="s">
        <v>1741</v>
      </c>
      <c r="C115" s="485"/>
      <c r="D115" s="485"/>
      <c r="E115" s="513"/>
      <c r="F115" s="513"/>
      <c r="G115" s="513"/>
      <c r="H115" s="513"/>
      <c r="I115" s="513"/>
      <c r="J115" s="513"/>
      <c r="K115" s="514"/>
      <c r="L115" s="515"/>
      <c r="M115" s="516"/>
      <c r="N115" s="2521"/>
      <c r="O115" s="2521"/>
      <c r="P115" s="2530"/>
      <c r="Q115" s="2509"/>
      <c r="R115" s="2488"/>
      <c r="S115" s="2488"/>
      <c r="T115" s="2488"/>
      <c r="U115" s="2488"/>
      <c r="V115" s="2488"/>
      <c r="W115" s="2488"/>
      <c r="X115" s="2488"/>
      <c r="Y115" s="2488"/>
      <c r="Z115" s="2488"/>
      <c r="AA115" s="2488"/>
      <c r="AB115" s="2488"/>
      <c r="AC115" s="2488"/>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9"/>
      <c r="R116" s="2488"/>
      <c r="S116" s="2488"/>
      <c r="T116" s="2488"/>
      <c r="U116" s="2488"/>
      <c r="V116" s="2488"/>
      <c r="W116" s="2488"/>
      <c r="X116" s="2488"/>
      <c r="Y116" s="2488"/>
      <c r="Z116" s="2488"/>
      <c r="AA116" s="2488"/>
      <c r="AB116" s="2488"/>
      <c r="AC116" s="2488"/>
    </row>
    <row r="117" spans="1:29" ht="15" thickTop="1">
      <c r="A117" s="409"/>
      <c r="B117" s="469" t="s">
        <v>1742</v>
      </c>
      <c r="C117" s="485"/>
      <c r="D117" s="485"/>
      <c r="E117" s="485"/>
      <c r="F117" s="485"/>
      <c r="G117" s="485"/>
      <c r="H117" s="513"/>
      <c r="I117" s="513"/>
      <c r="J117" s="513"/>
      <c r="K117" s="514"/>
      <c r="L117" s="515"/>
      <c r="M117" s="516"/>
      <c r="N117" s="2521"/>
      <c r="O117" s="2521"/>
      <c r="P117" s="2530"/>
      <c r="Q117" s="2509"/>
      <c r="R117" s="2488"/>
      <c r="S117" s="2488"/>
      <c r="T117" s="2488"/>
      <c r="U117" s="2488"/>
      <c r="V117" s="2488"/>
      <c r="W117" s="2488"/>
      <c r="X117" s="2488"/>
      <c r="Y117" s="2488"/>
      <c r="Z117" s="2488"/>
      <c r="AA117" s="2488"/>
      <c r="AB117" s="2488"/>
      <c r="AC117" s="2488"/>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9"/>
      <c r="R118" s="2488"/>
      <c r="S118" s="2488"/>
      <c r="T118" s="2488"/>
      <c r="U118" s="2488"/>
      <c r="V118" s="2488"/>
      <c r="W118" s="2488"/>
      <c r="X118" s="2488"/>
      <c r="Y118" s="2488"/>
      <c r="Z118" s="2488"/>
      <c r="AA118" s="2488"/>
      <c r="AB118" s="2488"/>
      <c r="AC118" s="2488"/>
    </row>
    <row r="119" spans="1:29" ht="15" thickTop="1">
      <c r="A119" s="409"/>
      <c r="B119" s="560" t="s">
        <v>1825</v>
      </c>
      <c r="C119" s="513"/>
      <c r="D119" s="513"/>
      <c r="E119" s="513"/>
      <c r="F119" s="513"/>
      <c r="G119" s="513"/>
      <c r="H119" s="513"/>
      <c r="I119" s="513"/>
      <c r="J119" s="513"/>
      <c r="K119" s="513"/>
      <c r="L119" s="1816"/>
      <c r="M119" s="1817"/>
      <c r="N119" s="2522"/>
      <c r="O119" s="2522"/>
      <c r="P119" s="2535"/>
      <c r="Q119" s="2536"/>
      <c r="R119" s="2488"/>
      <c r="S119" s="2488"/>
      <c r="T119" s="2488"/>
      <c r="U119" s="2488"/>
      <c r="V119" s="2488"/>
      <c r="W119" s="2488"/>
      <c r="X119" s="2488"/>
      <c r="Y119" s="2488"/>
      <c r="Z119" s="2488"/>
      <c r="AA119" s="2488"/>
      <c r="AB119" s="2488"/>
      <c r="AC119" s="2488"/>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9"/>
      <c r="R120" s="2488"/>
      <c r="S120" s="2488"/>
      <c r="T120" s="2488"/>
      <c r="U120" s="2488"/>
      <c r="V120" s="2488"/>
      <c r="W120" s="2488"/>
      <c r="X120" s="2488"/>
      <c r="Y120" s="2488"/>
      <c r="Z120" s="2488"/>
      <c r="AA120" s="2488"/>
      <c r="AB120" s="2488"/>
      <c r="AC120" s="2488"/>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4"/>
      <c r="S121" s="2494"/>
      <c r="T121" s="2494"/>
      <c r="U121" s="2494"/>
      <c r="V121" s="2494"/>
      <c r="W121" s="2494"/>
      <c r="X121" s="2494"/>
      <c r="Y121" s="2494"/>
      <c r="Z121" s="2494"/>
      <c r="AA121" s="2494"/>
      <c r="AB121" s="2494"/>
      <c r="AC121" s="2494"/>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4"/>
      <c r="S122" s="2494"/>
      <c r="T122" s="2494"/>
      <c r="U122" s="2494"/>
      <c r="V122" s="2494"/>
      <c r="W122" s="2494"/>
      <c r="X122" s="2494"/>
      <c r="Y122" s="2494"/>
      <c r="Z122" s="2494"/>
      <c r="AA122" s="2494"/>
      <c r="AB122" s="2494"/>
      <c r="AC122" s="2494"/>
    </row>
    <row r="123" spans="1:29" ht="15" thickTop="1">
      <c r="A123" s="409"/>
      <c r="B123" s="469" t="s">
        <v>1744</v>
      </c>
      <c r="C123" s="485"/>
      <c r="D123" s="485"/>
      <c r="E123" s="485"/>
      <c r="F123" s="513"/>
      <c r="G123" s="513"/>
      <c r="H123" s="513"/>
      <c r="I123" s="513"/>
      <c r="J123" s="513"/>
      <c r="K123" s="514"/>
      <c r="L123" s="515"/>
      <c r="M123" s="516"/>
      <c r="N123" s="2521"/>
      <c r="O123" s="2521"/>
      <c r="P123" s="2530"/>
      <c r="Q123" s="2509"/>
      <c r="R123" s="2488"/>
      <c r="S123" s="2488"/>
      <c r="T123" s="2488"/>
      <c r="U123" s="2488"/>
      <c r="V123" s="2488"/>
      <c r="W123" s="2488"/>
      <c r="X123" s="2488"/>
      <c r="Y123" s="2488"/>
      <c r="Z123" s="2488"/>
      <c r="AA123" s="2488"/>
      <c r="AB123" s="2488"/>
      <c r="AC123" s="2488"/>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9"/>
      <c r="R124" s="2488"/>
      <c r="S124" s="2488"/>
      <c r="T124" s="2488"/>
      <c r="U124" s="2488"/>
      <c r="V124" s="2488"/>
      <c r="W124" s="2488"/>
      <c r="X124" s="2488"/>
      <c r="Y124" s="2488"/>
      <c r="Z124" s="2488"/>
      <c r="AA124" s="2488"/>
      <c r="AB124" s="2488"/>
      <c r="AC124" s="2488"/>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9"/>
      <c r="R125" s="2488"/>
      <c r="S125" s="2488"/>
      <c r="T125" s="2488"/>
      <c r="U125" s="2488"/>
      <c r="V125" s="2488"/>
      <c r="W125" s="2488"/>
      <c r="X125" s="2488"/>
      <c r="Y125" s="2488"/>
      <c r="Z125" s="2488"/>
      <c r="AA125" s="2488"/>
      <c r="AB125" s="2488"/>
      <c r="AC125" s="2488"/>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9"/>
      <c r="R126" s="2488"/>
      <c r="S126" s="2488"/>
      <c r="T126" s="2488"/>
      <c r="U126" s="2488"/>
      <c r="V126" s="2488"/>
      <c r="W126" s="2488"/>
      <c r="X126" s="2488"/>
      <c r="Y126" s="2488"/>
      <c r="Z126" s="2488"/>
      <c r="AA126" s="2488"/>
      <c r="AB126" s="2488"/>
      <c r="AC126" s="2488"/>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4"/>
      <c r="S127" s="2494"/>
      <c r="T127" s="2494"/>
      <c r="U127" s="2494"/>
      <c r="V127" s="2494"/>
      <c r="W127" s="2494"/>
      <c r="X127" s="2494"/>
      <c r="Y127" s="2494"/>
      <c r="Z127" s="2494"/>
      <c r="AA127" s="2494"/>
      <c r="AB127" s="2494"/>
      <c r="AC127" s="2494"/>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4"/>
      <c r="S128" s="2494"/>
      <c r="T128" s="2494"/>
      <c r="U128" s="2494"/>
      <c r="V128" s="2494"/>
      <c r="W128" s="2494"/>
      <c r="X128" s="2494"/>
      <c r="Y128" s="2494"/>
      <c r="Z128" s="2494"/>
      <c r="AA128" s="2494"/>
      <c r="AB128" s="2494"/>
      <c r="AC128" s="2494"/>
    </row>
    <row r="129" spans="1:29" ht="15" thickTop="1">
      <c r="A129" s="409"/>
      <c r="B129" s="469">
        <f>B46</f>
        <v>111</v>
      </c>
      <c r="C129" s="485"/>
      <c r="D129" s="485"/>
      <c r="E129" s="485"/>
      <c r="F129" s="485"/>
      <c r="G129" s="513"/>
      <c r="H129" s="513"/>
      <c r="I129" s="513"/>
      <c r="J129" s="513"/>
      <c r="K129" s="514"/>
      <c r="L129" s="515"/>
      <c r="M129" s="516"/>
      <c r="N129" s="2521"/>
      <c r="O129" s="2521"/>
      <c r="P129" s="2530"/>
      <c r="Q129" s="2509"/>
      <c r="R129" s="2488"/>
      <c r="S129" s="2488"/>
      <c r="T129" s="2488"/>
      <c r="U129" s="2488"/>
      <c r="V129" s="2488"/>
      <c r="W129" s="2488"/>
      <c r="X129" s="2488"/>
      <c r="Y129" s="2488"/>
      <c r="Z129" s="2488"/>
      <c r="AA129" s="2488"/>
      <c r="AB129" s="2488"/>
      <c r="AC129" s="2488"/>
    </row>
    <row r="130" spans="1:29" ht="15.75" thickBot="1">
      <c r="A130" s="367"/>
      <c r="B130" s="474"/>
      <c r="C130" s="491"/>
      <c r="D130" s="491"/>
      <c r="E130" s="491"/>
      <c r="F130" s="491"/>
      <c r="G130" s="467"/>
      <c r="H130" s="467"/>
      <c r="I130" s="467"/>
      <c r="J130" s="467"/>
      <c r="K130" s="467"/>
      <c r="L130" s="467"/>
      <c r="M130" s="468"/>
      <c r="N130" s="2522"/>
      <c r="O130" s="2522"/>
      <c r="P130" s="2530"/>
      <c r="Q130" s="2509"/>
      <c r="R130" s="2488"/>
      <c r="S130" s="2488"/>
      <c r="T130" s="2488"/>
      <c r="U130" s="2488"/>
      <c r="V130" s="2488"/>
      <c r="W130" s="2488"/>
      <c r="X130" s="2488"/>
      <c r="Y130" s="2488"/>
      <c r="Z130" s="2488"/>
      <c r="AA130" s="2488"/>
      <c r="AB130" s="2488"/>
      <c r="AC130" s="2488"/>
    </row>
    <row r="131" spans="1:29" ht="15" thickTop="1">
      <c r="A131" s="409"/>
      <c r="B131" s="477">
        <f>B47</f>
        <v>111</v>
      </c>
      <c r="C131" s="31"/>
      <c r="D131" s="31"/>
      <c r="E131" s="31"/>
      <c r="F131" s="31"/>
      <c r="G131" s="517"/>
      <c r="H131" s="517"/>
      <c r="I131" s="517"/>
      <c r="J131" s="517"/>
      <c r="K131" s="31"/>
      <c r="L131" s="457"/>
      <c r="M131" s="520"/>
      <c r="N131" s="2521"/>
      <c r="O131" s="2521"/>
      <c r="P131" s="2530"/>
      <c r="Q131" s="2509"/>
      <c r="R131" s="2488"/>
      <c r="S131" s="2488"/>
      <c r="T131" s="2488"/>
      <c r="U131" s="2488"/>
      <c r="V131" s="2488"/>
      <c r="W131" s="2488"/>
      <c r="X131" s="2488"/>
      <c r="Y131" s="2488"/>
      <c r="Z131" s="2488"/>
      <c r="AA131" s="2488"/>
      <c r="AB131" s="2488"/>
      <c r="AC131" s="2488"/>
    </row>
    <row r="132" spans="1:29" ht="15.75" thickBot="1">
      <c r="A132" s="375"/>
      <c r="B132" s="500"/>
      <c r="C132" s="501"/>
      <c r="D132" s="501"/>
      <c r="E132" s="501"/>
      <c r="F132" s="501"/>
      <c r="G132" s="521"/>
      <c r="H132" s="521"/>
      <c r="I132" s="521"/>
      <c r="J132" s="521"/>
      <c r="K132" s="521"/>
      <c r="L132" s="521"/>
      <c r="M132" s="522"/>
      <c r="N132" s="2522"/>
      <c r="O132" s="2522"/>
      <c r="P132" s="2530"/>
      <c r="Q132" s="2509"/>
      <c r="R132" s="2488"/>
      <c r="S132" s="2488"/>
      <c r="T132" s="2488"/>
      <c r="U132" s="2488"/>
      <c r="V132" s="2488"/>
      <c r="W132" s="2488"/>
      <c r="X132" s="2488"/>
      <c r="Y132" s="2488"/>
      <c r="Z132" s="2488"/>
      <c r="AA132" s="2488"/>
      <c r="AB132" s="2488"/>
      <c r="AC132"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02" priority="16" stopIfTrue="1">
      <formula>$F$53="超过30%"</formula>
    </cfRule>
  </conditionalFormatting>
  <conditionalFormatting sqref="E54">
    <cfRule type="expression" dxfId="101" priority="15" stopIfTrue="1">
      <formula>$F$54="超过20%"</formula>
    </cfRule>
  </conditionalFormatting>
  <conditionalFormatting sqref="E55">
    <cfRule type="expression" dxfId="100" priority="14" stopIfTrue="1">
      <formula>$F$55="超过30%"</formula>
    </cfRule>
  </conditionalFormatting>
  <conditionalFormatting sqref="F7:F47 H7:H47 J7:J47">
    <cfRule type="cellIs" dxfId="99" priority="1" operator="notEqual">
      <formula>100</formula>
    </cfRule>
  </conditionalFormatting>
  <conditionalFormatting sqref="F49">
    <cfRule type="expression" dxfId="98" priority="4">
      <formula>$D$49="简单平均"</formula>
    </cfRule>
  </conditionalFormatting>
  <conditionalFormatting sqref="F53:F55 H53:H55">
    <cfRule type="containsText" dxfId="97" priority="17" stopIfTrue="1" operator="containsText" text="超过">
      <formula>NOT(ISERROR(SEARCH("超过",F53)))</formula>
    </cfRule>
  </conditionalFormatting>
  <conditionalFormatting sqref="G53">
    <cfRule type="expression" dxfId="96" priority="12" stopIfTrue="1">
      <formula>$H$53="超过30%"</formula>
    </cfRule>
  </conditionalFormatting>
  <conditionalFormatting sqref="G54">
    <cfRule type="expression" dxfId="95" priority="11" stopIfTrue="1">
      <formula>$H$54="超过20%"</formula>
    </cfRule>
  </conditionalFormatting>
  <conditionalFormatting sqref="G55">
    <cfRule type="expression" dxfId="94" priority="13" stopIfTrue="1">
      <formula>$H$55="超过30%"</formula>
    </cfRule>
  </conditionalFormatting>
  <conditionalFormatting sqref="H49">
    <cfRule type="expression" dxfId="93" priority="3">
      <formula>$D$49="简单平均"</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J49">
    <cfRule type="expression" dxfId="89" priority="2">
      <formula>$D$49="简单平均"</formula>
    </cfRule>
  </conditionalFormatting>
  <conditionalFormatting sqref="J53:J55">
    <cfRule type="containsText" dxfId="88"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估价对象为北京市房地产，为所有。根据《国有土地使用证》[]，估价对象（分摊）出让国有建设用地使用权面积为0平方米，建筑面积为103889.93平方米。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估价对象为北京市房地产,属开发建设的，该项目尚在开发建设中。根据《国有土地使用证》[]，估价对象（分摊）出让国有建设用地使用权面积为0平方米，规划建筑面积为103889.93平方米。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2025年5月8日（评估专业人员实地查勘之日）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本次评估采用的主估价方法为成本法和收益法。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103889.93000000002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860"/>
      <c r="M4" s="861"/>
      <c r="N4" s="861"/>
      <c r="O4" s="861"/>
      <c r="P4" s="3463" t="s">
        <v>1775</v>
      </c>
      <c r="Q4" s="3464"/>
      <c r="R4" s="3469" t="s">
        <v>1771</v>
      </c>
      <c r="S4" s="3470"/>
      <c r="T4" s="3469" t="s">
        <v>1772</v>
      </c>
      <c r="U4" s="3470"/>
      <c r="V4" s="3445" t="s">
        <v>1773</v>
      </c>
      <c r="W4" s="3445"/>
      <c r="X4" s="1265"/>
      <c r="Y4" s="3469" t="s">
        <v>1775</v>
      </c>
      <c r="Z4" s="3470"/>
      <c r="AA4" s="3456" t="s">
        <v>1771</v>
      </c>
      <c r="AB4" s="3457" t="s">
        <v>1772</v>
      </c>
      <c r="AC4" s="3456" t="s">
        <v>1773</v>
      </c>
    </row>
    <row r="5" spans="1:29" ht="15">
      <c r="A5" s="348"/>
      <c r="B5" s="349"/>
      <c r="C5" s="3477" t="s">
        <v>1673</v>
      </c>
      <c r="D5" s="3478"/>
      <c r="E5" s="3484" t="s">
        <v>1674</v>
      </c>
      <c r="F5" s="3485"/>
      <c r="G5" s="3477" t="s">
        <v>1675</v>
      </c>
      <c r="H5" s="3478"/>
      <c r="I5" s="3477" t="s">
        <v>1676</v>
      </c>
      <c r="J5" s="3478"/>
      <c r="K5" s="537"/>
      <c r="L5" s="860"/>
      <c r="M5" s="861"/>
      <c r="N5" s="861"/>
      <c r="O5" s="861"/>
      <c r="P5" s="3465"/>
      <c r="Q5" s="3466"/>
      <c r="R5" s="3471"/>
      <c r="S5" s="3472"/>
      <c r="T5" s="3471"/>
      <c r="U5" s="3472"/>
      <c r="V5" s="3445"/>
      <c r="W5" s="3445"/>
      <c r="X5" s="1265"/>
      <c r="Y5" s="3471"/>
      <c r="Z5" s="3472"/>
      <c r="AA5" s="3457"/>
      <c r="AB5" s="3457"/>
      <c r="AC5" s="3457"/>
    </row>
    <row r="6" spans="1:29" ht="15.75" thickBot="1">
      <c r="A6" s="350"/>
      <c r="B6" s="351"/>
      <c r="C6" s="3475" t="s">
        <v>1677</v>
      </c>
      <c r="D6" s="3476"/>
      <c r="E6" s="3482" t="s">
        <v>1677</v>
      </c>
      <c r="F6" s="3483"/>
      <c r="G6" s="3475" t="s">
        <v>1677</v>
      </c>
      <c r="H6" s="3476"/>
      <c r="I6" s="3475" t="s">
        <v>1677</v>
      </c>
      <c r="J6" s="3476"/>
      <c r="K6" s="537" t="s">
        <v>1678</v>
      </c>
      <c r="L6" s="860"/>
      <c r="M6" s="861"/>
      <c r="N6" s="861"/>
      <c r="O6" s="861"/>
      <c r="P6" s="3467"/>
      <c r="Q6" s="3468"/>
      <c r="R6" s="3471"/>
      <c r="S6" s="3472"/>
      <c r="T6" s="3473"/>
      <c r="U6" s="3474"/>
      <c r="V6" s="3445"/>
      <c r="W6" s="3445"/>
      <c r="X6" s="1265"/>
      <c r="Y6" s="3473"/>
      <c r="Z6" s="3474"/>
      <c r="AA6" s="3458"/>
      <c r="AB6" s="3458"/>
      <c r="AC6" s="3458"/>
    </row>
    <row r="7" spans="1:29" s="102" customFormat="1" ht="15.75" thickBot="1">
      <c r="A7" s="352" t="s">
        <v>1679</v>
      </c>
      <c r="B7" s="353"/>
      <c r="C7" s="354">
        <f>'数据-取费表'!B2</f>
        <v>45785</v>
      </c>
      <c r="D7" s="355">
        <v>100</v>
      </c>
      <c r="E7" s="356"/>
      <c r="F7" s="357">
        <f>SUMIF(52:52,YEAR(E7)&amp;"-"&amp;MONTH(E7),53:53)</f>
        <v>0</v>
      </c>
      <c r="G7" s="356"/>
      <c r="H7" s="355">
        <f>SUMIF(52:52,YEAR(G7)&amp;"-"&amp;MONTH(G7),53:53)</f>
        <v>0</v>
      </c>
      <c r="I7" s="356"/>
      <c r="J7" s="355">
        <f>SUMIF(52:52,YEAR(I7)&amp;"-"&amp;MONTH(I7),53:53)</f>
        <v>0</v>
      </c>
      <c r="K7" s="38"/>
      <c r="L7" s="862"/>
      <c r="M7" s="863"/>
      <c r="N7" s="863"/>
      <c r="O7" s="863"/>
      <c r="P7" s="3479" t="s">
        <v>1680</v>
      </c>
      <c r="Q7" s="3481"/>
      <c r="R7" s="664" t="s">
        <v>14</v>
      </c>
      <c r="S7" s="665">
        <f t="shared" ref="S7:S15" si="0">F7</f>
        <v>0</v>
      </c>
      <c r="T7" s="664" t="s">
        <v>14</v>
      </c>
      <c r="U7" s="665">
        <f t="shared" ref="U7:U15" si="1">H7</f>
        <v>0</v>
      </c>
      <c r="V7" s="664" t="s">
        <v>14</v>
      </c>
      <c r="W7" s="665">
        <f t="shared" ref="W7:W15" si="2">J7</f>
        <v>0</v>
      </c>
      <c r="X7" s="666"/>
      <c r="Y7" s="3479" t="s">
        <v>1680</v>
      </c>
      <c r="Z7" s="3480"/>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79" t="s">
        <v>1683</v>
      </c>
      <c r="Q8" s="3480"/>
      <c r="R8" s="664" t="s">
        <v>14</v>
      </c>
      <c r="S8" s="665">
        <f t="shared" si="0"/>
        <v>100</v>
      </c>
      <c r="T8" s="664" t="s">
        <v>14</v>
      </c>
      <c r="U8" s="665">
        <f t="shared" si="1"/>
        <v>100</v>
      </c>
      <c r="V8" s="664" t="s">
        <v>14</v>
      </c>
      <c r="W8" s="665">
        <f t="shared" si="2"/>
        <v>100</v>
      </c>
      <c r="X8" s="666"/>
      <c r="Y8" s="3479" t="s">
        <v>1683</v>
      </c>
      <c r="Z8" s="3480"/>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4"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444"/>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4"/>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4"/>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4"/>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4"/>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1690</v>
      </c>
      <c r="B15" s="58" t="s">
        <v>1827</v>
      </c>
      <c r="C15" s="1819">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46" t="s">
        <v>1691</v>
      </c>
      <c r="Q15" s="1263" t="str">
        <f t="shared" si="6"/>
        <v>产业集聚程度</v>
      </c>
      <c r="R15" s="667" t="s">
        <v>14</v>
      </c>
      <c r="S15" s="668">
        <f t="shared" si="0"/>
        <v>100</v>
      </c>
      <c r="T15" s="667" t="s">
        <v>14</v>
      </c>
      <c r="U15" s="668">
        <f t="shared" si="1"/>
        <v>100</v>
      </c>
      <c r="V15" s="667" t="s">
        <v>14</v>
      </c>
      <c r="W15" s="668">
        <f t="shared" si="2"/>
        <v>100</v>
      </c>
      <c r="X15" s="1265"/>
      <c r="Y15" s="3446"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47"/>
      <c r="Q16" s="1263"/>
      <c r="R16" s="667"/>
      <c r="S16" s="668"/>
      <c r="T16" s="667"/>
      <c r="U16" s="668"/>
      <c r="V16" s="667"/>
      <c r="W16" s="668"/>
      <c r="X16" s="1265"/>
      <c r="Y16" s="3447"/>
      <c r="Z16" s="1264"/>
      <c r="AA16" s="1264">
        <v>1</v>
      </c>
      <c r="AB16" s="1264">
        <v>1</v>
      </c>
      <c r="AC16" s="1264">
        <v>1</v>
      </c>
    </row>
    <row r="17" spans="1:29" ht="15">
      <c r="A17" s="367"/>
      <c r="B17" s="390" t="s">
        <v>1259</v>
      </c>
      <c r="C17" s="1754">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47"/>
      <c r="Q17" s="1263" t="str">
        <f>B17</f>
        <v>交通便捷度</v>
      </c>
      <c r="R17" s="667" t="s">
        <v>14</v>
      </c>
      <c r="S17" s="668">
        <f>F17</f>
        <v>100</v>
      </c>
      <c r="T17" s="667" t="s">
        <v>14</v>
      </c>
      <c r="U17" s="668">
        <f>H17</f>
        <v>100</v>
      </c>
      <c r="V17" s="667" t="s">
        <v>14</v>
      </c>
      <c r="W17" s="668">
        <f>J17</f>
        <v>100</v>
      </c>
      <c r="X17" s="1265"/>
      <c r="Y17" s="3447"/>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47"/>
      <c r="Q18" s="1263"/>
      <c r="R18" s="667"/>
      <c r="S18" s="668"/>
      <c r="T18" s="667"/>
      <c r="U18" s="668"/>
      <c r="V18" s="667"/>
      <c r="W18" s="668"/>
      <c r="X18" s="1265"/>
      <c r="Y18" s="3447"/>
      <c r="Z18" s="1264"/>
      <c r="AA18" s="1264">
        <v>1</v>
      </c>
      <c r="AB18" s="1264">
        <v>1</v>
      </c>
      <c r="AC18" s="1264">
        <v>1</v>
      </c>
    </row>
    <row r="19" spans="1:29" ht="15">
      <c r="A19" s="367"/>
      <c r="B19" s="390" t="s">
        <v>1812</v>
      </c>
      <c r="C19" s="1754">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47"/>
      <c r="Q19" s="1263" t="str">
        <f>B19</f>
        <v>公共配套设施</v>
      </c>
      <c r="R19" s="667" t="s">
        <v>14</v>
      </c>
      <c r="S19" s="668">
        <f>F19</f>
        <v>100</v>
      </c>
      <c r="T19" s="667" t="s">
        <v>14</v>
      </c>
      <c r="U19" s="668">
        <f>H19</f>
        <v>100</v>
      </c>
      <c r="V19" s="667" t="s">
        <v>14</v>
      </c>
      <c r="W19" s="668">
        <f>J19</f>
        <v>100</v>
      </c>
      <c r="X19" s="1265"/>
      <c r="Y19" s="3447"/>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47"/>
      <c r="Q20" s="1263"/>
      <c r="R20" s="667"/>
      <c r="S20" s="668"/>
      <c r="T20" s="667"/>
      <c r="U20" s="668"/>
      <c r="V20" s="667"/>
      <c r="W20" s="668"/>
      <c r="X20" s="1265"/>
      <c r="Y20" s="3447"/>
      <c r="Z20" s="1264"/>
      <c r="AA20" s="1264">
        <v>1</v>
      </c>
      <c r="AB20" s="1264">
        <v>1</v>
      </c>
      <c r="AC20" s="1264">
        <v>1</v>
      </c>
    </row>
    <row r="21" spans="1:29" ht="15">
      <c r="A21" s="367"/>
      <c r="B21" s="586" t="s">
        <v>1813</v>
      </c>
      <c r="C21" s="1754">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47"/>
      <c r="Q21" s="1263" t="str">
        <f>B21</f>
        <v>基础设施水平</v>
      </c>
      <c r="R21" s="667" t="s">
        <v>14</v>
      </c>
      <c r="S21" s="668">
        <f>F21</f>
        <v>100</v>
      </c>
      <c r="T21" s="667" t="s">
        <v>14</v>
      </c>
      <c r="U21" s="668">
        <f>H21</f>
        <v>100</v>
      </c>
      <c r="V21" s="667" t="s">
        <v>14</v>
      </c>
      <c r="W21" s="668">
        <f>J21</f>
        <v>100</v>
      </c>
      <c r="X21" s="1265"/>
      <c r="Y21" s="3447"/>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47"/>
      <c r="Q22" s="1263"/>
      <c r="R22" s="667"/>
      <c r="S22" s="668"/>
      <c r="T22" s="667"/>
      <c r="U22" s="668"/>
      <c r="V22" s="667"/>
      <c r="W22" s="668"/>
      <c r="X22" s="1265"/>
      <c r="Y22" s="3447"/>
      <c r="Z22" s="1264"/>
      <c r="AA22" s="1264">
        <v>1</v>
      </c>
      <c r="AB22" s="1264">
        <v>1</v>
      </c>
      <c r="AC22" s="1264">
        <v>1</v>
      </c>
    </row>
    <row r="23" spans="1:29" ht="15">
      <c r="A23" s="367"/>
      <c r="B23" s="390" t="s">
        <v>1814</v>
      </c>
      <c r="C23" s="1754">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47"/>
      <c r="Q23" s="1263" t="str">
        <f>B23</f>
        <v>环境质量</v>
      </c>
      <c r="R23" s="667" t="s">
        <v>14</v>
      </c>
      <c r="S23" s="668">
        <f>F23</f>
        <v>100</v>
      </c>
      <c r="T23" s="667" t="s">
        <v>14</v>
      </c>
      <c r="U23" s="668">
        <f>H23</f>
        <v>100</v>
      </c>
      <c r="V23" s="667" t="s">
        <v>14</v>
      </c>
      <c r="W23" s="668">
        <f>J23</f>
        <v>100</v>
      </c>
      <c r="X23" s="1265"/>
      <c r="Y23" s="3447"/>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47"/>
      <c r="Q24" s="1263"/>
      <c r="R24" s="667"/>
      <c r="S24" s="668"/>
      <c r="T24" s="667"/>
      <c r="U24" s="668"/>
      <c r="V24" s="667"/>
      <c r="W24" s="668"/>
      <c r="X24" s="1265"/>
      <c r="Y24" s="3447"/>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47"/>
      <c r="Q25" s="1263">
        <f>B25</f>
        <v>111</v>
      </c>
      <c r="R25" s="667" t="s">
        <v>14</v>
      </c>
      <c r="S25" s="668">
        <f>F25</f>
        <v>100</v>
      </c>
      <c r="T25" s="667" t="s">
        <v>14</v>
      </c>
      <c r="U25" s="668">
        <f>H25</f>
        <v>100</v>
      </c>
      <c r="V25" s="667" t="s">
        <v>14</v>
      </c>
      <c r="W25" s="668">
        <f>J25</f>
        <v>100</v>
      </c>
      <c r="X25" s="1265"/>
      <c r="Y25" s="3447"/>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47"/>
      <c r="Q26" s="1263">
        <f t="shared" ref="Q26:Q40" si="11">B26</f>
        <v>111</v>
      </c>
      <c r="R26" s="667" t="s">
        <v>14</v>
      </c>
      <c r="S26" s="668">
        <f>F26</f>
        <v>100</v>
      </c>
      <c r="T26" s="667" t="s">
        <v>14</v>
      </c>
      <c r="U26" s="668">
        <f>H26</f>
        <v>100</v>
      </c>
      <c r="V26" s="667" t="s">
        <v>14</v>
      </c>
      <c r="W26" s="668">
        <f>J26</f>
        <v>100</v>
      </c>
      <c r="X26" s="1265"/>
      <c r="Y26" s="3447"/>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47"/>
      <c r="Q27" s="530">
        <f t="shared" si="11"/>
        <v>111</v>
      </c>
      <c r="R27" s="664" t="s">
        <v>14</v>
      </c>
      <c r="S27" s="665">
        <f>F27</f>
        <v>100</v>
      </c>
      <c r="T27" s="664" t="s">
        <v>14</v>
      </c>
      <c r="U27" s="665">
        <f>H27</f>
        <v>100</v>
      </c>
      <c r="V27" s="664" t="s">
        <v>14</v>
      </c>
      <c r="W27" s="665">
        <f>J27</f>
        <v>100</v>
      </c>
      <c r="X27" s="666"/>
      <c r="Y27" s="3447"/>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47"/>
      <c r="Q28" s="1263">
        <f t="shared" si="11"/>
        <v>111</v>
      </c>
      <c r="R28" s="667" t="s">
        <v>14</v>
      </c>
      <c r="S28" s="668">
        <f t="shared" ref="S28:S40" si="12">F28</f>
        <v>100</v>
      </c>
      <c r="T28" s="667" t="s">
        <v>14</v>
      </c>
      <c r="U28" s="668">
        <f t="shared" ref="U28:U40" si="13">H28</f>
        <v>100</v>
      </c>
      <c r="V28" s="667" t="s">
        <v>14</v>
      </c>
      <c r="W28" s="668">
        <f t="shared" ref="W28:W40" si="14">J28</f>
        <v>100</v>
      </c>
      <c r="X28" s="1265"/>
      <c r="Y28" s="3447"/>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01" t="s">
        <v>1696</v>
      </c>
      <c r="Q29" s="1263" t="str">
        <f t="shared" si="11"/>
        <v>建筑类型</v>
      </c>
      <c r="R29" s="667" t="s">
        <v>14</v>
      </c>
      <c r="S29" s="668">
        <f t="shared" si="12"/>
        <v>100</v>
      </c>
      <c r="T29" s="667" t="s">
        <v>14</v>
      </c>
      <c r="U29" s="668">
        <f t="shared" si="13"/>
        <v>100</v>
      </c>
      <c r="V29" s="667" t="s">
        <v>14</v>
      </c>
      <c r="W29" s="668">
        <f t="shared" si="14"/>
        <v>100</v>
      </c>
      <c r="X29" s="1265"/>
      <c r="Y29" s="3451"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1"/>
      <c r="Q30" s="531" t="str">
        <f t="shared" si="11"/>
        <v>项目建筑规模</v>
      </c>
      <c r="R30" s="669" t="s">
        <v>14</v>
      </c>
      <c r="S30" s="670" t="e">
        <f t="shared" si="12"/>
        <v>#N/A</v>
      </c>
      <c r="T30" s="669" t="s">
        <v>14</v>
      </c>
      <c r="U30" s="670" t="e">
        <f t="shared" si="13"/>
        <v>#N/A</v>
      </c>
      <c r="V30" s="669" t="s">
        <v>14</v>
      </c>
      <c r="W30" s="670" t="e">
        <f t="shared" si="14"/>
        <v>#N/A</v>
      </c>
      <c r="X30" s="671"/>
      <c r="Y30" s="3451"/>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1"/>
      <c r="Q31" s="1263" t="str">
        <f t="shared" si="11"/>
        <v>建筑结构</v>
      </c>
      <c r="R31" s="667" t="s">
        <v>14</v>
      </c>
      <c r="S31" s="668">
        <f t="shared" si="12"/>
        <v>100</v>
      </c>
      <c r="T31" s="667" t="s">
        <v>14</v>
      </c>
      <c r="U31" s="668">
        <f t="shared" si="13"/>
        <v>100</v>
      </c>
      <c r="V31" s="667" t="s">
        <v>14</v>
      </c>
      <c r="W31" s="668">
        <f t="shared" si="14"/>
        <v>100</v>
      </c>
      <c r="X31" s="1265"/>
      <c r="Y31" s="3451"/>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1"/>
      <c r="Q32" s="1263" t="str">
        <f t="shared" si="11"/>
        <v>公共部分装修</v>
      </c>
      <c r="R32" s="667" t="s">
        <v>14</v>
      </c>
      <c r="S32" s="668">
        <f t="shared" si="12"/>
        <v>100</v>
      </c>
      <c r="T32" s="667" t="s">
        <v>14</v>
      </c>
      <c r="U32" s="668">
        <f t="shared" si="13"/>
        <v>100</v>
      </c>
      <c r="V32" s="667" t="s">
        <v>14</v>
      </c>
      <c r="W32" s="668">
        <f t="shared" si="14"/>
        <v>100</v>
      </c>
      <c r="X32" s="1265"/>
      <c r="Y32" s="3451"/>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1"/>
      <c r="Q33" s="1263" t="str">
        <f t="shared" si="11"/>
        <v>成新度</v>
      </c>
      <c r="R33" s="667" t="s">
        <v>14</v>
      </c>
      <c r="S33" s="668" t="e">
        <f t="shared" si="12"/>
        <v>#N/A</v>
      </c>
      <c r="T33" s="667" t="s">
        <v>14</v>
      </c>
      <c r="U33" s="668" t="e">
        <f t="shared" si="13"/>
        <v>#N/A</v>
      </c>
      <c r="V33" s="667" t="s">
        <v>14</v>
      </c>
      <c r="W33" s="668" t="e">
        <f t="shared" si="14"/>
        <v>#N/A</v>
      </c>
      <c r="X33" s="1265"/>
      <c r="Y33" s="3451"/>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1"/>
      <c r="Q34" s="530" t="str">
        <f t="shared" si="11"/>
        <v>物业管理</v>
      </c>
      <c r="R34" s="664" t="s">
        <v>14</v>
      </c>
      <c r="S34" s="665">
        <f t="shared" si="12"/>
        <v>100</v>
      </c>
      <c r="T34" s="664" t="s">
        <v>14</v>
      </c>
      <c r="U34" s="665">
        <f t="shared" si="13"/>
        <v>100</v>
      </c>
      <c r="V34" s="664" t="s">
        <v>14</v>
      </c>
      <c r="W34" s="665">
        <f t="shared" si="14"/>
        <v>100</v>
      </c>
      <c r="X34" s="666"/>
      <c r="Y34" s="345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1" t="s">
        <v>1696</v>
      </c>
      <c r="Q35" s="1263" t="str">
        <f t="shared" si="11"/>
        <v>市政基础设施</v>
      </c>
      <c r="R35" s="667" t="s">
        <v>14</v>
      </c>
      <c r="S35" s="668">
        <f t="shared" si="12"/>
        <v>100</v>
      </c>
      <c r="T35" s="667" t="s">
        <v>14</v>
      </c>
      <c r="U35" s="668">
        <f t="shared" si="13"/>
        <v>100</v>
      </c>
      <c r="V35" s="667" t="s">
        <v>14</v>
      </c>
      <c r="W35" s="668">
        <f t="shared" si="14"/>
        <v>100</v>
      </c>
      <c r="X35" s="1265"/>
      <c r="Y35" s="3451"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1"/>
      <c r="Q36" s="1263" t="str">
        <f t="shared" si="11"/>
        <v>内部装修</v>
      </c>
      <c r="R36" s="667" t="s">
        <v>14</v>
      </c>
      <c r="S36" s="668">
        <f t="shared" si="12"/>
        <v>100</v>
      </c>
      <c r="T36" s="667" t="s">
        <v>14</v>
      </c>
      <c r="U36" s="668">
        <f t="shared" si="13"/>
        <v>100</v>
      </c>
      <c r="V36" s="667" t="s">
        <v>14</v>
      </c>
      <c r="W36" s="668">
        <f t="shared" si="14"/>
        <v>100</v>
      </c>
      <c r="X36" s="1265"/>
      <c r="Y36" s="3451"/>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1"/>
      <c r="Q37" s="1263" t="str">
        <f t="shared" si="11"/>
        <v>内部装修状况</v>
      </c>
      <c r="R37" s="667" t="s">
        <v>14</v>
      </c>
      <c r="S37" s="668">
        <f t="shared" si="12"/>
        <v>100</v>
      </c>
      <c r="T37" s="667" t="s">
        <v>14</v>
      </c>
      <c r="U37" s="668">
        <f t="shared" si="13"/>
        <v>100</v>
      </c>
      <c r="V37" s="667" t="s">
        <v>14</v>
      </c>
      <c r="W37" s="668">
        <f t="shared" si="14"/>
        <v>100</v>
      </c>
      <c r="X37" s="1265"/>
      <c r="Y37" s="3451"/>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1"/>
      <c r="Q38" s="531">
        <f t="shared" si="11"/>
        <v>111</v>
      </c>
      <c r="R38" s="669" t="s">
        <v>14</v>
      </c>
      <c r="S38" s="670">
        <f t="shared" si="12"/>
        <v>100</v>
      </c>
      <c r="T38" s="669" t="s">
        <v>14</v>
      </c>
      <c r="U38" s="670">
        <f t="shared" si="13"/>
        <v>100</v>
      </c>
      <c r="V38" s="669" t="s">
        <v>14</v>
      </c>
      <c r="W38" s="670">
        <f t="shared" si="14"/>
        <v>100</v>
      </c>
      <c r="X38" s="671"/>
      <c r="Y38" s="3451"/>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1"/>
      <c r="Q39" s="1263">
        <f t="shared" si="11"/>
        <v>111</v>
      </c>
      <c r="R39" s="667" t="s">
        <v>14</v>
      </c>
      <c r="S39" s="668">
        <f t="shared" si="12"/>
        <v>100</v>
      </c>
      <c r="T39" s="667" t="s">
        <v>14</v>
      </c>
      <c r="U39" s="668">
        <f t="shared" si="13"/>
        <v>100</v>
      </c>
      <c r="V39" s="667" t="s">
        <v>14</v>
      </c>
      <c r="W39" s="668">
        <f t="shared" si="14"/>
        <v>100</v>
      </c>
      <c r="X39" s="1265"/>
      <c r="Y39" s="3451"/>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2"/>
      <c r="Q40" s="1263">
        <f t="shared" si="11"/>
        <v>111</v>
      </c>
      <c r="R40" s="667" t="s">
        <v>14</v>
      </c>
      <c r="S40" s="668">
        <f t="shared" si="12"/>
        <v>100</v>
      </c>
      <c r="T40" s="667" t="s">
        <v>14</v>
      </c>
      <c r="U40" s="668">
        <f t="shared" si="13"/>
        <v>100</v>
      </c>
      <c r="V40" s="667" t="s">
        <v>14</v>
      </c>
      <c r="W40" s="668">
        <f t="shared" si="14"/>
        <v>100</v>
      </c>
      <c r="X40" s="1265"/>
      <c r="Y40" s="3452"/>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4" t="str">
        <f>A41</f>
        <v>成交单价（元/平方米）</v>
      </c>
      <c r="Q41" s="3444"/>
      <c r="R41" s="3445">
        <f>E41</f>
        <v>0</v>
      </c>
      <c r="S41" s="3445"/>
      <c r="T41" s="3445">
        <f>G41</f>
        <v>0</v>
      </c>
      <c r="U41" s="3445"/>
      <c r="V41" s="3445">
        <f>I41</f>
        <v>0</v>
      </c>
      <c r="W41" s="344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1" t="str">
        <f>A43</f>
        <v>估价对象XX用房的比较价值（楼面单价，元/平方米）</v>
      </c>
      <c r="Q43" s="3442"/>
      <c r="R43" s="3443" t="e">
        <f>IF(F1="售价",ROUND(IF(D42="简单平均",AVERAGE(R42:V42),R42*F42+T42*H42+V42*J42),0),ROUND(IF(D42="简单平均",AVERAGE(R42:V42),R42*F42+T42*H42+V42*J42),1))</f>
        <v>#DIV/0!</v>
      </c>
      <c r="S43" s="3443"/>
      <c r="T43" s="3443"/>
      <c r="U43" s="3443"/>
      <c r="V43" s="3443"/>
      <c r="W43" s="3443"/>
      <c r="X43" s="385"/>
      <c r="Y43" s="385"/>
      <c r="Z43" s="385"/>
      <c r="AA43" s="385"/>
      <c r="AB43" s="385"/>
      <c r="AC43" s="385"/>
    </row>
    <row r="44" spans="1:29">
      <c r="A44" s="2488"/>
      <c r="B44" s="2488"/>
      <c r="C44" s="2488"/>
      <c r="D44" s="2488"/>
      <c r="E44" s="2488"/>
      <c r="F44" s="2488"/>
      <c r="G44" s="2499"/>
      <c r="H44" s="2488"/>
      <c r="I44" s="2488"/>
      <c r="J44" s="2488"/>
      <c r="K44" s="2500"/>
      <c r="L44" s="836"/>
      <c r="M44" s="861"/>
      <c r="N44" s="861"/>
      <c r="O44" s="861"/>
    </row>
    <row r="45" spans="1:29">
      <c r="A45" s="2488"/>
      <c r="B45" s="2488"/>
      <c r="C45" s="2488"/>
      <c r="D45" s="2488"/>
      <c r="E45" s="2488"/>
      <c r="F45" s="2488"/>
      <c r="G45" s="2488"/>
      <c r="H45" s="2488"/>
      <c r="I45" s="2488"/>
      <c r="J45" s="2488"/>
      <c r="K45" s="2500"/>
      <c r="L45" s="836"/>
      <c r="M45" s="861"/>
      <c r="N45" s="861"/>
      <c r="O45" s="861"/>
    </row>
    <row r="46" spans="1:29"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836"/>
      <c r="M46" s="861"/>
      <c r="N46" s="861"/>
      <c r="O46" s="861"/>
    </row>
    <row r="47" spans="1:29"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836"/>
      <c r="M47" s="861"/>
      <c r="N47" s="861"/>
      <c r="O47" s="861"/>
    </row>
    <row r="48" spans="1:29"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876"/>
      <c r="M48" s="874"/>
      <c r="N48" s="874"/>
      <c r="O48" s="874"/>
    </row>
    <row r="49" spans="1:17" s="437" customFormat="1">
      <c r="A49" s="2498"/>
      <c r="B49" s="2501"/>
      <c r="C49" s="2502"/>
      <c r="D49" s="2498"/>
      <c r="E49" s="2498"/>
      <c r="F49" s="2498"/>
      <c r="G49" s="2498"/>
      <c r="H49" s="2498"/>
      <c r="I49" s="2498"/>
      <c r="J49" s="2498"/>
      <c r="K49" s="2503"/>
      <c r="L49" s="876"/>
      <c r="M49" s="874"/>
      <c r="N49" s="874"/>
      <c r="O49" s="874"/>
    </row>
    <row r="50" spans="1:17">
      <c r="A50" s="2488"/>
      <c r="B50" s="2501"/>
      <c r="C50" s="2502"/>
      <c r="D50" s="2488"/>
      <c r="E50" s="2488"/>
      <c r="F50" s="2488"/>
      <c r="G50" s="2488"/>
      <c r="H50" s="2488"/>
      <c r="I50" s="2488"/>
      <c r="J50" s="2488"/>
      <c r="K50" s="2500"/>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2025-5</v>
      </c>
      <c r="D52" s="1104">
        <f>EDATE(C52,-1)</f>
        <v>45748</v>
      </c>
      <c r="E52" s="1104">
        <f t="shared" ref="E52:O52" si="16">EDATE(D52,-1)</f>
        <v>45717</v>
      </c>
      <c r="F52" s="1104">
        <f t="shared" si="16"/>
        <v>45689</v>
      </c>
      <c r="G52" s="1104">
        <f t="shared" si="16"/>
        <v>45658</v>
      </c>
      <c r="H52" s="1104">
        <f t="shared" si="16"/>
        <v>45627</v>
      </c>
      <c r="I52" s="1104">
        <f t="shared" si="16"/>
        <v>45597</v>
      </c>
      <c r="J52" s="1104">
        <f t="shared" si="16"/>
        <v>45566</v>
      </c>
      <c r="K52" s="1104">
        <f t="shared" si="16"/>
        <v>45536</v>
      </c>
      <c r="L52" s="1104">
        <f t="shared" si="16"/>
        <v>45505</v>
      </c>
      <c r="M52" s="1104">
        <f t="shared" si="16"/>
        <v>45474</v>
      </c>
      <c r="N52" s="1104">
        <f t="shared" si="16"/>
        <v>45444</v>
      </c>
      <c r="O52" s="1104">
        <f t="shared" si="16"/>
        <v>45413</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7" priority="16" stopIfTrue="1">
      <formula>$F$46="超过30%"</formula>
    </cfRule>
  </conditionalFormatting>
  <conditionalFormatting sqref="E47">
    <cfRule type="expression" dxfId="86" priority="15" stopIfTrue="1">
      <formula>$F$47="超过20%"</formula>
    </cfRule>
  </conditionalFormatting>
  <conditionalFormatting sqref="E48">
    <cfRule type="expression" dxfId="85" priority="14" stopIfTrue="1">
      <formula>$F$48="超过30%"</formula>
    </cfRule>
  </conditionalFormatting>
  <conditionalFormatting sqref="F7:F40 H7:H40 J7:J40">
    <cfRule type="cellIs" dxfId="84" priority="1" operator="notEqual">
      <formula>100</formula>
    </cfRule>
  </conditionalFormatting>
  <conditionalFormatting sqref="F42">
    <cfRule type="expression" dxfId="83" priority="4">
      <formula>$D$42="简单平均"</formula>
    </cfRule>
  </conditionalFormatting>
  <conditionalFormatting sqref="F46:F48 H46:H48">
    <cfRule type="containsText" dxfId="82" priority="17" stopIfTrue="1" operator="containsText" text="超过">
      <formula>NOT(ISERROR(SEARCH("超过",F46)))</formula>
    </cfRule>
  </conditionalFormatting>
  <conditionalFormatting sqref="G46">
    <cfRule type="expression" dxfId="81" priority="12" stopIfTrue="1">
      <formula>$H$46="超过30%"</formula>
    </cfRule>
  </conditionalFormatting>
  <conditionalFormatting sqref="G47">
    <cfRule type="expression" dxfId="80" priority="11" stopIfTrue="1">
      <formula>$H$47="超过20%"</formula>
    </cfRule>
  </conditionalFormatting>
  <conditionalFormatting sqref="G48">
    <cfRule type="expression" dxfId="79" priority="13" stopIfTrue="1">
      <formula>$H$48="超过30%"</formula>
    </cfRule>
  </conditionalFormatting>
  <conditionalFormatting sqref="H42">
    <cfRule type="expression" dxfId="78" priority="3">
      <formula>$D$42="简单平均"</formula>
    </cfRule>
  </conditionalFormatting>
  <conditionalFormatting sqref="I46">
    <cfRule type="expression" dxfId="77" priority="7" stopIfTrue="1">
      <formula>$J$46="超过30%"</formula>
    </cfRule>
  </conditionalFormatting>
  <conditionalFormatting sqref="I47">
    <cfRule type="expression" dxfId="76" priority="6" stopIfTrue="1">
      <formula>$J$47="超过20%"</formula>
    </cfRule>
  </conditionalFormatting>
  <conditionalFormatting sqref="I48">
    <cfRule type="expression" dxfId="75" priority="5" stopIfTrue="1">
      <formula>$J$48="超过30%"</formula>
    </cfRule>
  </conditionalFormatting>
  <conditionalFormatting sqref="J42">
    <cfRule type="expression" dxfId="74" priority="2">
      <formula>$D$42="简单平均"</formula>
    </cfRule>
  </conditionalFormatting>
  <conditionalFormatting sqref="J46:J48">
    <cfRule type="containsText" dxfId="7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3324</v>
      </c>
      <c r="C1" s="1141" t="s">
        <v>1662</v>
      </c>
      <c r="D1" s="1142"/>
      <c r="E1" s="3131"/>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4"/>
      <c r="M3" s="2505" t="e">
        <f ca="1">IF(C2="——",IF(B37="元/平方米",ROUND(C39*D3/10000,0),ROUND(F3*C39/10000,0)),IF(B37="元/平方米",ROUND(C39*D3/10000,0),ROUND(F3*C39/10000,0))-D2)</f>
        <v>#DIV/0!</v>
      </c>
      <c r="N3" s="2505"/>
      <c r="O3" s="2505"/>
      <c r="P3" s="1086"/>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463" t="s">
        <v>1775</v>
      </c>
      <c r="Q4" s="3464"/>
      <c r="R4" s="3469" t="s">
        <v>1771</v>
      </c>
      <c r="S4" s="3470"/>
      <c r="T4" s="3469" t="s">
        <v>1772</v>
      </c>
      <c r="U4" s="3470"/>
      <c r="V4" s="3445" t="s">
        <v>1773</v>
      </c>
      <c r="W4" s="3445"/>
      <c r="X4" s="1265"/>
      <c r="Y4" s="3469" t="s">
        <v>1775</v>
      </c>
      <c r="Z4" s="3470"/>
      <c r="AA4" s="3456" t="s">
        <v>1771</v>
      </c>
      <c r="AB4" s="3457" t="s">
        <v>1772</v>
      </c>
      <c r="AC4" s="3456" t="s">
        <v>1773</v>
      </c>
    </row>
    <row r="5" spans="1:29" ht="15">
      <c r="A5" s="348"/>
      <c r="B5" s="349"/>
      <c r="C5" s="3477" t="s">
        <v>1673</v>
      </c>
      <c r="D5" s="3478"/>
      <c r="E5" s="3484" t="s">
        <v>1674</v>
      </c>
      <c r="F5" s="3485"/>
      <c r="G5" s="3477" t="s">
        <v>1675</v>
      </c>
      <c r="H5" s="3478"/>
      <c r="I5" s="3477" t="s">
        <v>1676</v>
      </c>
      <c r="J5" s="3478"/>
      <c r="K5" s="537"/>
      <c r="L5" s="2487"/>
      <c r="M5" s="2488"/>
      <c r="N5" s="2488"/>
      <c r="O5" s="2488"/>
      <c r="P5" s="3465"/>
      <c r="Q5" s="3466"/>
      <c r="R5" s="3471"/>
      <c r="S5" s="3472"/>
      <c r="T5" s="3471"/>
      <c r="U5" s="3472"/>
      <c r="V5" s="3445"/>
      <c r="W5" s="3445"/>
      <c r="X5" s="1265"/>
      <c r="Y5" s="3471"/>
      <c r="Z5" s="3472"/>
      <c r="AA5" s="3457"/>
      <c r="AB5" s="3457"/>
      <c r="AC5" s="3457"/>
    </row>
    <row r="6" spans="1:29" ht="15.75" thickBot="1">
      <c r="A6" s="350"/>
      <c r="B6" s="351"/>
      <c r="C6" s="3475" t="s">
        <v>1677</v>
      </c>
      <c r="D6" s="3476"/>
      <c r="E6" s="3482" t="s">
        <v>1677</v>
      </c>
      <c r="F6" s="3483"/>
      <c r="G6" s="3475" t="s">
        <v>1677</v>
      </c>
      <c r="H6" s="3476"/>
      <c r="I6" s="3475" t="s">
        <v>1677</v>
      </c>
      <c r="J6" s="3476"/>
      <c r="K6" s="537" t="s">
        <v>1678</v>
      </c>
      <c r="L6" s="2487"/>
      <c r="M6" s="2488"/>
      <c r="N6" s="2488"/>
      <c r="O6" s="2488"/>
      <c r="P6" s="3467"/>
      <c r="Q6" s="3468"/>
      <c r="R6" s="3471"/>
      <c r="S6" s="3472"/>
      <c r="T6" s="3473"/>
      <c r="U6" s="3474"/>
      <c r="V6" s="3445"/>
      <c r="W6" s="3445"/>
      <c r="X6" s="1265"/>
      <c r="Y6" s="3473"/>
      <c r="Z6" s="3474"/>
      <c r="AA6" s="3458"/>
      <c r="AB6" s="3458"/>
      <c r="AC6" s="3458"/>
    </row>
    <row r="7" spans="1:29" s="102" customFormat="1" ht="15.75" thickBot="1">
      <c r="A7" s="352" t="s">
        <v>1679</v>
      </c>
      <c r="B7" s="353"/>
      <c r="C7" s="354">
        <f>'数据-取费表'!B2</f>
        <v>45785</v>
      </c>
      <c r="D7" s="355">
        <v>100</v>
      </c>
      <c r="E7" s="356"/>
      <c r="F7" s="357">
        <f>SUMIF(48:48,YEAR(E7)&amp;"-"&amp;MONTH(E7),49:49)</f>
        <v>0</v>
      </c>
      <c r="G7" s="356"/>
      <c r="H7" s="355">
        <f>SUMIF(48:48,YEAR(G7)&amp;"-"&amp;MONTH(G7),49:49)</f>
        <v>0</v>
      </c>
      <c r="I7" s="356"/>
      <c r="J7" s="355">
        <f>SUMIF(48:48,YEAR(I7)&amp;"-"&amp;MONTH(I7),49:49)</f>
        <v>0</v>
      </c>
      <c r="K7" s="38"/>
      <c r="L7" s="2489"/>
      <c r="M7" s="2440"/>
      <c r="N7" s="2440"/>
      <c r="O7" s="2440"/>
      <c r="P7" s="3479" t="s">
        <v>1680</v>
      </c>
      <c r="Q7" s="3481"/>
      <c r="R7" s="664" t="s">
        <v>14</v>
      </c>
      <c r="S7" s="665">
        <f t="shared" ref="S7:S14" si="0">F7</f>
        <v>0</v>
      </c>
      <c r="T7" s="664" t="s">
        <v>14</v>
      </c>
      <c r="U7" s="665">
        <f t="shared" ref="U7:U14" si="1">H7</f>
        <v>0</v>
      </c>
      <c r="V7" s="664" t="s">
        <v>14</v>
      </c>
      <c r="W7" s="665">
        <f t="shared" ref="W7:W14" si="2">J7</f>
        <v>0</v>
      </c>
      <c r="X7" s="666"/>
      <c r="Y7" s="3479" t="s">
        <v>1680</v>
      </c>
      <c r="Z7" s="3480"/>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9"/>
      <c r="M8" s="2440"/>
      <c r="N8" s="2440"/>
      <c r="O8" s="2440"/>
      <c r="P8" s="3479" t="s">
        <v>1683</v>
      </c>
      <c r="Q8" s="3480"/>
      <c r="R8" s="664" t="s">
        <v>14</v>
      </c>
      <c r="S8" s="665">
        <f t="shared" si="0"/>
        <v>100</v>
      </c>
      <c r="T8" s="664" t="s">
        <v>14</v>
      </c>
      <c r="U8" s="665">
        <f t="shared" si="1"/>
        <v>100</v>
      </c>
      <c r="V8" s="664" t="s">
        <v>14</v>
      </c>
      <c r="W8" s="665">
        <f t="shared" si="2"/>
        <v>100</v>
      </c>
      <c r="X8" s="666"/>
      <c r="Y8" s="3479" t="s">
        <v>1683</v>
      </c>
      <c r="Z8" s="3480"/>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9"/>
      <c r="M9" s="2440"/>
      <c r="N9" s="2440"/>
      <c r="O9" s="2440"/>
      <c r="P9" s="3444" t="s">
        <v>1686</v>
      </c>
      <c r="Q9" s="530" t="str">
        <f t="shared" ref="Q9:Q14" si="6">B9</f>
        <v>用途</v>
      </c>
      <c r="R9" s="664" t="s">
        <v>14</v>
      </c>
      <c r="S9" s="665">
        <f t="shared" si="0"/>
        <v>100</v>
      </c>
      <c r="T9" s="664" t="s">
        <v>14</v>
      </c>
      <c r="U9" s="665">
        <f t="shared" si="1"/>
        <v>100</v>
      </c>
      <c r="V9" s="664" t="s">
        <v>14</v>
      </c>
      <c r="W9" s="665">
        <f t="shared" si="2"/>
        <v>100</v>
      </c>
      <c r="X9" s="666"/>
      <c r="Y9" s="3300"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90"/>
      <c r="M10" s="2491"/>
      <c r="N10" s="2491"/>
      <c r="O10" s="2491"/>
      <c r="P10" s="3444"/>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2"/>
      <c r="M11" s="2488"/>
      <c r="N11" s="2488"/>
      <c r="O11" s="2488"/>
      <c r="P11" s="3444"/>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9"/>
      <c r="M12" s="2440"/>
      <c r="N12" s="2440"/>
      <c r="O12" s="2440"/>
      <c r="P12" s="3444"/>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3"/>
      <c r="M13" s="2488"/>
      <c r="N13" s="2488"/>
      <c r="O13" s="2488"/>
      <c r="P13" s="3444"/>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
      <c r="A14" s="345" t="s">
        <v>1690</v>
      </c>
      <c r="B14" s="554" t="s">
        <v>1833</v>
      </c>
      <c r="C14" s="1819">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3"/>
      <c r="M14" s="2488"/>
      <c r="N14" s="2488"/>
      <c r="O14" s="2488"/>
      <c r="P14" s="3446" t="s">
        <v>1691</v>
      </c>
      <c r="Q14" s="1263" t="str">
        <f t="shared" si="6"/>
        <v>交通便捷度</v>
      </c>
      <c r="R14" s="667" t="s">
        <v>14</v>
      </c>
      <c r="S14" s="668">
        <f t="shared" si="0"/>
        <v>100</v>
      </c>
      <c r="T14" s="667" t="s">
        <v>14</v>
      </c>
      <c r="U14" s="668">
        <f t="shared" si="1"/>
        <v>100</v>
      </c>
      <c r="V14" s="667" t="s">
        <v>14</v>
      </c>
      <c r="W14" s="668">
        <f t="shared" si="2"/>
        <v>100</v>
      </c>
      <c r="X14" s="1265"/>
      <c r="Y14" s="3446"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3"/>
      <c r="M15" s="2488"/>
      <c r="N15" s="2488"/>
      <c r="O15" s="2488"/>
      <c r="P15" s="3447"/>
      <c r="Q15" s="1263"/>
      <c r="R15" s="667"/>
      <c r="S15" s="668"/>
      <c r="T15" s="667"/>
      <c r="U15" s="668"/>
      <c r="V15" s="667"/>
      <c r="W15" s="668"/>
      <c r="X15" s="1265"/>
      <c r="Y15" s="3447"/>
      <c r="Z15" s="1264"/>
      <c r="AA15" s="1264">
        <v>1</v>
      </c>
      <c r="AB15" s="1264">
        <v>1</v>
      </c>
      <c r="AC15" s="1264">
        <v>1</v>
      </c>
    </row>
    <row r="16" spans="1:29" ht="15">
      <c r="A16" s="348"/>
      <c r="B16" s="556" t="s">
        <v>1812</v>
      </c>
      <c r="C16" s="1754">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3"/>
      <c r="M16" s="2488"/>
      <c r="N16" s="2488"/>
      <c r="O16" s="2488"/>
      <c r="P16" s="3447"/>
      <c r="Q16" s="1263" t="str">
        <f>B16</f>
        <v>公共配套设施</v>
      </c>
      <c r="R16" s="667" t="s">
        <v>14</v>
      </c>
      <c r="S16" s="668">
        <f>F16</f>
        <v>100</v>
      </c>
      <c r="T16" s="667" t="s">
        <v>14</v>
      </c>
      <c r="U16" s="668">
        <f>H16</f>
        <v>100</v>
      </c>
      <c r="V16" s="667" t="s">
        <v>14</v>
      </c>
      <c r="W16" s="668">
        <f>J16</f>
        <v>100</v>
      </c>
      <c r="X16" s="1265"/>
      <c r="Y16" s="3447"/>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3"/>
      <c r="M17" s="2488"/>
      <c r="N17" s="2488"/>
      <c r="O17" s="2488"/>
      <c r="P17" s="3447"/>
      <c r="Q17" s="1263"/>
      <c r="R17" s="667"/>
      <c r="S17" s="668"/>
      <c r="T17" s="667"/>
      <c r="U17" s="668"/>
      <c r="V17" s="667"/>
      <c r="W17" s="668"/>
      <c r="X17" s="1265"/>
      <c r="Y17" s="3447"/>
      <c r="Z17" s="1264"/>
      <c r="AA17" s="1264">
        <v>1</v>
      </c>
      <c r="AB17" s="1264">
        <v>1</v>
      </c>
      <c r="AC17" s="1264">
        <v>1</v>
      </c>
    </row>
    <row r="18" spans="1:29" ht="15">
      <c r="A18" s="348"/>
      <c r="B18" s="557" t="s">
        <v>1813</v>
      </c>
      <c r="C18" s="1754">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3"/>
      <c r="M18" s="2488"/>
      <c r="N18" s="2488"/>
      <c r="O18" s="2488"/>
      <c r="P18" s="3447"/>
      <c r="Q18" s="1263" t="str">
        <f>B18</f>
        <v>基础设施水平</v>
      </c>
      <c r="R18" s="667" t="s">
        <v>14</v>
      </c>
      <c r="S18" s="668">
        <f>F18</f>
        <v>100</v>
      </c>
      <c r="T18" s="667" t="s">
        <v>14</v>
      </c>
      <c r="U18" s="668">
        <f>H18</f>
        <v>100</v>
      </c>
      <c r="V18" s="667" t="s">
        <v>14</v>
      </c>
      <c r="W18" s="668">
        <f>J18</f>
        <v>100</v>
      </c>
      <c r="X18" s="1265"/>
      <c r="Y18" s="3447"/>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3"/>
      <c r="M19" s="2488"/>
      <c r="N19" s="2488"/>
      <c r="O19" s="2488"/>
      <c r="P19" s="3447"/>
      <c r="Q19" s="1263"/>
      <c r="R19" s="667"/>
      <c r="S19" s="668"/>
      <c r="T19" s="667"/>
      <c r="U19" s="668"/>
      <c r="V19" s="667"/>
      <c r="W19" s="668"/>
      <c r="X19" s="1265"/>
      <c r="Y19" s="3447"/>
      <c r="Z19" s="1264"/>
      <c r="AA19" s="1264">
        <v>1</v>
      </c>
      <c r="AB19" s="1264">
        <v>1</v>
      </c>
      <c r="AC19" s="1264">
        <v>1</v>
      </c>
    </row>
    <row r="20" spans="1:29" ht="15">
      <c r="A20" s="348"/>
      <c r="B20" s="556" t="s">
        <v>1834</v>
      </c>
      <c r="C20" s="1754">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3"/>
      <c r="M20" s="2488"/>
      <c r="N20" s="2488"/>
      <c r="O20" s="2488"/>
      <c r="P20" s="3447"/>
      <c r="Q20" s="1263" t="str">
        <f>B20</f>
        <v>自然及人文环境</v>
      </c>
      <c r="R20" s="667" t="s">
        <v>14</v>
      </c>
      <c r="S20" s="668">
        <f>F20</f>
        <v>100</v>
      </c>
      <c r="T20" s="667" t="s">
        <v>14</v>
      </c>
      <c r="U20" s="668">
        <f>H20</f>
        <v>100</v>
      </c>
      <c r="V20" s="667" t="s">
        <v>14</v>
      </c>
      <c r="W20" s="668">
        <f>J20</f>
        <v>100</v>
      </c>
      <c r="X20" s="1265"/>
      <c r="Y20" s="3447"/>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3"/>
      <c r="M21" s="2488"/>
      <c r="N21" s="2488"/>
      <c r="O21" s="2488"/>
      <c r="P21" s="3447"/>
      <c r="Q21" s="1263"/>
      <c r="R21" s="667"/>
      <c r="S21" s="668"/>
      <c r="T21" s="667"/>
      <c r="U21" s="668"/>
      <c r="V21" s="667"/>
      <c r="W21" s="668"/>
      <c r="X21" s="1265"/>
      <c r="Y21" s="3447"/>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3"/>
      <c r="M22" s="2488"/>
      <c r="N22" s="2488"/>
      <c r="O22" s="2488"/>
      <c r="P22" s="3447"/>
      <c r="Q22" s="1263" t="str">
        <f>B22</f>
        <v>楼层</v>
      </c>
      <c r="R22" s="667" t="s">
        <v>14</v>
      </c>
      <c r="S22" s="668">
        <f>F22</f>
        <v>100</v>
      </c>
      <c r="T22" s="667" t="s">
        <v>14</v>
      </c>
      <c r="U22" s="668">
        <f>H22</f>
        <v>100</v>
      </c>
      <c r="V22" s="667" t="s">
        <v>14</v>
      </c>
      <c r="W22" s="668">
        <f>J22</f>
        <v>100</v>
      </c>
      <c r="X22" s="1265"/>
      <c r="Y22" s="3447"/>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3"/>
      <c r="M23" s="2488"/>
      <c r="N23" s="2488"/>
      <c r="O23" s="2488"/>
      <c r="P23" s="3447"/>
      <c r="Q23" s="1263">
        <f>B23</f>
        <v>111</v>
      </c>
      <c r="R23" s="667" t="s">
        <v>14</v>
      </c>
      <c r="S23" s="668">
        <f>F23</f>
        <v>100</v>
      </c>
      <c r="T23" s="667" t="s">
        <v>14</v>
      </c>
      <c r="U23" s="668">
        <f>H23</f>
        <v>100</v>
      </c>
      <c r="V23" s="667" t="s">
        <v>14</v>
      </c>
      <c r="W23" s="668">
        <f>J23</f>
        <v>100</v>
      </c>
      <c r="X23" s="1265"/>
      <c r="Y23" s="3447"/>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3"/>
      <c r="M24" s="2488"/>
      <c r="N24" s="2488"/>
      <c r="O24" s="2488"/>
      <c r="P24" s="3447"/>
      <c r="Q24" s="1263">
        <f t="shared" ref="Q24:Q36" si="11">B24</f>
        <v>111</v>
      </c>
      <c r="R24" s="667" t="s">
        <v>14</v>
      </c>
      <c r="S24" s="668">
        <f>F24</f>
        <v>100</v>
      </c>
      <c r="T24" s="667" t="s">
        <v>14</v>
      </c>
      <c r="U24" s="668">
        <f>H24</f>
        <v>100</v>
      </c>
      <c r="V24" s="667" t="s">
        <v>14</v>
      </c>
      <c r="W24" s="668">
        <f>J24</f>
        <v>100</v>
      </c>
      <c r="X24" s="1265"/>
      <c r="Y24" s="3447"/>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9"/>
      <c r="M25" s="2440"/>
      <c r="N25" s="2440"/>
      <c r="O25" s="2440"/>
      <c r="P25" s="3447"/>
      <c r="Q25" s="530">
        <f t="shared" si="11"/>
        <v>111</v>
      </c>
      <c r="R25" s="664" t="s">
        <v>14</v>
      </c>
      <c r="S25" s="665">
        <f>F25</f>
        <v>100</v>
      </c>
      <c r="T25" s="664" t="s">
        <v>14</v>
      </c>
      <c r="U25" s="665">
        <f>H25</f>
        <v>100</v>
      </c>
      <c r="V25" s="664" t="s">
        <v>14</v>
      </c>
      <c r="W25" s="665">
        <f>J25</f>
        <v>100</v>
      </c>
      <c r="X25" s="666"/>
      <c r="Y25" s="3447"/>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3"/>
      <c r="M26" s="2488"/>
      <c r="N26" s="2488"/>
      <c r="O26" s="2488"/>
      <c r="P26" s="3501"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1"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2"/>
      <c r="M27" s="2494"/>
      <c r="N27" s="2494"/>
      <c r="O27" s="2494"/>
      <c r="P27" s="3451"/>
      <c r="Q27" s="531" t="str">
        <f t="shared" si="11"/>
        <v>项目停车位配比</v>
      </c>
      <c r="R27" s="669" t="s">
        <v>14</v>
      </c>
      <c r="S27" s="670">
        <f t="shared" si="12"/>
        <v>100</v>
      </c>
      <c r="T27" s="669" t="s">
        <v>14</v>
      </c>
      <c r="U27" s="670">
        <f t="shared" si="13"/>
        <v>100</v>
      </c>
      <c r="V27" s="669" t="s">
        <v>14</v>
      </c>
      <c r="W27" s="670">
        <f t="shared" si="14"/>
        <v>100</v>
      </c>
      <c r="X27" s="671"/>
      <c r="Y27" s="3451"/>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3"/>
      <c r="M28" s="2488"/>
      <c r="N28" s="2488"/>
      <c r="O28" s="2488"/>
      <c r="P28" s="3451"/>
      <c r="Q28" s="1263" t="str">
        <f t="shared" si="11"/>
        <v>公共部分装修</v>
      </c>
      <c r="R28" s="667" t="s">
        <v>14</v>
      </c>
      <c r="S28" s="668">
        <f t="shared" si="12"/>
        <v>100</v>
      </c>
      <c r="T28" s="667" t="s">
        <v>14</v>
      </c>
      <c r="U28" s="668">
        <f t="shared" si="13"/>
        <v>100</v>
      </c>
      <c r="V28" s="667" t="s">
        <v>14</v>
      </c>
      <c r="W28" s="668">
        <f t="shared" si="14"/>
        <v>100</v>
      </c>
      <c r="X28" s="1265"/>
      <c r="Y28" s="3451"/>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3"/>
      <c r="M29" s="2488"/>
      <c r="N29" s="2488"/>
      <c r="O29" s="2488"/>
      <c r="P29" s="3451"/>
      <c r="Q29" s="1263" t="str">
        <f t="shared" si="11"/>
        <v>成新率</v>
      </c>
      <c r="R29" s="667" t="s">
        <v>14</v>
      </c>
      <c r="S29" s="668" t="e">
        <f t="shared" si="12"/>
        <v>#N/A</v>
      </c>
      <c r="T29" s="667" t="s">
        <v>14</v>
      </c>
      <c r="U29" s="668" t="e">
        <f t="shared" si="13"/>
        <v>#N/A</v>
      </c>
      <c r="V29" s="667" t="s">
        <v>14</v>
      </c>
      <c r="W29" s="668" t="e">
        <f t="shared" si="14"/>
        <v>#N/A</v>
      </c>
      <c r="X29" s="1265"/>
      <c r="Y29" s="3451"/>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3"/>
      <c r="M30" s="2488"/>
      <c r="N30" s="2488"/>
      <c r="O30" s="2488"/>
      <c r="P30" s="3451"/>
      <c r="Q30" s="1263" t="str">
        <f t="shared" si="11"/>
        <v>物业等级</v>
      </c>
      <c r="R30" s="667" t="s">
        <v>14</v>
      </c>
      <c r="S30" s="668">
        <f t="shared" si="12"/>
        <v>100</v>
      </c>
      <c r="T30" s="667" t="s">
        <v>14</v>
      </c>
      <c r="U30" s="668">
        <f t="shared" si="13"/>
        <v>100</v>
      </c>
      <c r="V30" s="667" t="s">
        <v>14</v>
      </c>
      <c r="W30" s="668">
        <f t="shared" si="14"/>
        <v>100</v>
      </c>
      <c r="X30" s="1265"/>
      <c r="Y30" s="3451"/>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9"/>
      <c r="M31" s="2440"/>
      <c r="N31" s="2440"/>
      <c r="O31" s="2440"/>
      <c r="P31" s="3451"/>
      <c r="Q31" s="530" t="str">
        <f t="shared" si="11"/>
        <v>停车位面积</v>
      </c>
      <c r="R31" s="664" t="s">
        <v>14</v>
      </c>
      <c r="S31" s="665" t="e">
        <f t="shared" si="12"/>
        <v>#N/A</v>
      </c>
      <c r="T31" s="664" t="s">
        <v>14</v>
      </c>
      <c r="U31" s="665" t="e">
        <f t="shared" si="13"/>
        <v>#N/A</v>
      </c>
      <c r="V31" s="664" t="s">
        <v>14</v>
      </c>
      <c r="W31" s="665" t="e">
        <f t="shared" si="14"/>
        <v>#N/A</v>
      </c>
      <c r="X31" s="666"/>
      <c r="Y31" s="3451"/>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3"/>
      <c r="M32" s="2488"/>
      <c r="N32" s="2488"/>
      <c r="O32" s="2488"/>
      <c r="P32" s="3451" t="s">
        <v>1696</v>
      </c>
      <c r="Q32" s="1263" t="str">
        <f t="shared" si="11"/>
        <v>车位类型</v>
      </c>
      <c r="R32" s="667" t="s">
        <v>14</v>
      </c>
      <c r="S32" s="668">
        <f t="shared" si="12"/>
        <v>100</v>
      </c>
      <c r="T32" s="667" t="s">
        <v>14</v>
      </c>
      <c r="U32" s="668">
        <f t="shared" si="13"/>
        <v>100</v>
      </c>
      <c r="V32" s="667" t="s">
        <v>14</v>
      </c>
      <c r="W32" s="668">
        <f t="shared" si="14"/>
        <v>100</v>
      </c>
      <c r="X32" s="1265"/>
      <c r="Y32" s="3451"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3"/>
      <c r="M33" s="2488"/>
      <c r="N33" s="2488"/>
      <c r="O33" s="2488"/>
      <c r="P33" s="3451"/>
      <c r="Q33" s="1263" t="str">
        <f t="shared" si="11"/>
        <v>是否直接入户</v>
      </c>
      <c r="R33" s="667" t="s">
        <v>14</v>
      </c>
      <c r="S33" s="668">
        <f t="shared" si="12"/>
        <v>100</v>
      </c>
      <c r="T33" s="667" t="s">
        <v>14</v>
      </c>
      <c r="U33" s="668">
        <f t="shared" si="13"/>
        <v>100</v>
      </c>
      <c r="V33" s="667" t="s">
        <v>14</v>
      </c>
      <c r="W33" s="668">
        <f t="shared" si="14"/>
        <v>100</v>
      </c>
      <c r="X33" s="1265"/>
      <c r="Y33" s="3451"/>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3"/>
      <c r="M34" s="2488"/>
      <c r="N34" s="2488"/>
      <c r="O34" s="2488"/>
      <c r="P34" s="3451"/>
      <c r="Q34" s="1263">
        <f t="shared" si="11"/>
        <v>111</v>
      </c>
      <c r="R34" s="667" t="s">
        <v>14</v>
      </c>
      <c r="S34" s="668">
        <f t="shared" si="12"/>
        <v>100</v>
      </c>
      <c r="T34" s="667" t="s">
        <v>14</v>
      </c>
      <c r="U34" s="668">
        <f t="shared" si="13"/>
        <v>100</v>
      </c>
      <c r="V34" s="667" t="s">
        <v>14</v>
      </c>
      <c r="W34" s="668">
        <f t="shared" si="14"/>
        <v>100</v>
      </c>
      <c r="X34" s="1265"/>
      <c r="Y34" s="3451"/>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2"/>
      <c r="M35" s="2494"/>
      <c r="N35" s="2494"/>
      <c r="O35" s="2494"/>
      <c r="P35" s="3451"/>
      <c r="Q35" s="531">
        <f t="shared" si="11"/>
        <v>111</v>
      </c>
      <c r="R35" s="669" t="s">
        <v>14</v>
      </c>
      <c r="S35" s="670">
        <f t="shared" si="12"/>
        <v>100</v>
      </c>
      <c r="T35" s="669" t="s">
        <v>14</v>
      </c>
      <c r="U35" s="670">
        <f t="shared" si="13"/>
        <v>100</v>
      </c>
      <c r="V35" s="669" t="s">
        <v>14</v>
      </c>
      <c r="W35" s="670">
        <f t="shared" si="14"/>
        <v>100</v>
      </c>
      <c r="X35" s="671"/>
      <c r="Y35" s="3451"/>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3"/>
      <c r="M36" s="2488"/>
      <c r="N36" s="2488"/>
      <c r="O36" s="2488"/>
      <c r="P36" s="3451"/>
      <c r="Q36" s="1263">
        <f t="shared" si="11"/>
        <v>111</v>
      </c>
      <c r="R36" s="667" t="s">
        <v>14</v>
      </c>
      <c r="S36" s="668">
        <f t="shared" si="12"/>
        <v>100</v>
      </c>
      <c r="T36" s="667" t="s">
        <v>14</v>
      </c>
      <c r="U36" s="668">
        <f t="shared" si="13"/>
        <v>100</v>
      </c>
      <c r="V36" s="667" t="s">
        <v>14</v>
      </c>
      <c r="W36" s="668">
        <f t="shared" si="14"/>
        <v>100</v>
      </c>
      <c r="X36" s="1265"/>
      <c r="Y36" s="3451"/>
      <c r="Z36" s="1264">
        <f t="shared" si="15"/>
        <v>111</v>
      </c>
      <c r="AA36" s="1264">
        <f t="shared" si="3"/>
        <v>1</v>
      </c>
      <c r="AB36" s="1264">
        <f t="shared" si="4"/>
        <v>1</v>
      </c>
      <c r="AC36" s="1264">
        <f t="shared" si="5"/>
        <v>1</v>
      </c>
    </row>
    <row r="37" spans="1:29" ht="15">
      <c r="A37" s="416" t="s">
        <v>1844</v>
      </c>
      <c r="B37" s="1821" t="s">
        <v>3344</v>
      </c>
      <c r="C37" s="1081" t="s">
        <v>0</v>
      </c>
      <c r="D37" s="418"/>
      <c r="E37" s="419"/>
      <c r="F37" s="420"/>
      <c r="G37" s="421"/>
      <c r="H37" s="422"/>
      <c r="I37" s="419"/>
      <c r="J37" s="422"/>
      <c r="K37" s="545"/>
      <c r="L37" s="2495"/>
      <c r="M37" s="2488"/>
      <c r="N37" s="2488"/>
      <c r="O37" s="2488"/>
      <c r="P37" s="3444" t="str">
        <f>A37</f>
        <v>成交单价</v>
      </c>
      <c r="Q37" s="3444"/>
      <c r="R37" s="3445">
        <f>E37</f>
        <v>0</v>
      </c>
      <c r="S37" s="3445"/>
      <c r="T37" s="3445">
        <f>G37</f>
        <v>0</v>
      </c>
      <c r="U37" s="3445"/>
      <c r="V37" s="3445">
        <f>I37</f>
        <v>0</v>
      </c>
      <c r="W37" s="344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5"/>
      <c r="M38" s="2488"/>
      <c r="N38" s="2488"/>
      <c r="O38" s="2488"/>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5"/>
      <c r="M39" s="2488"/>
      <c r="N39" s="2488"/>
      <c r="O39" s="2488"/>
      <c r="P39" s="3441" t="str">
        <f>A39</f>
        <v>估价对象XX用房的比较价值（楼面单价，元/平方米）</v>
      </c>
      <c r="Q39" s="3442"/>
      <c r="R39" s="3502" t="e">
        <f>IF(F1="售价",ROUND(IF(D38="简单平均",AVERAGE(R38:W38),R38*F38+T38*H38+V38*J38),0),ROUND(IF(D38="简单平均",AVERAGE(R38:V38),R38*F38+T38*H38+V38*J38),1))</f>
        <v>#DIV/0!</v>
      </c>
      <c r="S39" s="3502"/>
      <c r="T39" s="3502"/>
      <c r="U39" s="3502"/>
      <c r="V39" s="3502"/>
      <c r="W39" s="3502"/>
      <c r="X39" s="385"/>
      <c r="Y39" s="385"/>
      <c r="Z39" s="385"/>
      <c r="AA39" s="385"/>
      <c r="AB39" s="385"/>
      <c r="AC39" s="385"/>
    </row>
    <row r="40" spans="1:29">
      <c r="A40" s="2488"/>
      <c r="B40" s="2488"/>
      <c r="C40" s="2488"/>
      <c r="D40" s="2488"/>
      <c r="E40" s="2488"/>
      <c r="F40" s="2488"/>
      <c r="G40" s="2499"/>
      <c r="H40" s="2488"/>
      <c r="I40" s="2488"/>
      <c r="J40" s="2488"/>
      <c r="K40" s="2500"/>
      <c r="L40" s="2496"/>
      <c r="M40" s="2488"/>
      <c r="N40" s="2488"/>
      <c r="O40" s="2488"/>
      <c r="P40" s="2524"/>
      <c r="Q40" s="2488"/>
      <c r="R40" s="2488"/>
      <c r="S40" s="2488"/>
      <c r="T40" s="2488"/>
      <c r="U40" s="2488"/>
      <c r="V40" s="2488"/>
      <c r="W40" s="2488"/>
      <c r="X40" s="2488"/>
      <c r="Y40" s="2488"/>
      <c r="Z40" s="2488"/>
      <c r="AA40" s="2488"/>
      <c r="AB40" s="2488"/>
      <c r="AC40" s="2488"/>
    </row>
    <row r="41" spans="1:29">
      <c r="A41" s="2488"/>
      <c r="B41" s="2488"/>
      <c r="C41" s="2488"/>
      <c r="D41" s="2488"/>
      <c r="E41" s="2488"/>
      <c r="F41" s="2488"/>
      <c r="G41" s="2488"/>
      <c r="H41" s="2488"/>
      <c r="I41" s="2488"/>
      <c r="J41" s="2488"/>
      <c r="K41" s="2500"/>
      <c r="L41" s="2496"/>
      <c r="M41" s="2488"/>
      <c r="N41" s="2488"/>
      <c r="O41" s="2488"/>
      <c r="P41" s="2524"/>
      <c r="Q41" s="2488"/>
      <c r="R41" s="2488"/>
      <c r="S41" s="2488"/>
      <c r="T41" s="2488"/>
      <c r="U41" s="2488"/>
      <c r="V41" s="2488"/>
      <c r="W41" s="2488"/>
      <c r="X41" s="2488"/>
      <c r="Y41" s="2488"/>
      <c r="Z41" s="2488"/>
      <c r="AA41" s="2488"/>
      <c r="AB41" s="2488"/>
      <c r="AC41" s="2488"/>
    </row>
    <row r="42" spans="1:29" ht="13.5" customHeight="1">
      <c r="A42" s="2488"/>
      <c r="B42" s="2488"/>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500"/>
      <c r="L42" s="2496"/>
      <c r="M42" s="2488"/>
      <c r="N42" s="2488"/>
      <c r="O42" s="2488"/>
      <c r="P42" s="2524"/>
      <c r="Q42" s="2488"/>
      <c r="R42" s="2488"/>
      <c r="S42" s="2488"/>
      <c r="T42" s="2488"/>
      <c r="U42" s="2488"/>
      <c r="V42" s="2488"/>
      <c r="W42" s="2488"/>
      <c r="X42" s="2488"/>
      <c r="Y42" s="2488"/>
      <c r="Z42" s="2488"/>
      <c r="AA42" s="2488"/>
      <c r="AB42" s="2488"/>
      <c r="AC42" s="2488"/>
    </row>
    <row r="43" spans="1:29" ht="13.5" customHeight="1">
      <c r="A43" s="2488"/>
      <c r="B43" s="2488"/>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500"/>
      <c r="L43" s="2496"/>
      <c r="M43" s="2488"/>
      <c r="N43" s="2488"/>
      <c r="O43" s="2488"/>
      <c r="P43" s="2524"/>
      <c r="Q43" s="2488"/>
      <c r="R43" s="2488"/>
      <c r="S43" s="2488"/>
      <c r="T43" s="2488"/>
      <c r="U43" s="2488"/>
      <c r="V43" s="2488"/>
      <c r="W43" s="2488"/>
      <c r="X43" s="2488"/>
      <c r="Y43" s="2488"/>
      <c r="Z43" s="2488"/>
      <c r="AA43" s="2488"/>
      <c r="AB43" s="2488"/>
      <c r="AC43" s="2488"/>
    </row>
    <row r="44" spans="1:29" s="437" customFormat="1" ht="13.5" customHeight="1">
      <c r="A44" s="2498"/>
      <c r="B44" s="2498"/>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3"/>
      <c r="L44" s="2497"/>
      <c r="M44" s="2498"/>
      <c r="N44" s="2498"/>
      <c r="O44" s="2498"/>
      <c r="P44" s="2525"/>
      <c r="Q44" s="2498"/>
      <c r="R44" s="2498"/>
      <c r="S44" s="2498"/>
      <c r="T44" s="2498"/>
      <c r="U44" s="2498"/>
      <c r="V44" s="2498"/>
      <c r="W44" s="2498"/>
      <c r="X44" s="2498"/>
      <c r="Y44" s="2498"/>
      <c r="Z44" s="2498"/>
      <c r="AA44" s="2498"/>
      <c r="AB44" s="2498"/>
      <c r="AC44" s="2498"/>
    </row>
    <row r="45" spans="1:29" s="437" customFormat="1">
      <c r="A45" s="2498"/>
      <c r="B45" s="2501"/>
      <c r="C45" s="2502"/>
      <c r="D45" s="2498"/>
      <c r="E45" s="2498"/>
      <c r="F45" s="2498"/>
      <c r="G45" s="2498"/>
      <c r="H45" s="2498"/>
      <c r="I45" s="2498"/>
      <c r="J45" s="2498"/>
      <c r="K45" s="2503"/>
      <c r="L45" s="2497"/>
      <c r="M45" s="2498"/>
      <c r="N45" s="2498"/>
      <c r="O45" s="2498"/>
      <c r="P45" s="2525"/>
      <c r="Q45" s="2498"/>
      <c r="R45" s="2498"/>
      <c r="S45" s="2498"/>
      <c r="T45" s="2498"/>
      <c r="U45" s="2498"/>
      <c r="V45" s="2498"/>
      <c r="W45" s="2498"/>
      <c r="X45" s="2498"/>
      <c r="Y45" s="2498"/>
      <c r="Z45" s="2498"/>
      <c r="AA45" s="2498"/>
      <c r="AB45" s="2498"/>
      <c r="AC45" s="2498"/>
    </row>
    <row r="46" spans="1:29">
      <c r="A46" s="2488"/>
      <c r="B46" s="2501"/>
      <c r="C46" s="2502"/>
      <c r="D46" s="2488"/>
      <c r="E46" s="2488"/>
      <c r="F46" s="2488"/>
      <c r="G46" s="2488"/>
      <c r="H46" s="2488"/>
      <c r="I46" s="2488"/>
      <c r="J46" s="2488"/>
      <c r="K46" s="2500"/>
      <c r="L46" s="2496"/>
      <c r="M46" s="2488"/>
      <c r="N46" s="2488"/>
      <c r="O46" s="2488"/>
      <c r="P46" s="2524"/>
      <c r="Q46" s="2488"/>
      <c r="R46" s="2488"/>
      <c r="S46" s="2488"/>
      <c r="T46" s="2488"/>
      <c r="U46" s="2488"/>
      <c r="V46" s="2488"/>
      <c r="W46" s="2488"/>
      <c r="X46" s="2488"/>
      <c r="Y46" s="2488"/>
      <c r="Z46" s="2488"/>
      <c r="AA46" s="2488"/>
      <c r="AB46" s="2488"/>
      <c r="AC46" s="2488"/>
    </row>
    <row r="47" spans="1:29" ht="21.75" thickBot="1">
      <c r="A47" s="1087" t="s">
        <v>1850</v>
      </c>
      <c r="B47" s="861"/>
      <c r="C47" s="886"/>
      <c r="D47" s="886"/>
      <c r="E47" s="886"/>
      <c r="F47" s="1088"/>
      <c r="G47" s="1088"/>
      <c r="H47" s="886"/>
      <c r="I47" s="886"/>
      <c r="J47" s="886"/>
      <c r="K47" s="887"/>
      <c r="L47" s="888"/>
      <c r="M47" s="886"/>
      <c r="N47" s="2537"/>
      <c r="O47" s="2537"/>
      <c r="P47" s="2526"/>
      <c r="Q47" s="2509"/>
      <c r="R47" s="2488"/>
      <c r="S47" s="2488"/>
      <c r="T47" s="2488"/>
      <c r="U47" s="2488"/>
      <c r="V47" s="2488"/>
      <c r="W47" s="2488"/>
      <c r="X47" s="2488"/>
      <c r="Y47" s="2488"/>
      <c r="Z47" s="2488"/>
      <c r="AA47" s="2488"/>
      <c r="AB47" s="2488"/>
      <c r="AC47" s="2488"/>
    </row>
    <row r="48" spans="1:29" s="442" customFormat="1" ht="15">
      <c r="A48" s="440" t="s">
        <v>1851</v>
      </c>
      <c r="B48" s="441"/>
      <c r="C48" s="1103" t="str">
        <f>YEAR(C7)&amp;"-"&amp;MONTH(C7)</f>
        <v>2025-5</v>
      </c>
      <c r="D48" s="1104">
        <f>EDATE(C48,-1)</f>
        <v>45748</v>
      </c>
      <c r="E48" s="1104">
        <f t="shared" ref="E48:O48" si="16">EDATE(D48,-1)</f>
        <v>45717</v>
      </c>
      <c r="F48" s="1104">
        <f t="shared" si="16"/>
        <v>45689</v>
      </c>
      <c r="G48" s="1104">
        <f t="shared" si="16"/>
        <v>45658</v>
      </c>
      <c r="H48" s="1104">
        <f t="shared" si="16"/>
        <v>45627</v>
      </c>
      <c r="I48" s="1104">
        <f t="shared" si="16"/>
        <v>45597</v>
      </c>
      <c r="J48" s="1104">
        <f t="shared" si="16"/>
        <v>45566</v>
      </c>
      <c r="K48" s="1104">
        <f t="shared" si="16"/>
        <v>45536</v>
      </c>
      <c r="L48" s="1104">
        <f t="shared" si="16"/>
        <v>45505</v>
      </c>
      <c r="M48" s="1104">
        <f t="shared" si="16"/>
        <v>45474</v>
      </c>
      <c r="N48" s="1104">
        <f t="shared" si="16"/>
        <v>45444</v>
      </c>
      <c r="O48" s="1104">
        <f t="shared" si="16"/>
        <v>45413</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40"/>
      <c r="R49" s="2440"/>
      <c r="S49" s="2440"/>
      <c r="T49" s="2440"/>
      <c r="U49" s="2440"/>
      <c r="V49" s="2440"/>
      <c r="W49" s="2440"/>
      <c r="X49" s="2440"/>
      <c r="Y49" s="2440"/>
      <c r="Z49" s="2440"/>
      <c r="AA49" s="2440"/>
      <c r="AB49" s="2440"/>
      <c r="AC49" s="2440"/>
    </row>
    <row r="50" spans="1:29" s="102" customFormat="1" ht="15.75" thickBot="1">
      <c r="A50" s="449" t="s">
        <v>1716</v>
      </c>
      <c r="B50" s="450"/>
      <c r="C50" s="451"/>
      <c r="D50" s="452"/>
      <c r="E50" s="452"/>
      <c r="F50" s="452"/>
      <c r="G50" s="452"/>
      <c r="H50" s="452"/>
      <c r="I50" s="452"/>
      <c r="J50" s="452"/>
      <c r="K50" s="452"/>
      <c r="L50" s="452"/>
      <c r="M50" s="453"/>
      <c r="N50" s="452"/>
      <c r="O50" s="453"/>
      <c r="P50" s="2528"/>
      <c r="Q50" s="2509"/>
      <c r="R50" s="2440"/>
      <c r="S50" s="2440"/>
      <c r="T50" s="2440"/>
      <c r="U50" s="2440"/>
      <c r="V50" s="2440"/>
      <c r="W50" s="2440"/>
      <c r="X50" s="2440"/>
      <c r="Y50" s="2440"/>
      <c r="Z50" s="2440"/>
      <c r="AA50" s="2440"/>
      <c r="AB50" s="2440"/>
      <c r="AC50" s="2440"/>
    </row>
    <row r="51" spans="1:29" s="102" customFormat="1" ht="15">
      <c r="A51" s="455" t="s">
        <v>1681</v>
      </c>
      <c r="B51" s="444"/>
      <c r="C51" s="456" t="s">
        <v>1776</v>
      </c>
      <c r="D51" s="31"/>
      <c r="E51" s="31"/>
      <c r="F51" s="31"/>
      <c r="G51" s="31"/>
      <c r="H51" s="31"/>
      <c r="I51" s="31"/>
      <c r="J51" s="31"/>
      <c r="K51" s="31"/>
      <c r="L51" s="457"/>
      <c r="M51" s="458"/>
      <c r="N51" s="2520"/>
      <c r="O51" s="2520"/>
      <c r="P51" s="2529"/>
      <c r="Q51" s="2509"/>
      <c r="R51" s="2440"/>
      <c r="S51" s="2440"/>
      <c r="T51" s="2440"/>
      <c r="U51" s="2440"/>
      <c r="V51" s="2440"/>
      <c r="W51" s="2440"/>
      <c r="X51" s="2440"/>
      <c r="Y51" s="2440"/>
      <c r="Z51" s="2440"/>
      <c r="AA51" s="2440"/>
      <c r="AB51" s="2440"/>
      <c r="AC51" s="2440"/>
    </row>
    <row r="52" spans="1:29" s="102" customFormat="1" ht="15.75" thickBot="1">
      <c r="A52" s="455"/>
      <c r="B52" s="444"/>
      <c r="C52" s="563">
        <v>100</v>
      </c>
      <c r="D52" s="446"/>
      <c r="E52" s="446"/>
      <c r="F52" s="446"/>
      <c r="G52" s="446"/>
      <c r="H52" s="446"/>
      <c r="I52" s="446"/>
      <c r="J52" s="446"/>
      <c r="K52" s="446"/>
      <c r="L52" s="446"/>
      <c r="M52" s="448"/>
      <c r="N52" s="2520"/>
      <c r="O52" s="2520"/>
      <c r="P52" s="2528"/>
      <c r="Q52" s="2509"/>
      <c r="R52" s="2440"/>
      <c r="S52" s="2440"/>
      <c r="T52" s="2440"/>
      <c r="U52" s="2440"/>
      <c r="V52" s="2440"/>
      <c r="W52" s="2440"/>
      <c r="X52" s="2440"/>
      <c r="Y52" s="2440"/>
      <c r="Z52" s="2440"/>
      <c r="AA52" s="2440"/>
      <c r="AB52" s="2440"/>
      <c r="AC52" s="2440"/>
    </row>
    <row r="53" spans="1:29">
      <c r="A53" s="379" t="s">
        <v>1719</v>
      </c>
      <c r="B53" s="460" t="s">
        <v>1685</v>
      </c>
      <c r="C53" s="461">
        <f>C9</f>
        <v>0</v>
      </c>
      <c r="D53" s="462"/>
      <c r="E53" s="462"/>
      <c r="F53" s="462"/>
      <c r="G53" s="462"/>
      <c r="H53" s="462"/>
      <c r="I53" s="462"/>
      <c r="J53" s="462"/>
      <c r="K53" s="463"/>
      <c r="L53" s="464"/>
      <c r="M53" s="465"/>
      <c r="N53" s="2521"/>
      <c r="O53" s="2521"/>
      <c r="P53" s="2530"/>
      <c r="Q53" s="2509"/>
      <c r="R53" s="2488"/>
      <c r="S53" s="2488"/>
      <c r="T53" s="2488"/>
      <c r="U53" s="2488"/>
      <c r="V53" s="2488"/>
      <c r="W53" s="2488"/>
      <c r="X53" s="2488"/>
      <c r="Y53" s="2488"/>
      <c r="Z53" s="2488"/>
      <c r="AA53" s="2488"/>
      <c r="AB53" s="2488"/>
      <c r="AC53" s="2488"/>
    </row>
    <row r="54" spans="1:29" ht="15.75" thickBot="1">
      <c r="A54" s="367"/>
      <c r="B54" s="466"/>
      <c r="C54" s="467">
        <v>100</v>
      </c>
      <c r="D54" s="467"/>
      <c r="E54" s="467"/>
      <c r="F54" s="467"/>
      <c r="G54" s="467"/>
      <c r="H54" s="467"/>
      <c r="I54" s="467"/>
      <c r="J54" s="467"/>
      <c r="K54" s="467"/>
      <c r="L54" s="467"/>
      <c r="M54" s="468"/>
      <c r="N54" s="2522"/>
      <c r="O54" s="2522"/>
      <c r="P54" s="2530"/>
      <c r="Q54" s="2509"/>
      <c r="R54" s="2488"/>
      <c r="S54" s="2488"/>
      <c r="T54" s="2488"/>
      <c r="U54" s="2488"/>
      <c r="V54" s="2488"/>
      <c r="W54" s="2488"/>
      <c r="X54" s="2488"/>
      <c r="Y54" s="2488"/>
      <c r="Z54" s="2488"/>
      <c r="AA54" s="2488"/>
      <c r="AB54" s="2488"/>
      <c r="AC54" s="2488"/>
    </row>
    <row r="55" spans="1:29" ht="27.75" thickTop="1">
      <c r="A55" s="367"/>
      <c r="B55" s="469" t="s">
        <v>1688</v>
      </c>
      <c r="C55" s="513"/>
      <c r="D55" s="513"/>
      <c r="E55" s="513"/>
      <c r="F55" s="513"/>
      <c r="G55" s="513"/>
      <c r="H55" s="513"/>
      <c r="I55" s="513"/>
      <c r="J55" s="513"/>
      <c r="K55" s="514"/>
      <c r="L55" s="515"/>
      <c r="M55" s="516"/>
      <c r="N55" s="2521"/>
      <c r="O55" s="2521"/>
      <c r="P55" s="2530"/>
      <c r="Q55" s="2509"/>
      <c r="R55" s="2488"/>
      <c r="S55" s="2488"/>
      <c r="T55" s="2488"/>
      <c r="U55" s="2488"/>
      <c r="V55" s="2488"/>
      <c r="W55" s="2488"/>
      <c r="X55" s="2488"/>
      <c r="Y55" s="2488"/>
      <c r="Z55" s="2488"/>
      <c r="AA55" s="2488"/>
      <c r="AB55" s="2488"/>
      <c r="AC55" s="2488"/>
    </row>
    <row r="56" spans="1:29" ht="15.75" thickBot="1">
      <c r="A56" s="367"/>
      <c r="B56" s="474"/>
      <c r="C56" s="467"/>
      <c r="D56" s="467"/>
      <c r="E56" s="467"/>
      <c r="F56" s="467"/>
      <c r="G56" s="467"/>
      <c r="H56" s="467"/>
      <c r="I56" s="467"/>
      <c r="J56" s="467"/>
      <c r="K56" s="467"/>
      <c r="L56" s="467"/>
      <c r="M56" s="468"/>
      <c r="N56" s="2522"/>
      <c r="O56" s="2522"/>
      <c r="P56" s="2530"/>
      <c r="Q56" s="2509"/>
      <c r="R56" s="2488"/>
      <c r="S56" s="2488"/>
      <c r="T56" s="2488"/>
      <c r="U56" s="2488"/>
      <c r="V56" s="2488"/>
      <c r="W56" s="2488"/>
      <c r="X56" s="2488"/>
      <c r="Y56" s="2488"/>
      <c r="Z56" s="2488"/>
      <c r="AA56" s="2488"/>
      <c r="AB56" s="2488"/>
      <c r="AC56" s="2488"/>
    </row>
    <row r="57" spans="1:29" ht="15.75" thickTop="1">
      <c r="A57" s="367"/>
      <c r="B57" s="581">
        <f>B11</f>
        <v>111</v>
      </c>
      <c r="C57" s="480"/>
      <c r="D57" s="480"/>
      <c r="E57" s="480"/>
      <c r="F57" s="480"/>
      <c r="G57" s="480"/>
      <c r="H57" s="480"/>
      <c r="I57" s="480"/>
      <c r="J57" s="480"/>
      <c r="K57" s="481"/>
      <c r="L57" s="482"/>
      <c r="M57" s="483"/>
      <c r="N57" s="2521"/>
      <c r="O57" s="2521"/>
      <c r="P57" s="2530"/>
      <c r="Q57" s="2509"/>
      <c r="R57" s="2488"/>
      <c r="S57" s="2488"/>
      <c r="T57" s="2488"/>
      <c r="U57" s="2488"/>
      <c r="V57" s="2488"/>
      <c r="W57" s="2488"/>
      <c r="X57" s="2488"/>
      <c r="Y57" s="2488"/>
      <c r="Z57" s="2488"/>
      <c r="AA57" s="2488"/>
      <c r="AB57" s="2488"/>
      <c r="AC57" s="2488"/>
    </row>
    <row r="58" spans="1:29" ht="15.75" thickBot="1">
      <c r="A58" s="367"/>
      <c r="B58" s="466"/>
      <c r="C58" s="491"/>
      <c r="D58" s="467"/>
      <c r="E58" s="467"/>
      <c r="F58" s="467"/>
      <c r="G58" s="467"/>
      <c r="H58" s="467"/>
      <c r="I58" s="467"/>
      <c r="J58" s="467"/>
      <c r="K58" s="467"/>
      <c r="L58" s="467"/>
      <c r="M58" s="468"/>
      <c r="N58" s="2522"/>
      <c r="O58" s="2522"/>
      <c r="P58" s="2530"/>
      <c r="Q58" s="2509"/>
      <c r="R58" s="2488"/>
      <c r="S58" s="2488"/>
      <c r="T58" s="2488"/>
      <c r="U58" s="2488"/>
      <c r="V58" s="2488"/>
      <c r="W58" s="2488"/>
      <c r="X58" s="2488"/>
      <c r="Y58" s="2488"/>
      <c r="Z58" s="2488"/>
      <c r="AA58" s="2488"/>
      <c r="AB58" s="2488"/>
      <c r="AC58" s="2488"/>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4"/>
      <c r="S59" s="2494"/>
      <c r="T59" s="2494"/>
      <c r="U59" s="2494"/>
      <c r="V59" s="2494"/>
      <c r="W59" s="2494"/>
      <c r="X59" s="2494"/>
      <c r="Y59" s="2494"/>
      <c r="Z59" s="2494"/>
      <c r="AA59" s="2494"/>
      <c r="AB59" s="2494"/>
      <c r="AC59" s="2494"/>
    </row>
    <row r="60" spans="1:29" s="408" customFormat="1" ht="15.75" thickBot="1">
      <c r="A60" s="484"/>
      <c r="B60" s="474"/>
      <c r="C60" s="491"/>
      <c r="D60" s="467"/>
      <c r="E60" s="467"/>
      <c r="F60" s="467"/>
      <c r="G60" s="467"/>
      <c r="H60" s="467"/>
      <c r="I60" s="467"/>
      <c r="J60" s="467"/>
      <c r="K60" s="467"/>
      <c r="L60" s="467"/>
      <c r="M60" s="468"/>
      <c r="N60" s="2522"/>
      <c r="O60" s="2522"/>
      <c r="P60" s="2531"/>
      <c r="Q60" s="2515"/>
      <c r="R60" s="2494"/>
      <c r="S60" s="2494"/>
      <c r="T60" s="2494"/>
      <c r="U60" s="2494"/>
      <c r="V60" s="2494"/>
      <c r="W60" s="2494"/>
      <c r="X60" s="2494"/>
      <c r="Y60" s="2494"/>
      <c r="Z60" s="2494"/>
      <c r="AA60" s="2494"/>
      <c r="AB60" s="2494"/>
      <c r="AC60" s="2494"/>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4"/>
      <c r="S61" s="2494"/>
      <c r="T61" s="2494"/>
      <c r="U61" s="2494"/>
      <c r="V61" s="2494"/>
      <c r="W61" s="2494"/>
      <c r="X61" s="2494"/>
      <c r="Y61" s="2494"/>
      <c r="Z61" s="2494"/>
      <c r="AA61" s="2494"/>
      <c r="AB61" s="2494"/>
      <c r="AC61" s="2494"/>
    </row>
    <row r="62" spans="1:29" s="408" customFormat="1" ht="15.75" thickBot="1">
      <c r="A62" s="484"/>
      <c r="B62" s="474"/>
      <c r="C62" s="491"/>
      <c r="D62" s="491"/>
      <c r="E62" s="491"/>
      <c r="F62" s="491"/>
      <c r="G62" s="491"/>
      <c r="H62" s="493"/>
      <c r="I62" s="493"/>
      <c r="J62" s="493"/>
      <c r="K62" s="493"/>
      <c r="L62" s="493"/>
      <c r="M62" s="494"/>
      <c r="N62" s="2523"/>
      <c r="O62" s="2523"/>
      <c r="P62" s="2531"/>
      <c r="Q62" s="2515"/>
      <c r="R62" s="2494"/>
      <c r="S62" s="2494"/>
      <c r="T62" s="2494"/>
      <c r="U62" s="2494"/>
      <c r="V62" s="2494"/>
      <c r="W62" s="2494"/>
      <c r="X62" s="2494"/>
      <c r="Y62" s="2494"/>
      <c r="Z62" s="2494"/>
      <c r="AA62" s="2494"/>
      <c r="AB62" s="2494"/>
      <c r="AC62" s="2494"/>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9"/>
      <c r="R63" s="2488"/>
      <c r="S63" s="2488"/>
      <c r="T63" s="2488"/>
      <c r="U63" s="2488"/>
      <c r="V63" s="2488"/>
      <c r="W63" s="2488"/>
      <c r="X63" s="2488"/>
      <c r="Y63" s="2488"/>
      <c r="Z63" s="2488"/>
      <c r="AA63" s="2488"/>
      <c r="AB63" s="2488"/>
      <c r="AC63" s="2488"/>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9"/>
      <c r="R64" s="2488"/>
      <c r="S64" s="2488"/>
      <c r="T64" s="2488"/>
      <c r="U64" s="2488"/>
      <c r="V64" s="2488"/>
      <c r="W64" s="2488"/>
      <c r="X64" s="2488"/>
      <c r="Y64" s="2488"/>
      <c r="Z64" s="2488"/>
      <c r="AA64" s="2488"/>
      <c r="AB64" s="2488"/>
      <c r="AC64" s="2488"/>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9"/>
      <c r="R65" s="2488"/>
      <c r="S65" s="2488"/>
      <c r="T65" s="2488"/>
      <c r="U65" s="2488"/>
      <c r="V65" s="2488"/>
      <c r="W65" s="2488"/>
      <c r="X65" s="2488"/>
      <c r="Y65" s="2488"/>
      <c r="Z65" s="2488"/>
      <c r="AA65" s="2488"/>
      <c r="AB65" s="2488"/>
      <c r="AC65" s="2488"/>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9"/>
      <c r="R66" s="2488"/>
      <c r="S66" s="2488"/>
      <c r="T66" s="2488"/>
      <c r="U66" s="2488"/>
      <c r="V66" s="2488"/>
      <c r="W66" s="2488"/>
      <c r="X66" s="2488"/>
      <c r="Y66" s="2488"/>
      <c r="Z66" s="2488"/>
      <c r="AA66" s="2488"/>
      <c r="AB66" s="2488"/>
      <c r="AC66" s="2488"/>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9"/>
      <c r="R67" s="2488"/>
      <c r="S67" s="2488"/>
      <c r="T67" s="2488"/>
      <c r="U67" s="2488"/>
      <c r="V67" s="2488"/>
      <c r="W67" s="2488"/>
      <c r="X67" s="2488"/>
      <c r="Y67" s="2488"/>
      <c r="Z67" s="2488"/>
      <c r="AA67" s="2488"/>
      <c r="AB67" s="2488"/>
      <c r="AC67" s="2488"/>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9"/>
      <c r="R68" s="2488"/>
      <c r="S68" s="2488"/>
      <c r="T68" s="2488"/>
      <c r="U68" s="2488"/>
      <c r="V68" s="2488"/>
      <c r="W68" s="2488"/>
      <c r="X68" s="2488"/>
      <c r="Y68" s="2488"/>
      <c r="Z68" s="2488"/>
      <c r="AA68" s="2488"/>
      <c r="AB68" s="2488"/>
      <c r="AC68" s="2488"/>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9"/>
      <c r="R69" s="2488"/>
      <c r="S69" s="2488"/>
      <c r="T69" s="2488"/>
      <c r="U69" s="2488"/>
      <c r="V69" s="2488"/>
      <c r="W69" s="2488"/>
      <c r="X69" s="2488"/>
      <c r="Y69" s="2488"/>
      <c r="Z69" s="2488"/>
      <c r="AA69" s="2488"/>
      <c r="AB69" s="2488"/>
      <c r="AC69" s="2488"/>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9"/>
      <c r="R70" s="2488"/>
      <c r="S70" s="2488"/>
      <c r="T70" s="2488"/>
      <c r="U70" s="2488"/>
      <c r="V70" s="2488"/>
      <c r="W70" s="2488"/>
      <c r="X70" s="2488"/>
      <c r="Y70" s="2488"/>
      <c r="Z70" s="2488"/>
      <c r="AA70" s="2488"/>
      <c r="AB70" s="2488"/>
      <c r="AC70" s="2488"/>
    </row>
    <row r="71" spans="1:29" ht="15.75" thickTop="1">
      <c r="A71" s="367"/>
      <c r="B71" s="469" t="s">
        <v>1852</v>
      </c>
      <c r="C71" s="485"/>
      <c r="D71" s="485"/>
      <c r="E71" s="485"/>
      <c r="F71" s="485"/>
      <c r="G71" s="485"/>
      <c r="H71" s="513"/>
      <c r="I71" s="513"/>
      <c r="J71" s="513"/>
      <c r="K71" s="514"/>
      <c r="L71" s="515"/>
      <c r="M71" s="516"/>
      <c r="N71" s="2521"/>
      <c r="O71" s="2521"/>
      <c r="P71" s="2530"/>
      <c r="Q71" s="2509"/>
      <c r="R71" s="2488"/>
      <c r="S71" s="2488"/>
      <c r="T71" s="2488"/>
      <c r="U71" s="2488"/>
      <c r="V71" s="2488"/>
      <c r="W71" s="2488"/>
      <c r="X71" s="2488"/>
      <c r="Y71" s="2488"/>
      <c r="Z71" s="2488"/>
      <c r="AA71" s="2488"/>
      <c r="AB71" s="2488"/>
      <c r="AC71" s="2488"/>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9"/>
      <c r="R72" s="2488"/>
      <c r="S72" s="2488"/>
      <c r="T72" s="2488"/>
      <c r="U72" s="2488"/>
      <c r="V72" s="2488"/>
      <c r="W72" s="2488"/>
      <c r="X72" s="2488"/>
      <c r="Y72" s="2488"/>
      <c r="Z72" s="2488"/>
      <c r="AA72" s="2488"/>
      <c r="AB72" s="2488"/>
      <c r="AC72" s="2488"/>
    </row>
    <row r="73" spans="1:29" s="102" customFormat="1" ht="15.75" thickTop="1">
      <c r="A73" s="370"/>
      <c r="B73" s="469">
        <f>B23</f>
        <v>111</v>
      </c>
      <c r="C73" s="480"/>
      <c r="D73" s="480"/>
      <c r="E73" s="480"/>
      <c r="F73" s="480"/>
      <c r="G73" s="485"/>
      <c r="H73" s="485"/>
      <c r="I73" s="485"/>
      <c r="J73" s="485"/>
      <c r="K73" s="485"/>
      <c r="L73" s="510"/>
      <c r="M73" s="511"/>
      <c r="N73" s="2520"/>
      <c r="O73" s="2520"/>
      <c r="P73" s="2530"/>
      <c r="Q73" s="2509"/>
      <c r="R73" s="2440"/>
      <c r="S73" s="2440"/>
      <c r="T73" s="2440"/>
      <c r="U73" s="2440"/>
      <c r="V73" s="2440"/>
      <c r="W73" s="2440"/>
      <c r="X73" s="2440"/>
      <c r="Y73" s="2440"/>
      <c r="Z73" s="2440"/>
      <c r="AA73" s="2440"/>
      <c r="AB73" s="2440"/>
      <c r="AC73" s="2440"/>
    </row>
    <row r="74" spans="1:29" s="102" customFormat="1" ht="15.75" thickBot="1">
      <c r="A74" s="370"/>
      <c r="B74" s="474"/>
      <c r="C74" s="491"/>
      <c r="D74" s="467"/>
      <c r="E74" s="467"/>
      <c r="F74" s="467"/>
      <c r="G74" s="467"/>
      <c r="H74" s="467"/>
      <c r="I74" s="467"/>
      <c r="J74" s="467"/>
      <c r="K74" s="467"/>
      <c r="L74" s="467"/>
      <c r="M74" s="468"/>
      <c r="N74" s="2522"/>
      <c r="O74" s="2522"/>
      <c r="P74" s="2530"/>
      <c r="Q74" s="2509"/>
      <c r="R74" s="2440"/>
      <c r="S74" s="2440"/>
      <c r="T74" s="2440"/>
      <c r="U74" s="2440"/>
      <c r="V74" s="2440"/>
      <c r="W74" s="2440"/>
      <c r="X74" s="2440"/>
      <c r="Y74" s="2440"/>
      <c r="Z74" s="2440"/>
      <c r="AA74" s="2440"/>
      <c r="AB74" s="2440"/>
      <c r="AC74" s="2440"/>
    </row>
    <row r="75" spans="1:29" s="102" customFormat="1" ht="15.75" thickTop="1">
      <c r="A75" s="370"/>
      <c r="B75" s="469">
        <f>B24</f>
        <v>111</v>
      </c>
      <c r="C75" s="480"/>
      <c r="D75" s="480"/>
      <c r="E75" s="480"/>
      <c r="F75" s="480"/>
      <c r="G75" s="485"/>
      <c r="H75" s="485"/>
      <c r="I75" s="485"/>
      <c r="J75" s="485"/>
      <c r="K75" s="485"/>
      <c r="L75" s="485"/>
      <c r="M75" s="511"/>
      <c r="N75" s="2520"/>
      <c r="O75" s="2520"/>
      <c r="P75" s="2530"/>
      <c r="Q75" s="2509"/>
      <c r="R75" s="2440"/>
      <c r="S75" s="2440"/>
      <c r="T75" s="2440"/>
      <c r="U75" s="2440"/>
      <c r="V75" s="2440"/>
      <c r="W75" s="2440"/>
      <c r="X75" s="2440"/>
      <c r="Y75" s="2440"/>
      <c r="Z75" s="2440"/>
      <c r="AA75" s="2440"/>
      <c r="AB75" s="2440"/>
      <c r="AC75" s="2440"/>
    </row>
    <row r="76" spans="1:29" s="102" customFormat="1" ht="15.75" thickBot="1">
      <c r="A76" s="370"/>
      <c r="B76" s="474"/>
      <c r="C76" s="491"/>
      <c r="D76" s="467"/>
      <c r="E76" s="467"/>
      <c r="F76" s="467"/>
      <c r="G76" s="467"/>
      <c r="H76" s="467"/>
      <c r="I76" s="467"/>
      <c r="J76" s="467"/>
      <c r="K76" s="467"/>
      <c r="L76" s="467"/>
      <c r="M76" s="468"/>
      <c r="N76" s="2522"/>
      <c r="O76" s="2522"/>
      <c r="P76" s="2530"/>
      <c r="Q76" s="2509"/>
      <c r="R76" s="2440"/>
      <c r="S76" s="2440"/>
      <c r="T76" s="2440"/>
      <c r="U76" s="2440"/>
      <c r="V76" s="2440"/>
      <c r="W76" s="2440"/>
      <c r="X76" s="2440"/>
      <c r="Y76" s="2440"/>
      <c r="Z76" s="2440"/>
      <c r="AA76" s="2440"/>
      <c r="AB76" s="2440"/>
      <c r="AC76" s="2440"/>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4"/>
      <c r="S77" s="2494"/>
      <c r="T77" s="2494"/>
      <c r="U77" s="2494"/>
      <c r="V77" s="2494"/>
      <c r="W77" s="2494"/>
      <c r="X77" s="2494"/>
      <c r="Y77" s="2494"/>
      <c r="Z77" s="2494"/>
      <c r="AA77" s="2494"/>
      <c r="AB77" s="2494"/>
      <c r="AC77" s="2494"/>
    </row>
    <row r="78" spans="1:29" s="408" customFormat="1" ht="15.75" thickBot="1">
      <c r="A78" s="484"/>
      <c r="B78" s="474"/>
      <c r="C78" s="491"/>
      <c r="D78" s="491"/>
      <c r="E78" s="491"/>
      <c r="F78" s="491"/>
      <c r="G78" s="467"/>
      <c r="H78" s="467"/>
      <c r="I78" s="467"/>
      <c r="J78" s="467"/>
      <c r="K78" s="467"/>
      <c r="L78" s="467"/>
      <c r="M78" s="468"/>
      <c r="N78" s="2523"/>
      <c r="O78" s="2523"/>
      <c r="P78" s="2531"/>
      <c r="Q78" s="2515"/>
      <c r="R78" s="2494"/>
      <c r="S78" s="2494"/>
      <c r="T78" s="2494"/>
      <c r="U78" s="2494"/>
      <c r="V78" s="2494"/>
      <c r="W78" s="2494"/>
      <c r="X78" s="2494"/>
      <c r="Y78" s="2494"/>
      <c r="Z78" s="2494"/>
      <c r="AA78" s="2494"/>
      <c r="AB78" s="2494"/>
      <c r="AC78" s="2494"/>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9"/>
      <c r="R79" s="2488"/>
      <c r="S79" s="2488"/>
      <c r="T79" s="2488"/>
      <c r="U79" s="2488"/>
      <c r="V79" s="2488"/>
      <c r="W79" s="2488"/>
      <c r="X79" s="2488"/>
      <c r="Y79" s="2488"/>
      <c r="Z79" s="2488"/>
      <c r="AA79" s="2488"/>
      <c r="AB79" s="2488"/>
      <c r="AC79" s="2488"/>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9"/>
      <c r="R80" s="2488"/>
      <c r="S80" s="2488"/>
      <c r="T80" s="2488"/>
      <c r="U80" s="2488"/>
      <c r="V80" s="2488"/>
      <c r="W80" s="2488"/>
      <c r="X80" s="2488"/>
      <c r="Y80" s="2488"/>
      <c r="Z80" s="2488"/>
      <c r="AA80" s="2488"/>
      <c r="AB80" s="2488"/>
      <c r="AC80" s="2488"/>
    </row>
    <row r="81" spans="1:29" ht="15.75" thickTop="1">
      <c r="A81" s="367"/>
      <c r="B81" s="469" t="s">
        <v>1854</v>
      </c>
      <c r="C81" s="582"/>
      <c r="D81" s="582"/>
      <c r="E81" s="582"/>
      <c r="F81" s="582"/>
      <c r="G81" s="582"/>
      <c r="H81" s="582"/>
      <c r="I81" s="582"/>
      <c r="J81" s="582"/>
      <c r="K81" s="583"/>
      <c r="L81" s="584"/>
      <c r="M81" s="585"/>
      <c r="N81" s="2520"/>
      <c r="O81" s="2520"/>
      <c r="P81" s="2530"/>
      <c r="Q81" s="2509"/>
      <c r="R81" s="2488"/>
      <c r="S81" s="2488"/>
      <c r="T81" s="2488"/>
      <c r="U81" s="2488"/>
      <c r="V81" s="2488"/>
      <c r="W81" s="2488"/>
      <c r="X81" s="2488"/>
      <c r="Y81" s="2488"/>
      <c r="Z81" s="2488"/>
      <c r="AA81" s="2488"/>
      <c r="AB81" s="2488"/>
      <c r="AC81" s="2488"/>
    </row>
    <row r="82" spans="1:29" s="408" customFormat="1" ht="15.75" thickBot="1">
      <c r="A82" s="484"/>
      <c r="B82" s="474"/>
      <c r="C82" s="491"/>
      <c r="D82" s="467"/>
      <c r="E82" s="467"/>
      <c r="F82" s="467"/>
      <c r="G82" s="467"/>
      <c r="H82" s="467"/>
      <c r="I82" s="467"/>
      <c r="J82" s="467"/>
      <c r="K82" s="467"/>
      <c r="L82" s="467"/>
      <c r="M82" s="468"/>
      <c r="N82" s="2522"/>
      <c r="O82" s="2522"/>
      <c r="P82" s="2531"/>
      <c r="Q82" s="2515"/>
      <c r="R82" s="2494"/>
      <c r="S82" s="2494"/>
      <c r="T82" s="2494"/>
      <c r="U82" s="2494"/>
      <c r="V82" s="2494"/>
      <c r="W82" s="2494"/>
      <c r="X82" s="2494"/>
      <c r="Y82" s="2494"/>
      <c r="Z82" s="2494"/>
      <c r="AA82" s="2494"/>
      <c r="AB82" s="2494"/>
      <c r="AC82" s="2494"/>
    </row>
    <row r="83" spans="1:29" ht="15" thickTop="1">
      <c r="A83" s="409"/>
      <c r="B83" s="469" t="s">
        <v>1740</v>
      </c>
      <c r="C83" s="485"/>
      <c r="D83" s="485"/>
      <c r="E83" s="513"/>
      <c r="F83" s="513"/>
      <c r="G83" s="513"/>
      <c r="H83" s="513"/>
      <c r="I83" s="513"/>
      <c r="J83" s="513"/>
      <c r="K83" s="514"/>
      <c r="L83" s="515"/>
      <c r="M83" s="516"/>
      <c r="N83" s="2521"/>
      <c r="O83" s="2521"/>
      <c r="P83" s="2530"/>
      <c r="Q83" s="2509"/>
      <c r="R83" s="2488"/>
      <c r="S83" s="2488"/>
      <c r="T83" s="2488"/>
      <c r="U83" s="2488"/>
      <c r="V83" s="2488"/>
      <c r="W83" s="2488"/>
      <c r="X83" s="2488"/>
      <c r="Y83" s="2488"/>
      <c r="Z83" s="2488"/>
      <c r="AA83" s="2488"/>
      <c r="AB83" s="2488"/>
      <c r="AC83" s="2488"/>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9"/>
      <c r="R84" s="2488"/>
      <c r="S84" s="2488"/>
      <c r="T84" s="2488"/>
      <c r="U84" s="2488"/>
      <c r="V84" s="2488"/>
      <c r="W84" s="2488"/>
      <c r="X84" s="2488"/>
      <c r="Y84" s="2488"/>
      <c r="Z84" s="2488"/>
      <c r="AA84" s="2488"/>
      <c r="AB84" s="2488"/>
      <c r="AC84" s="2488"/>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9"/>
      <c r="R85" s="2488"/>
      <c r="S85" s="2488"/>
      <c r="T85" s="2488"/>
      <c r="U85" s="2488"/>
      <c r="V85" s="2488"/>
      <c r="W85" s="2488"/>
      <c r="X85" s="2488"/>
      <c r="Y85" s="2488"/>
      <c r="Z85" s="2488"/>
      <c r="AA85" s="2488"/>
      <c r="AB85" s="2488"/>
      <c r="AC85" s="2488"/>
    </row>
    <row r="86" spans="1:29">
      <c r="A86" s="409"/>
      <c r="B86" s="477"/>
      <c r="C86" s="530">
        <v>0.5</v>
      </c>
      <c r="D86" s="530">
        <v>0.6</v>
      </c>
      <c r="E86" s="530">
        <v>0.7</v>
      </c>
      <c r="F86" s="530">
        <v>0.8</v>
      </c>
      <c r="G86" s="530">
        <v>0.9</v>
      </c>
      <c r="H86" s="530">
        <v>1.0001</v>
      </c>
      <c r="I86" s="548"/>
      <c r="J86" s="548"/>
      <c r="K86" s="549"/>
      <c r="L86" s="550"/>
      <c r="M86" s="551"/>
      <c r="N86" s="2521"/>
      <c r="O86" s="2521"/>
      <c r="P86" s="2530"/>
      <c r="Q86" s="2509"/>
      <c r="R86" s="2488"/>
      <c r="S86" s="2488"/>
      <c r="T86" s="2488"/>
      <c r="U86" s="2488"/>
      <c r="V86" s="2488"/>
      <c r="W86" s="2488"/>
      <c r="X86" s="2488"/>
      <c r="Y86" s="2488"/>
      <c r="Z86" s="2488"/>
      <c r="AA86" s="2488"/>
      <c r="AB86" s="2488"/>
      <c r="AC86" s="2488"/>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9"/>
      <c r="R87" s="2488"/>
      <c r="S87" s="2488"/>
      <c r="T87" s="2488"/>
      <c r="U87" s="2488"/>
      <c r="V87" s="2488"/>
      <c r="W87" s="2488"/>
      <c r="X87" s="2488"/>
      <c r="Y87" s="2488"/>
      <c r="Z87" s="2488"/>
      <c r="AA87" s="2488"/>
      <c r="AB87" s="2488"/>
      <c r="AC87" s="2488"/>
    </row>
    <row r="88" spans="1:29" ht="15" thickTop="1">
      <c r="A88" s="409"/>
      <c r="B88" s="477" t="s">
        <v>1856</v>
      </c>
      <c r="C88" s="462"/>
      <c r="D88" s="462"/>
      <c r="E88" s="462"/>
      <c r="F88" s="462"/>
      <c r="G88" s="462"/>
      <c r="H88" s="462"/>
      <c r="I88" s="462"/>
      <c r="J88" s="462"/>
      <c r="K88" s="463"/>
      <c r="L88" s="464"/>
      <c r="M88" s="465"/>
      <c r="N88" s="2521"/>
      <c r="O88" s="2521"/>
      <c r="P88" s="2530"/>
      <c r="Q88" s="2509"/>
      <c r="R88" s="2488"/>
      <c r="S88" s="2488"/>
      <c r="T88" s="2488"/>
      <c r="U88" s="2488"/>
      <c r="V88" s="2488"/>
      <c r="W88" s="2488"/>
      <c r="X88" s="2488"/>
      <c r="Y88" s="2488"/>
      <c r="Z88" s="2488"/>
      <c r="AA88" s="2488"/>
      <c r="AB88" s="2488"/>
      <c r="AC88" s="2488"/>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9"/>
      <c r="R89" s="2488"/>
      <c r="S89" s="2488"/>
      <c r="T89" s="2488"/>
      <c r="U89" s="2488"/>
      <c r="V89" s="2488"/>
      <c r="W89" s="2488"/>
      <c r="X89" s="2488"/>
      <c r="Y89" s="2488"/>
      <c r="Z89" s="2488"/>
      <c r="AA89" s="2488"/>
      <c r="AB89" s="2488"/>
      <c r="AC89" s="2488"/>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4"/>
      <c r="S90" s="2494"/>
      <c r="T90" s="2494"/>
      <c r="U90" s="2494"/>
      <c r="V90" s="2494"/>
      <c r="W90" s="2494"/>
      <c r="X90" s="2494"/>
      <c r="Y90" s="2494"/>
      <c r="Z90" s="2494"/>
      <c r="AA90" s="2494"/>
      <c r="AB90" s="2494"/>
      <c r="AC90" s="2494"/>
    </row>
    <row r="91" spans="1:29" s="408" customFormat="1">
      <c r="A91" s="406"/>
      <c r="B91" s="477"/>
      <c r="C91" s="6"/>
      <c r="D91" s="6"/>
      <c r="E91" s="6"/>
      <c r="F91" s="6"/>
      <c r="G91" s="6"/>
      <c r="H91" s="6"/>
      <c r="I91" s="6"/>
      <c r="J91" s="524"/>
      <c r="K91" s="524"/>
      <c r="L91" s="525"/>
      <c r="M91" s="526"/>
      <c r="N91" s="2523"/>
      <c r="O91" s="2523"/>
      <c r="P91" s="2531"/>
      <c r="Q91" s="2515"/>
      <c r="R91" s="2494"/>
      <c r="S91" s="2494"/>
      <c r="T91" s="2494"/>
      <c r="U91" s="2494"/>
      <c r="V91" s="2494"/>
      <c r="W91" s="2494"/>
      <c r="X91" s="2494"/>
      <c r="Y91" s="2494"/>
      <c r="Z91" s="2494"/>
      <c r="AA91" s="2494"/>
      <c r="AB91" s="2494"/>
      <c r="AC91" s="2494"/>
    </row>
    <row r="92" spans="1:29" s="408" customFormat="1" ht="15.75" thickBot="1">
      <c r="A92" s="484"/>
      <c r="B92" s="474"/>
      <c r="C92" s="491"/>
      <c r="D92" s="467"/>
      <c r="E92" s="467"/>
      <c r="F92" s="467"/>
      <c r="G92" s="467"/>
      <c r="H92" s="467"/>
      <c r="I92" s="467"/>
      <c r="J92" s="467"/>
      <c r="K92" s="467"/>
      <c r="L92" s="467"/>
      <c r="M92" s="468"/>
      <c r="N92" s="2523"/>
      <c r="O92" s="2523"/>
      <c r="P92" s="2531"/>
      <c r="Q92" s="2515"/>
      <c r="R92" s="2494"/>
      <c r="S92" s="2494"/>
      <c r="T92" s="2494"/>
      <c r="U92" s="2494"/>
      <c r="V92" s="2494"/>
      <c r="W92" s="2494"/>
      <c r="X92" s="2494"/>
      <c r="Y92" s="2494"/>
      <c r="Z92" s="2494"/>
      <c r="AA92" s="2494"/>
      <c r="AB92" s="2494"/>
      <c r="AC92" s="2494"/>
    </row>
    <row r="93" spans="1:29" ht="15" thickTop="1">
      <c r="A93" s="409"/>
      <c r="B93" s="469" t="s">
        <v>1858</v>
      </c>
      <c r="C93" s="485"/>
      <c r="D93" s="485"/>
      <c r="E93" s="513"/>
      <c r="F93" s="513"/>
      <c r="G93" s="513"/>
      <c r="H93" s="513"/>
      <c r="I93" s="513"/>
      <c r="J93" s="513"/>
      <c r="K93" s="514"/>
      <c r="L93" s="515"/>
      <c r="M93" s="516"/>
      <c r="N93" s="2521"/>
      <c r="O93" s="2521"/>
      <c r="P93" s="2530"/>
      <c r="Q93" s="2509"/>
      <c r="R93" s="2488"/>
      <c r="S93" s="2488"/>
      <c r="T93" s="2488"/>
      <c r="U93" s="2488"/>
      <c r="V93" s="2488"/>
      <c r="W93" s="2488"/>
      <c r="X93" s="2488"/>
      <c r="Y93" s="2488"/>
      <c r="Z93" s="2488"/>
      <c r="AA93" s="2488"/>
      <c r="AB93" s="2488"/>
      <c r="AC93" s="2488"/>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9"/>
      <c r="R94" s="2488"/>
      <c r="S94" s="2488"/>
      <c r="T94" s="2488"/>
      <c r="U94" s="2488"/>
      <c r="V94" s="2488"/>
      <c r="W94" s="2488"/>
      <c r="X94" s="2488"/>
      <c r="Y94" s="2488"/>
      <c r="Z94" s="2488"/>
      <c r="AA94" s="2488"/>
      <c r="AB94" s="2488"/>
      <c r="AC94" s="2488"/>
    </row>
    <row r="95" spans="1:29" ht="15" thickTop="1">
      <c r="A95" s="409"/>
      <c r="B95" s="469" t="s">
        <v>1859</v>
      </c>
      <c r="C95" s="462"/>
      <c r="D95" s="462"/>
      <c r="E95" s="462"/>
      <c r="F95" s="462"/>
      <c r="G95" s="462"/>
      <c r="H95" s="462"/>
      <c r="I95" s="462"/>
      <c r="J95" s="462"/>
      <c r="K95" s="463"/>
      <c r="L95" s="464"/>
      <c r="M95" s="465"/>
      <c r="N95" s="2521"/>
      <c r="O95" s="2521"/>
      <c r="P95" s="2530"/>
      <c r="Q95" s="2509"/>
      <c r="R95" s="2488"/>
      <c r="S95" s="2488"/>
      <c r="T95" s="2488"/>
      <c r="U95" s="2488"/>
      <c r="V95" s="2488"/>
      <c r="W95" s="2488"/>
      <c r="X95" s="2488"/>
      <c r="Y95" s="2488"/>
      <c r="Z95" s="2488"/>
      <c r="AA95" s="2488"/>
      <c r="AB95" s="2488"/>
      <c r="AC95" s="2488"/>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9"/>
      <c r="R96" s="2488"/>
      <c r="S96" s="2488"/>
      <c r="T96" s="2488"/>
      <c r="U96" s="2488"/>
      <c r="V96" s="2488"/>
      <c r="W96" s="2488"/>
      <c r="X96" s="2488"/>
      <c r="Y96" s="2488"/>
      <c r="Z96" s="2488"/>
      <c r="AA96" s="2488"/>
      <c r="AB96" s="2488"/>
      <c r="AC96" s="2488"/>
    </row>
    <row r="97" spans="1:29" ht="15" thickTop="1">
      <c r="A97" s="409"/>
      <c r="B97" s="560">
        <f>B34</f>
        <v>111</v>
      </c>
      <c r="C97" s="480"/>
      <c r="D97" s="480"/>
      <c r="E97" s="480"/>
      <c r="F97" s="480"/>
      <c r="G97" s="485"/>
      <c r="H97" s="486"/>
      <c r="I97" s="486"/>
      <c r="J97" s="486"/>
      <c r="K97" s="486"/>
      <c r="L97" s="487"/>
      <c r="M97" s="488"/>
      <c r="N97" s="2522"/>
      <c r="O97" s="2522"/>
      <c r="P97" s="2535"/>
      <c r="Q97" s="2536"/>
      <c r="R97" s="2488"/>
      <c r="S97" s="2488"/>
      <c r="T97" s="2488"/>
      <c r="U97" s="2488"/>
      <c r="V97" s="2488"/>
      <c r="W97" s="2488"/>
      <c r="X97" s="2488"/>
      <c r="Y97" s="2488"/>
      <c r="Z97" s="2488"/>
      <c r="AA97" s="2488"/>
      <c r="AB97" s="2488"/>
      <c r="AC97" s="2488"/>
    </row>
    <row r="98" spans="1:29" ht="15.75" thickBot="1">
      <c r="A98" s="367"/>
      <c r="B98" s="474"/>
      <c r="C98" s="491"/>
      <c r="D98" s="467"/>
      <c r="E98" s="467"/>
      <c r="F98" s="467"/>
      <c r="G98" s="491"/>
      <c r="H98" s="493"/>
      <c r="I98" s="493"/>
      <c r="J98" s="493"/>
      <c r="K98" s="493"/>
      <c r="L98" s="493"/>
      <c r="M98" s="494"/>
      <c r="N98" s="2522"/>
      <c r="O98" s="2522"/>
      <c r="P98" s="2530"/>
      <c r="Q98" s="2509"/>
      <c r="R98" s="2488"/>
      <c r="S98" s="2488"/>
      <c r="T98" s="2488"/>
      <c r="U98" s="2488"/>
      <c r="V98" s="2488"/>
      <c r="W98" s="2488"/>
      <c r="X98" s="2488"/>
      <c r="Y98" s="2488"/>
      <c r="Z98" s="2488"/>
      <c r="AA98" s="2488"/>
      <c r="AB98" s="2488"/>
      <c r="AC98" s="2488"/>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4"/>
      <c r="S99" s="2494"/>
      <c r="T99" s="2494"/>
      <c r="U99" s="2494"/>
      <c r="V99" s="2494"/>
      <c r="W99" s="2494"/>
      <c r="X99" s="2494"/>
      <c r="Y99" s="2494"/>
      <c r="Z99" s="2494"/>
      <c r="AA99" s="2494"/>
      <c r="AB99" s="2494"/>
      <c r="AC99" s="2494"/>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4"/>
      <c r="S100" s="2494"/>
      <c r="T100" s="2494"/>
      <c r="U100" s="2494"/>
      <c r="V100" s="2494"/>
      <c r="W100" s="2494"/>
      <c r="X100" s="2494"/>
      <c r="Y100" s="2494"/>
      <c r="Z100" s="2494"/>
      <c r="AA100" s="2494"/>
      <c r="AB100" s="2494"/>
      <c r="AC100" s="2494"/>
    </row>
    <row r="101" spans="1:29" ht="15" thickTop="1">
      <c r="A101" s="409"/>
      <c r="B101" s="469">
        <f>B36</f>
        <v>111</v>
      </c>
      <c r="C101" s="485"/>
      <c r="D101" s="485"/>
      <c r="E101" s="485"/>
      <c r="F101" s="485"/>
      <c r="G101" s="485"/>
      <c r="H101" s="486"/>
      <c r="I101" s="486"/>
      <c r="J101" s="486"/>
      <c r="K101" s="486"/>
      <c r="L101" s="487"/>
      <c r="M101" s="488"/>
      <c r="N101" s="2521"/>
      <c r="O101" s="2521"/>
      <c r="P101" s="2530"/>
      <c r="Q101" s="2509"/>
      <c r="R101" s="2488"/>
      <c r="S101" s="2488"/>
      <c r="T101" s="2488"/>
      <c r="U101" s="2488"/>
      <c r="V101" s="2488"/>
      <c r="W101" s="2488"/>
      <c r="X101" s="2488"/>
      <c r="Y101" s="2488"/>
      <c r="Z101" s="2488"/>
      <c r="AA101" s="2488"/>
      <c r="AB101" s="2488"/>
      <c r="AC101" s="2488"/>
    </row>
    <row r="102" spans="1:29" ht="15.75" thickBot="1">
      <c r="A102" s="367"/>
      <c r="B102" s="474"/>
      <c r="C102" s="491"/>
      <c r="D102" s="491"/>
      <c r="E102" s="491"/>
      <c r="F102" s="491"/>
      <c r="G102" s="491"/>
      <c r="H102" s="493"/>
      <c r="I102" s="493"/>
      <c r="J102" s="493"/>
      <c r="K102" s="493"/>
      <c r="L102" s="493"/>
      <c r="M102" s="494"/>
      <c r="N102" s="2522"/>
      <c r="O102" s="2522"/>
      <c r="P102" s="2530"/>
      <c r="Q102" s="2509"/>
      <c r="R102" s="2488"/>
      <c r="S102" s="2488"/>
      <c r="T102" s="2488"/>
      <c r="U102" s="2488"/>
      <c r="V102" s="2488"/>
      <c r="W102" s="2488"/>
      <c r="X102" s="2488"/>
      <c r="Y102" s="2488"/>
      <c r="Z102" s="2488"/>
      <c r="AA102" s="2488"/>
      <c r="AB102" s="2488"/>
      <c r="AC102" s="2488"/>
    </row>
    <row r="103" spans="1:29" ht="15" thickTop="1">
      <c r="N103" s="2488"/>
      <c r="O103" s="2488"/>
      <c r="P103" s="2524"/>
      <c r="Q103" s="2488"/>
      <c r="R103" s="2488"/>
      <c r="S103" s="2488"/>
      <c r="T103" s="2488"/>
      <c r="U103" s="2488"/>
      <c r="V103" s="2488"/>
      <c r="W103" s="2488"/>
      <c r="X103" s="2488"/>
      <c r="Y103" s="2488"/>
      <c r="Z103" s="2488"/>
      <c r="AA103" s="2488"/>
      <c r="AB103" s="2488"/>
      <c r="AC103"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72" priority="13" stopIfTrue="1">
      <formula>$F$42="超过30%"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F7:F36 H7:H36 J7:J36">
    <cfRule type="cellIs" dxfId="69" priority="1" operator="notEqual">
      <formula>100</formula>
    </cfRule>
  </conditionalFormatting>
  <conditionalFormatting sqref="F38">
    <cfRule type="expression" dxfId="68" priority="4">
      <formula>$D$38="简单平均"</formula>
    </cfRule>
  </conditionalFormatting>
  <conditionalFormatting sqref="F42:F44 H42:H44 J42:J44">
    <cfRule type="containsText" dxfId="67" priority="14" stopIfTrue="1" operator="containsText" text="超过">
      <formula>NOT(ISERROR(SEARCH("超过",F42)))</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G44">
    <cfRule type="expression" dxfId="64" priority="12" stopIfTrue="1">
      <formula>$H$54+$H$44="超过30%"</formula>
    </cfRule>
  </conditionalFormatting>
  <conditionalFormatting sqref="H38">
    <cfRule type="expression" dxfId="63" priority="3">
      <formula>$D$38="简单平均"</formula>
    </cfRule>
  </conditionalFormatting>
  <conditionalFormatting sqref="I42">
    <cfRule type="expression" dxfId="62" priority="7" stopIfTrue="1">
      <formula>$J$52+$J$42="超过30%"</formula>
    </cfRule>
  </conditionalFormatting>
  <conditionalFormatting sqref="I43">
    <cfRule type="expression" dxfId="61" priority="6" stopIfTrue="1">
      <formula>$J$53+$J$43="超过20%"</formula>
    </cfRule>
  </conditionalFormatting>
  <conditionalFormatting sqref="I44">
    <cfRule type="expression" dxfId="60" priority="5" stopIfTrue="1">
      <formula>$J$44="超过30%"</formula>
    </cfRule>
  </conditionalFormatting>
  <conditionalFormatting sqref="J38">
    <cfRule type="expression" dxfId="59"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3325</v>
      </c>
      <c r="C1" s="1141" t="s">
        <v>1662</v>
      </c>
      <c r="D1" s="1142"/>
      <c r="E1" s="3131"/>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463" t="s">
        <v>1775</v>
      </c>
      <c r="Q4" s="3464"/>
      <c r="R4" s="3469" t="s">
        <v>1771</v>
      </c>
      <c r="S4" s="3470"/>
      <c r="T4" s="3469" t="s">
        <v>1772</v>
      </c>
      <c r="U4" s="3470"/>
      <c r="V4" s="3445" t="s">
        <v>1773</v>
      </c>
      <c r="W4" s="3445"/>
      <c r="X4" s="1265"/>
      <c r="Y4" s="3469" t="s">
        <v>1775</v>
      </c>
      <c r="Z4" s="3470"/>
      <c r="AA4" s="3456" t="s">
        <v>1771</v>
      </c>
      <c r="AB4" s="3457" t="s">
        <v>1772</v>
      </c>
      <c r="AC4" s="3456" t="s">
        <v>1773</v>
      </c>
    </row>
    <row r="5" spans="1:29" ht="15">
      <c r="A5" s="348"/>
      <c r="B5" s="349"/>
      <c r="C5" s="3477" t="s">
        <v>1673</v>
      </c>
      <c r="D5" s="3478"/>
      <c r="E5" s="3484" t="s">
        <v>1674</v>
      </c>
      <c r="F5" s="3485"/>
      <c r="G5" s="3477" t="s">
        <v>1675</v>
      </c>
      <c r="H5" s="3478"/>
      <c r="I5" s="3477" t="s">
        <v>1676</v>
      </c>
      <c r="J5" s="3478"/>
      <c r="K5" s="537"/>
      <c r="L5" s="2487"/>
      <c r="M5" s="2488"/>
      <c r="N5" s="2488"/>
      <c r="O5" s="2488"/>
      <c r="P5" s="3465"/>
      <c r="Q5" s="3466"/>
      <c r="R5" s="3471"/>
      <c r="S5" s="3472"/>
      <c r="T5" s="3471"/>
      <c r="U5" s="3472"/>
      <c r="V5" s="3445"/>
      <c r="W5" s="3445"/>
      <c r="X5" s="1265"/>
      <c r="Y5" s="3471"/>
      <c r="Z5" s="3472"/>
      <c r="AA5" s="3457"/>
      <c r="AB5" s="3457"/>
      <c r="AC5" s="3457"/>
    </row>
    <row r="6" spans="1:29" ht="15.75" thickBot="1">
      <c r="A6" s="350"/>
      <c r="B6" s="351"/>
      <c r="C6" s="3475" t="s">
        <v>1677</v>
      </c>
      <c r="D6" s="3476"/>
      <c r="E6" s="3482" t="s">
        <v>1677</v>
      </c>
      <c r="F6" s="3483"/>
      <c r="G6" s="3475" t="s">
        <v>1677</v>
      </c>
      <c r="H6" s="3476"/>
      <c r="I6" s="3475" t="s">
        <v>1677</v>
      </c>
      <c r="J6" s="3476"/>
      <c r="K6" s="537" t="s">
        <v>1678</v>
      </c>
      <c r="L6" s="2487"/>
      <c r="M6" s="2488"/>
      <c r="N6" s="2488"/>
      <c r="O6" s="2488"/>
      <c r="P6" s="3467"/>
      <c r="Q6" s="3468"/>
      <c r="R6" s="3471"/>
      <c r="S6" s="3472"/>
      <c r="T6" s="3473"/>
      <c r="U6" s="3474"/>
      <c r="V6" s="3445"/>
      <c r="W6" s="3445"/>
      <c r="X6" s="1265"/>
      <c r="Y6" s="3473"/>
      <c r="Z6" s="3474"/>
      <c r="AA6" s="3458"/>
      <c r="AB6" s="3458"/>
      <c r="AC6" s="3458"/>
    </row>
    <row r="7" spans="1:29" s="102" customFormat="1" ht="15.75" thickBot="1">
      <c r="A7" s="352" t="s">
        <v>1679</v>
      </c>
      <c r="B7" s="353"/>
      <c r="C7" s="354">
        <f>'数据-取费表'!B2</f>
        <v>45785</v>
      </c>
      <c r="D7" s="355">
        <v>100</v>
      </c>
      <c r="E7" s="356"/>
      <c r="F7" s="357">
        <f>SUMIF(46:46,YEAR(E7)&amp;"-"&amp;MONTH(E7),47:47)</f>
        <v>0</v>
      </c>
      <c r="G7" s="1822"/>
      <c r="H7" s="355">
        <f>SUMIF(46:46,YEAR(G7)&amp;"-"&amp;MONTH(G7),47:47)</f>
        <v>0</v>
      </c>
      <c r="I7" s="356"/>
      <c r="J7" s="355">
        <f>SUMIF(46:46,YEAR(I7)&amp;"-"&amp;MONTH(I7),47:47)</f>
        <v>0</v>
      </c>
      <c r="K7" s="38"/>
      <c r="L7" s="2489"/>
      <c r="M7" s="2440"/>
      <c r="N7" s="2440"/>
      <c r="O7" s="2440"/>
      <c r="P7" s="3479" t="s">
        <v>1680</v>
      </c>
      <c r="Q7" s="3481"/>
      <c r="R7" s="664" t="s">
        <v>14</v>
      </c>
      <c r="S7" s="665">
        <f t="shared" ref="S7:S14" si="0">F7</f>
        <v>0</v>
      </c>
      <c r="T7" s="664" t="s">
        <v>14</v>
      </c>
      <c r="U7" s="665">
        <f t="shared" ref="U7:U14" si="1">H7</f>
        <v>0</v>
      </c>
      <c r="V7" s="664" t="s">
        <v>14</v>
      </c>
      <c r="W7" s="665">
        <f t="shared" ref="W7:W14" si="2">J7</f>
        <v>0</v>
      </c>
      <c r="X7" s="666"/>
      <c r="Y7" s="3479" t="s">
        <v>1680</v>
      </c>
      <c r="Z7" s="3480"/>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9"/>
      <c r="M8" s="2440"/>
      <c r="N8" s="2440"/>
      <c r="O8" s="2440"/>
      <c r="P8" s="3479" t="s">
        <v>1683</v>
      </c>
      <c r="Q8" s="3480"/>
      <c r="R8" s="664" t="s">
        <v>14</v>
      </c>
      <c r="S8" s="665">
        <f t="shared" si="0"/>
        <v>100</v>
      </c>
      <c r="T8" s="664" t="s">
        <v>14</v>
      </c>
      <c r="U8" s="665">
        <f t="shared" si="1"/>
        <v>100</v>
      </c>
      <c r="V8" s="664" t="s">
        <v>14</v>
      </c>
      <c r="W8" s="665">
        <f t="shared" si="2"/>
        <v>100</v>
      </c>
      <c r="X8" s="666"/>
      <c r="Y8" s="3479" t="s">
        <v>1683</v>
      </c>
      <c r="Z8" s="3480"/>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9"/>
      <c r="M9" s="2440"/>
      <c r="N9" s="2440"/>
      <c r="O9" s="2540"/>
      <c r="P9" s="3444" t="s">
        <v>1686</v>
      </c>
      <c r="Q9" s="530" t="str">
        <f t="shared" ref="Q9:Q14" si="6">B9</f>
        <v>用途</v>
      </c>
      <c r="R9" s="664" t="s">
        <v>14</v>
      </c>
      <c r="S9" s="665">
        <f t="shared" si="0"/>
        <v>100</v>
      </c>
      <c r="T9" s="664" t="s">
        <v>14</v>
      </c>
      <c r="U9" s="665">
        <f t="shared" si="1"/>
        <v>100</v>
      </c>
      <c r="V9" s="664" t="s">
        <v>14</v>
      </c>
      <c r="W9" s="665">
        <f t="shared" si="2"/>
        <v>100</v>
      </c>
      <c r="X9" s="666"/>
      <c r="Y9" s="3300"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90"/>
      <c r="M10" s="2491"/>
      <c r="N10" s="2491"/>
      <c r="O10" s="2541"/>
      <c r="P10" s="3444"/>
      <c r="Q10" s="530" t="str">
        <f t="shared" si="6"/>
        <v>土地使用年限（年）</v>
      </c>
      <c r="R10" s="664" t="s">
        <v>14</v>
      </c>
      <c r="S10" s="665">
        <f t="shared" si="0"/>
        <v>100</v>
      </c>
      <c r="T10" s="664" t="s">
        <v>14</v>
      </c>
      <c r="U10" s="665">
        <f t="shared" si="1"/>
        <v>100</v>
      </c>
      <c r="V10" s="664" t="s">
        <v>14</v>
      </c>
      <c r="W10" s="665">
        <f t="shared" si="2"/>
        <v>100</v>
      </c>
      <c r="X10" s="666"/>
      <c r="Y10" s="330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2"/>
      <c r="M11" s="2488"/>
      <c r="N11" s="2488"/>
      <c r="O11" s="2542"/>
      <c r="P11" s="3444"/>
      <c r="Q11" s="530">
        <f t="shared" si="6"/>
        <v>111</v>
      </c>
      <c r="R11" s="664" t="s">
        <v>14</v>
      </c>
      <c r="S11" s="665">
        <f t="shared" si="0"/>
        <v>100</v>
      </c>
      <c r="T11" s="664" t="s">
        <v>14</v>
      </c>
      <c r="U11" s="665">
        <f t="shared" si="1"/>
        <v>100</v>
      </c>
      <c r="V11" s="664" t="s">
        <v>14</v>
      </c>
      <c r="W11" s="665">
        <f t="shared" si="2"/>
        <v>100</v>
      </c>
      <c r="X11" s="666"/>
      <c r="Y11" s="330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9"/>
      <c r="M12" s="2440"/>
      <c r="N12" s="2440"/>
      <c r="O12" s="2540"/>
      <c r="P12" s="3444"/>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3"/>
      <c r="M13" s="2488"/>
      <c r="N13" s="2488"/>
      <c r="O13" s="2542"/>
      <c r="P13" s="3444"/>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
      <c r="A14" s="379" t="s">
        <v>1690</v>
      </c>
      <c r="B14" s="58" t="s">
        <v>1833</v>
      </c>
      <c r="C14" s="1819">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3"/>
      <c r="M14" s="2488"/>
      <c r="N14" s="2488"/>
      <c r="O14" s="2542"/>
      <c r="P14" s="3446" t="s">
        <v>1691</v>
      </c>
      <c r="Q14" s="1263" t="str">
        <f t="shared" si="6"/>
        <v>交通便捷度</v>
      </c>
      <c r="R14" s="667" t="s">
        <v>14</v>
      </c>
      <c r="S14" s="668">
        <f t="shared" si="0"/>
        <v>100</v>
      </c>
      <c r="T14" s="667" t="s">
        <v>14</v>
      </c>
      <c r="U14" s="668">
        <f t="shared" si="1"/>
        <v>100</v>
      </c>
      <c r="V14" s="667" t="s">
        <v>14</v>
      </c>
      <c r="W14" s="668">
        <f t="shared" si="2"/>
        <v>100</v>
      </c>
      <c r="X14" s="1265"/>
      <c r="Y14" s="3446"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3"/>
      <c r="M15" s="2488"/>
      <c r="N15" s="2488"/>
      <c r="O15" s="2542"/>
      <c r="P15" s="3447"/>
      <c r="Q15" s="1263"/>
      <c r="R15" s="667"/>
      <c r="S15" s="668"/>
      <c r="T15" s="667"/>
      <c r="U15" s="668"/>
      <c r="V15" s="667"/>
      <c r="W15" s="668"/>
      <c r="X15" s="1265"/>
      <c r="Y15" s="3447"/>
      <c r="Z15" s="1264"/>
      <c r="AA15" s="1264">
        <v>1</v>
      </c>
      <c r="AB15" s="1264">
        <v>1</v>
      </c>
      <c r="AC15" s="1264">
        <v>1</v>
      </c>
    </row>
    <row r="16" spans="1:29" ht="15">
      <c r="A16" s="367"/>
      <c r="B16" s="390" t="s">
        <v>1812</v>
      </c>
      <c r="C16" s="1754">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3"/>
      <c r="M16" s="2488"/>
      <c r="N16" s="2488"/>
      <c r="O16" s="2542"/>
      <c r="P16" s="3447"/>
      <c r="Q16" s="1263" t="str">
        <f>B16</f>
        <v>公共配套设施</v>
      </c>
      <c r="R16" s="667" t="s">
        <v>14</v>
      </c>
      <c r="S16" s="668">
        <f>F16</f>
        <v>100</v>
      </c>
      <c r="T16" s="667" t="s">
        <v>14</v>
      </c>
      <c r="U16" s="668">
        <f>H16</f>
        <v>100</v>
      </c>
      <c r="V16" s="667" t="s">
        <v>14</v>
      </c>
      <c r="W16" s="668">
        <f>J16</f>
        <v>100</v>
      </c>
      <c r="X16" s="1265"/>
      <c r="Y16" s="3447"/>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3"/>
      <c r="M17" s="2488"/>
      <c r="N17" s="2488"/>
      <c r="O17" s="2542"/>
      <c r="P17" s="3447"/>
      <c r="Q17" s="1263"/>
      <c r="R17" s="667"/>
      <c r="S17" s="668"/>
      <c r="T17" s="667"/>
      <c r="U17" s="668"/>
      <c r="V17" s="667"/>
      <c r="W17" s="668"/>
      <c r="X17" s="1265"/>
      <c r="Y17" s="3447"/>
      <c r="Z17" s="1264"/>
      <c r="AA17" s="1264">
        <v>1</v>
      </c>
      <c r="AB17" s="1264">
        <v>1</v>
      </c>
      <c r="AC17" s="1264">
        <v>1</v>
      </c>
    </row>
    <row r="18" spans="1:29" ht="15">
      <c r="A18" s="367"/>
      <c r="B18" s="586" t="s">
        <v>1813</v>
      </c>
      <c r="C18" s="1754">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3"/>
      <c r="M18" s="2488"/>
      <c r="N18" s="2488"/>
      <c r="O18" s="2542"/>
      <c r="P18" s="3447"/>
      <c r="Q18" s="1263" t="str">
        <f>B18</f>
        <v>基础设施水平</v>
      </c>
      <c r="R18" s="667" t="s">
        <v>14</v>
      </c>
      <c r="S18" s="668">
        <f>F18</f>
        <v>100</v>
      </c>
      <c r="T18" s="667" t="s">
        <v>14</v>
      </c>
      <c r="U18" s="668">
        <f>H18</f>
        <v>100</v>
      </c>
      <c r="V18" s="667" t="s">
        <v>14</v>
      </c>
      <c r="W18" s="668">
        <f>J18</f>
        <v>100</v>
      </c>
      <c r="X18" s="1265"/>
      <c r="Y18" s="3447"/>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3"/>
      <c r="M19" s="2488"/>
      <c r="N19" s="2488"/>
      <c r="O19" s="2542"/>
      <c r="P19" s="3447"/>
      <c r="Q19" s="1263"/>
      <c r="R19" s="667"/>
      <c r="S19" s="668"/>
      <c r="T19" s="667"/>
      <c r="U19" s="668"/>
      <c r="V19" s="667"/>
      <c r="W19" s="668"/>
      <c r="X19" s="1265"/>
      <c r="Y19" s="3447"/>
      <c r="Z19" s="1264"/>
      <c r="AA19" s="1264">
        <v>1</v>
      </c>
      <c r="AB19" s="1264">
        <v>1</v>
      </c>
      <c r="AC19" s="1264">
        <v>1</v>
      </c>
    </row>
    <row r="20" spans="1:29" ht="15">
      <c r="A20" s="367"/>
      <c r="B20" s="390" t="s">
        <v>1834</v>
      </c>
      <c r="C20" s="1754">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3"/>
      <c r="M20" s="2488"/>
      <c r="N20" s="2488"/>
      <c r="O20" s="2542"/>
      <c r="P20" s="3447"/>
      <c r="Q20" s="1263" t="str">
        <f>B20</f>
        <v>自然及人文环境</v>
      </c>
      <c r="R20" s="667" t="s">
        <v>14</v>
      </c>
      <c r="S20" s="668">
        <f>F20</f>
        <v>100</v>
      </c>
      <c r="T20" s="667" t="s">
        <v>14</v>
      </c>
      <c r="U20" s="668">
        <f>H20</f>
        <v>100</v>
      </c>
      <c r="V20" s="667" t="s">
        <v>14</v>
      </c>
      <c r="W20" s="668">
        <f>J20</f>
        <v>100</v>
      </c>
      <c r="X20" s="1265"/>
      <c r="Y20" s="3447"/>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3"/>
      <c r="M21" s="2488"/>
      <c r="N21" s="2488"/>
      <c r="O21" s="2542"/>
      <c r="P21" s="3447"/>
      <c r="Q21" s="1263"/>
      <c r="R21" s="667"/>
      <c r="S21" s="668"/>
      <c r="T21" s="667"/>
      <c r="U21" s="668"/>
      <c r="V21" s="667"/>
      <c r="W21" s="668"/>
      <c r="X21" s="1265"/>
      <c r="Y21" s="3447"/>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3"/>
      <c r="M22" s="2488"/>
      <c r="N22" s="2488"/>
      <c r="O22" s="2542"/>
      <c r="P22" s="3447"/>
      <c r="Q22" s="1263" t="str">
        <f>B22</f>
        <v>楼层</v>
      </c>
      <c r="R22" s="667" t="s">
        <v>14</v>
      </c>
      <c r="S22" s="668">
        <f>F22</f>
        <v>100</v>
      </c>
      <c r="T22" s="667" t="s">
        <v>14</v>
      </c>
      <c r="U22" s="668">
        <f>H22</f>
        <v>100</v>
      </c>
      <c r="V22" s="667" t="s">
        <v>14</v>
      </c>
      <c r="W22" s="668">
        <f>J22</f>
        <v>100</v>
      </c>
      <c r="X22" s="1265"/>
      <c r="Y22" s="3447"/>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3"/>
      <c r="M23" s="2488"/>
      <c r="N23" s="2488"/>
      <c r="O23" s="2542"/>
      <c r="P23" s="3447"/>
      <c r="Q23" s="1263">
        <f>B23</f>
        <v>111</v>
      </c>
      <c r="R23" s="667" t="s">
        <v>14</v>
      </c>
      <c r="S23" s="668">
        <f>F23</f>
        <v>100</v>
      </c>
      <c r="T23" s="667" t="s">
        <v>14</v>
      </c>
      <c r="U23" s="668">
        <f>H23</f>
        <v>100</v>
      </c>
      <c r="V23" s="667" t="s">
        <v>14</v>
      </c>
      <c r="W23" s="668">
        <f>J23</f>
        <v>100</v>
      </c>
      <c r="X23" s="1265"/>
      <c r="Y23" s="3447"/>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3"/>
      <c r="M24" s="2488"/>
      <c r="N24" s="2488"/>
      <c r="O24" s="2542"/>
      <c r="P24" s="3447"/>
      <c r="Q24" s="1263">
        <f t="shared" ref="Q24:Q34" si="11">B24</f>
        <v>111</v>
      </c>
      <c r="R24" s="667" t="s">
        <v>14</v>
      </c>
      <c r="S24" s="668">
        <f>F24</f>
        <v>100</v>
      </c>
      <c r="T24" s="667" t="s">
        <v>14</v>
      </c>
      <c r="U24" s="668">
        <f>H24</f>
        <v>100</v>
      </c>
      <c r="V24" s="667" t="s">
        <v>14</v>
      </c>
      <c r="W24" s="668">
        <f>J24</f>
        <v>100</v>
      </c>
      <c r="X24" s="1265"/>
      <c r="Y24" s="3447"/>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9"/>
      <c r="M25" s="2440"/>
      <c r="N25" s="2440"/>
      <c r="O25" s="2540"/>
      <c r="P25" s="3447"/>
      <c r="Q25" s="530">
        <f t="shared" si="11"/>
        <v>111</v>
      </c>
      <c r="R25" s="664" t="s">
        <v>14</v>
      </c>
      <c r="S25" s="665">
        <f>F25</f>
        <v>100</v>
      </c>
      <c r="T25" s="664" t="s">
        <v>14</v>
      </c>
      <c r="U25" s="665">
        <f>H25</f>
        <v>100</v>
      </c>
      <c r="V25" s="664" t="s">
        <v>14</v>
      </c>
      <c r="W25" s="665">
        <f>J25</f>
        <v>100</v>
      </c>
      <c r="X25" s="666"/>
      <c r="Y25" s="3447"/>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3"/>
      <c r="M26" s="2488"/>
      <c r="N26" s="2488"/>
      <c r="O26" s="2542"/>
      <c r="P26" s="3501"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51"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2"/>
      <c r="M27" s="2494"/>
      <c r="N27" s="2494"/>
      <c r="O27" s="2543"/>
      <c r="P27" s="3451"/>
      <c r="Q27" s="531" t="str">
        <f t="shared" si="11"/>
        <v>成新率</v>
      </c>
      <c r="R27" s="669" t="s">
        <v>14</v>
      </c>
      <c r="S27" s="670" t="e">
        <f t="shared" si="12"/>
        <v>#N/A</v>
      </c>
      <c r="T27" s="669" t="s">
        <v>14</v>
      </c>
      <c r="U27" s="670" t="e">
        <f t="shared" si="13"/>
        <v>#N/A</v>
      </c>
      <c r="V27" s="669" t="s">
        <v>14</v>
      </c>
      <c r="W27" s="670" t="e">
        <f t="shared" si="14"/>
        <v>#N/A</v>
      </c>
      <c r="X27" s="671"/>
      <c r="Y27" s="3451"/>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3"/>
      <c r="M28" s="2488"/>
      <c r="N28" s="2488"/>
      <c r="O28" s="2542"/>
      <c r="P28" s="3451"/>
      <c r="Q28" s="1263" t="str">
        <f t="shared" si="11"/>
        <v>物业等级</v>
      </c>
      <c r="R28" s="667" t="s">
        <v>14</v>
      </c>
      <c r="S28" s="668">
        <f t="shared" si="12"/>
        <v>100</v>
      </c>
      <c r="T28" s="667" t="s">
        <v>14</v>
      </c>
      <c r="U28" s="668">
        <f t="shared" si="13"/>
        <v>100</v>
      </c>
      <c r="V28" s="667" t="s">
        <v>14</v>
      </c>
      <c r="W28" s="668">
        <f t="shared" si="14"/>
        <v>100</v>
      </c>
      <c r="X28" s="1265"/>
      <c r="Y28" s="3451"/>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3"/>
      <c r="M29" s="2488"/>
      <c r="N29" s="2488"/>
      <c r="O29" s="2542"/>
      <c r="P29" s="3451"/>
      <c r="Q29" s="1263" t="str">
        <f t="shared" si="11"/>
        <v>有无电梯</v>
      </c>
      <c r="R29" s="667" t="s">
        <v>14</v>
      </c>
      <c r="S29" s="668">
        <f t="shared" si="12"/>
        <v>100</v>
      </c>
      <c r="T29" s="667" t="s">
        <v>14</v>
      </c>
      <c r="U29" s="668">
        <f t="shared" si="13"/>
        <v>100</v>
      </c>
      <c r="V29" s="667" t="s">
        <v>14</v>
      </c>
      <c r="W29" s="668">
        <f t="shared" si="14"/>
        <v>100</v>
      </c>
      <c r="X29" s="1265"/>
      <c r="Y29" s="3451"/>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3"/>
      <c r="M30" s="2488"/>
      <c r="N30" s="2488"/>
      <c r="O30" s="2542"/>
      <c r="P30" s="3451"/>
      <c r="Q30" s="1263" t="str">
        <f t="shared" si="11"/>
        <v>建筑面积</v>
      </c>
      <c r="R30" s="667" t="s">
        <v>14</v>
      </c>
      <c r="S30" s="668" t="e">
        <f t="shared" si="12"/>
        <v>#N/A</v>
      </c>
      <c r="T30" s="667" t="s">
        <v>14</v>
      </c>
      <c r="U30" s="668" t="e">
        <f t="shared" si="13"/>
        <v>#N/A</v>
      </c>
      <c r="V30" s="667" t="s">
        <v>14</v>
      </c>
      <c r="W30" s="668" t="e">
        <f t="shared" si="14"/>
        <v>#N/A</v>
      </c>
      <c r="X30" s="1265"/>
      <c r="Y30" s="3451"/>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9"/>
      <c r="M31" s="2440"/>
      <c r="N31" s="2440"/>
      <c r="O31" s="2540"/>
      <c r="P31" s="3451"/>
      <c r="Q31" s="530" t="str">
        <f t="shared" si="11"/>
        <v>是否封闭</v>
      </c>
      <c r="R31" s="664" t="s">
        <v>14</v>
      </c>
      <c r="S31" s="665">
        <f t="shared" si="12"/>
        <v>100</v>
      </c>
      <c r="T31" s="664" t="s">
        <v>14</v>
      </c>
      <c r="U31" s="665">
        <f t="shared" si="13"/>
        <v>100</v>
      </c>
      <c r="V31" s="664" t="s">
        <v>14</v>
      </c>
      <c r="W31" s="665">
        <f t="shared" si="14"/>
        <v>100</v>
      </c>
      <c r="X31" s="666"/>
      <c r="Y31" s="3451"/>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3"/>
      <c r="M32" s="2488"/>
      <c r="N32" s="2488"/>
      <c r="O32" s="2542"/>
      <c r="P32" s="3451" t="s">
        <v>1696</v>
      </c>
      <c r="Q32" s="1263">
        <f t="shared" si="11"/>
        <v>111</v>
      </c>
      <c r="R32" s="667" t="s">
        <v>14</v>
      </c>
      <c r="S32" s="668">
        <f t="shared" si="12"/>
        <v>100</v>
      </c>
      <c r="T32" s="667" t="s">
        <v>14</v>
      </c>
      <c r="U32" s="668">
        <f t="shared" si="13"/>
        <v>100</v>
      </c>
      <c r="V32" s="667" t="s">
        <v>14</v>
      </c>
      <c r="W32" s="668">
        <f t="shared" si="14"/>
        <v>100</v>
      </c>
      <c r="X32" s="1265"/>
      <c r="Y32" s="3451"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3"/>
      <c r="M33" s="2488"/>
      <c r="N33" s="2488"/>
      <c r="O33" s="2542"/>
      <c r="P33" s="3451"/>
      <c r="Q33" s="1263">
        <f t="shared" si="11"/>
        <v>111</v>
      </c>
      <c r="R33" s="667" t="s">
        <v>14</v>
      </c>
      <c r="S33" s="668">
        <f t="shared" si="12"/>
        <v>100</v>
      </c>
      <c r="T33" s="667" t="s">
        <v>14</v>
      </c>
      <c r="U33" s="668">
        <f t="shared" si="13"/>
        <v>100</v>
      </c>
      <c r="V33" s="667" t="s">
        <v>14</v>
      </c>
      <c r="W33" s="668">
        <f t="shared" si="14"/>
        <v>100</v>
      </c>
      <c r="X33" s="1265"/>
      <c r="Y33" s="3451"/>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3"/>
      <c r="M34" s="2488"/>
      <c r="N34" s="2488"/>
      <c r="O34" s="2542"/>
      <c r="P34" s="3451"/>
      <c r="Q34" s="1263">
        <f t="shared" si="11"/>
        <v>111</v>
      </c>
      <c r="R34" s="667" t="s">
        <v>14</v>
      </c>
      <c r="S34" s="668">
        <f t="shared" si="12"/>
        <v>100</v>
      </c>
      <c r="T34" s="667" t="s">
        <v>14</v>
      </c>
      <c r="U34" s="668">
        <f t="shared" si="13"/>
        <v>100</v>
      </c>
      <c r="V34" s="667" t="s">
        <v>14</v>
      </c>
      <c r="W34" s="668">
        <f t="shared" si="14"/>
        <v>100</v>
      </c>
      <c r="X34" s="1265"/>
      <c r="Y34" s="3451"/>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5"/>
      <c r="M35" s="2488"/>
      <c r="N35" s="2488"/>
      <c r="O35" s="2488"/>
      <c r="P35" s="3444" t="str">
        <f>A35</f>
        <v>成交单价（元/平方米）</v>
      </c>
      <c r="Q35" s="3444"/>
      <c r="R35" s="3445">
        <f>E35</f>
        <v>0</v>
      </c>
      <c r="S35" s="3445"/>
      <c r="T35" s="3445">
        <f>G35</f>
        <v>0</v>
      </c>
      <c r="U35" s="3445"/>
      <c r="V35" s="3445">
        <f>I35</f>
        <v>0</v>
      </c>
      <c r="W35" s="344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5"/>
      <c r="M36" s="2488"/>
      <c r="N36" s="2488"/>
      <c r="O36" s="2488"/>
      <c r="P36" s="3444" t="str">
        <f>A36</f>
        <v>比较价值（元/平方米）</v>
      </c>
      <c r="Q36" s="3444"/>
      <c r="R36" s="3445" t="e">
        <f>IF(F1="售价",ROUND(PRODUCT(R35,AA7:AA34),0),ROUND(PRODUCT(R35,AA7:AA34),1))</f>
        <v>#DIV/0!</v>
      </c>
      <c r="S36" s="3445"/>
      <c r="T36" s="3445" t="e">
        <f>IF(F1="售价",ROUND(PRODUCT(T35,AB7:AB34),0),ROUND(PRODUCT(T35,AB7:AB34),1))</f>
        <v>#DIV/0!</v>
      </c>
      <c r="U36" s="3445"/>
      <c r="V36" s="3445" t="e">
        <f>IF(F1="售价",ROUND(PRODUCT(V35,AC7:AC34),0),ROUND(PRODUCT(V35,AC7:AC34),1))</f>
        <v>#DIV/0!</v>
      </c>
      <c r="W36" s="344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5"/>
      <c r="M37" s="2488"/>
      <c r="N37" s="2488"/>
      <c r="O37" s="2488"/>
      <c r="P37" s="3441" t="str">
        <f>A37</f>
        <v>估价对象XX用房的比较价值（楼面单价，元/平方米）</v>
      </c>
      <c r="Q37" s="3442"/>
      <c r="R37" s="3502" t="e">
        <f>IF(F1="售价",ROUND(IF(D36="简单平均",AVERAGE(R36:W36),R36*F36+T36*H36+V36*J36),0),ROUND(IF(D36="简单平均",AVERAGE(R36:V36),R36*F36+T36*H36+V36*J36),1))</f>
        <v>#DIV/0!</v>
      </c>
      <c r="S37" s="3502"/>
      <c r="T37" s="3502"/>
      <c r="U37" s="3502"/>
      <c r="V37" s="3502"/>
      <c r="W37" s="3502"/>
      <c r="X37" s="385"/>
      <c r="Y37" s="385"/>
      <c r="Z37" s="385"/>
      <c r="AA37" s="385"/>
      <c r="AB37" s="385"/>
      <c r="AC37" s="385"/>
    </row>
    <row r="38" spans="1:30">
      <c r="A38" s="2488"/>
      <c r="B38" s="2488"/>
      <c r="C38" s="2488"/>
      <c r="D38" s="2488"/>
      <c r="E38" s="2488"/>
      <c r="F38" s="2488"/>
      <c r="G38" s="2499"/>
      <c r="H38" s="2488"/>
      <c r="I38" s="2488"/>
      <c r="J38" s="2488"/>
      <c r="K38" s="2500"/>
      <c r="L38" s="2496"/>
      <c r="M38" s="2488"/>
      <c r="N38" s="2488"/>
      <c r="O38" s="2488"/>
      <c r="P38" s="2488"/>
      <c r="Q38" s="2488"/>
      <c r="R38" s="2488"/>
      <c r="S38" s="2488"/>
      <c r="T38" s="2488"/>
      <c r="U38" s="2488"/>
      <c r="V38" s="2488"/>
      <c r="W38" s="2488"/>
      <c r="X38" s="2488"/>
      <c r="Y38" s="2488"/>
      <c r="Z38" s="2488"/>
      <c r="AA38" s="2488"/>
      <c r="AB38" s="2488"/>
      <c r="AC38" s="2488"/>
      <c r="AD38" s="2488"/>
    </row>
    <row r="39" spans="1:30">
      <c r="A39" s="2488"/>
      <c r="B39" s="2488"/>
      <c r="C39" s="2488"/>
      <c r="D39" s="2488"/>
      <c r="E39" s="2488"/>
      <c r="F39" s="2488"/>
      <c r="G39" s="2488"/>
      <c r="H39" s="2488"/>
      <c r="I39" s="2488"/>
      <c r="J39" s="2488"/>
      <c r="K39" s="2500"/>
      <c r="L39" s="2496"/>
      <c r="M39" s="2488"/>
      <c r="N39" s="2488"/>
      <c r="O39" s="2488"/>
      <c r="P39" s="2488"/>
      <c r="Q39" s="2488"/>
      <c r="R39" s="2488"/>
      <c r="S39" s="2488"/>
      <c r="T39" s="2488"/>
      <c r="U39" s="2488"/>
      <c r="V39" s="2488"/>
      <c r="W39" s="2488"/>
      <c r="X39" s="2488"/>
      <c r="Y39" s="2488"/>
      <c r="Z39" s="2488"/>
      <c r="AA39" s="2488"/>
      <c r="AB39" s="2488"/>
      <c r="AC39" s="2488"/>
      <c r="AD39" s="2488"/>
    </row>
    <row r="40" spans="1:30" ht="13.5" customHeight="1">
      <c r="A40" s="2488"/>
      <c r="B40" s="2488"/>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500"/>
      <c r="L40" s="2496"/>
      <c r="M40" s="2488"/>
      <c r="N40" s="2488"/>
      <c r="O40" s="2488"/>
      <c r="P40" s="2488"/>
      <c r="Q40" s="2488"/>
      <c r="R40" s="2488"/>
      <c r="S40" s="2488"/>
      <c r="T40" s="2488"/>
      <c r="U40" s="2488"/>
      <c r="V40" s="2488"/>
      <c r="W40" s="2488"/>
      <c r="X40" s="2488"/>
      <c r="Y40" s="2488"/>
      <c r="Z40" s="2488"/>
      <c r="AA40" s="2488"/>
      <c r="AB40" s="2488"/>
      <c r="AC40" s="2488"/>
      <c r="AD40" s="2488"/>
    </row>
    <row r="41" spans="1:30" ht="13.5" customHeight="1">
      <c r="A41" s="2488"/>
      <c r="B41" s="2488"/>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500"/>
      <c r="L41" s="2496"/>
      <c r="M41" s="2488"/>
      <c r="N41" s="2488"/>
      <c r="O41" s="2488"/>
      <c r="P41" s="2488"/>
      <c r="Q41" s="2488"/>
      <c r="R41" s="2488"/>
      <c r="S41" s="2488"/>
      <c r="T41" s="2488"/>
      <c r="U41" s="2488"/>
      <c r="V41" s="2488"/>
      <c r="W41" s="2488"/>
      <c r="X41" s="2488"/>
      <c r="Y41" s="2488"/>
      <c r="Z41" s="2488"/>
      <c r="AA41" s="2488"/>
      <c r="AB41" s="2488"/>
      <c r="AC41" s="2488"/>
      <c r="AD41" s="2488"/>
    </row>
    <row r="42" spans="1:30" s="437" customFormat="1" ht="13.5" customHeight="1">
      <c r="A42" s="2498"/>
      <c r="B42" s="2498"/>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3"/>
      <c r="L42" s="2497"/>
      <c r="M42" s="2498"/>
      <c r="N42" s="2498"/>
      <c r="O42" s="2498"/>
      <c r="P42" s="2498"/>
      <c r="Q42" s="2498"/>
      <c r="R42" s="2498"/>
      <c r="S42" s="2498"/>
      <c r="T42" s="2498"/>
      <c r="U42" s="2498"/>
      <c r="V42" s="2498"/>
      <c r="W42" s="2498"/>
      <c r="X42" s="2498"/>
      <c r="Y42" s="2498"/>
      <c r="Z42" s="2498"/>
      <c r="AA42" s="2498"/>
      <c r="AB42" s="2498"/>
      <c r="AC42" s="2498"/>
      <c r="AD42" s="2498"/>
    </row>
    <row r="43" spans="1:30" s="437" customFormat="1">
      <c r="A43" s="2498"/>
      <c r="B43" s="2501"/>
      <c r="C43" s="2502"/>
      <c r="D43" s="2498"/>
      <c r="E43" s="2498"/>
      <c r="F43" s="2498"/>
      <c r="G43" s="2498"/>
      <c r="H43" s="2498"/>
      <c r="I43" s="2498"/>
      <c r="J43" s="2498"/>
      <c r="K43" s="2503"/>
      <c r="L43" s="2497"/>
      <c r="M43" s="2498"/>
      <c r="N43" s="2498"/>
      <c r="O43" s="2498"/>
      <c r="P43" s="2498"/>
      <c r="Q43" s="2498"/>
      <c r="R43" s="2498"/>
      <c r="S43" s="2498"/>
      <c r="T43" s="2498"/>
      <c r="U43" s="2498"/>
      <c r="V43" s="2498"/>
      <c r="W43" s="2498"/>
      <c r="X43" s="2498"/>
      <c r="Y43" s="2498"/>
      <c r="Z43" s="2498"/>
      <c r="AA43" s="2498"/>
      <c r="AB43" s="2498"/>
      <c r="AC43" s="2498"/>
      <c r="AD43" s="2498"/>
    </row>
    <row r="44" spans="1:30">
      <c r="A44" s="2488"/>
      <c r="B44" s="2501"/>
      <c r="C44" s="2502"/>
      <c r="D44" s="2488"/>
      <c r="E44" s="2488"/>
      <c r="F44" s="2488"/>
      <c r="G44" s="2488"/>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row>
    <row r="45" spans="1:30" ht="21.75" thickBot="1">
      <c r="A45" s="658" t="s">
        <v>1798</v>
      </c>
      <c r="B45" s="385"/>
      <c r="C45" s="659"/>
      <c r="D45" s="659"/>
      <c r="E45" s="659"/>
      <c r="F45" s="660"/>
      <c r="G45" s="660"/>
      <c r="H45" s="659"/>
      <c r="I45" s="659"/>
      <c r="J45" s="659"/>
      <c r="K45" s="661"/>
      <c r="L45" s="662"/>
      <c r="M45" s="659"/>
      <c r="N45" s="2537"/>
      <c r="O45" s="2537"/>
      <c r="P45" s="2537"/>
      <c r="Q45" s="2509"/>
      <c r="R45" s="2488"/>
      <c r="S45" s="2488"/>
      <c r="T45" s="2488"/>
      <c r="U45" s="2488"/>
      <c r="V45" s="2488"/>
      <c r="W45" s="2488"/>
      <c r="X45" s="2488"/>
      <c r="Y45" s="2488"/>
      <c r="Z45" s="2488"/>
      <c r="AA45" s="2488"/>
      <c r="AB45" s="2488"/>
      <c r="AC45" s="2488"/>
      <c r="AD45" s="2488"/>
    </row>
    <row r="46" spans="1:30" s="442" customFormat="1" ht="15">
      <c r="A46" s="440" t="s">
        <v>1679</v>
      </c>
      <c r="B46" s="441"/>
      <c r="C46" s="1103" t="str">
        <f>YEAR(C7)&amp;"-"&amp;MONTH(C7)</f>
        <v>2025-5</v>
      </c>
      <c r="D46" s="1104">
        <f>EDATE(C46,-1)</f>
        <v>45748</v>
      </c>
      <c r="E46" s="1104">
        <f t="shared" ref="E46:O46" si="16">EDATE(D46,-1)</f>
        <v>45717</v>
      </c>
      <c r="F46" s="1104">
        <f t="shared" si="16"/>
        <v>45689</v>
      </c>
      <c r="G46" s="1104">
        <f t="shared" si="16"/>
        <v>45658</v>
      </c>
      <c r="H46" s="1104">
        <f t="shared" si="16"/>
        <v>45627</v>
      </c>
      <c r="I46" s="1104">
        <f t="shared" si="16"/>
        <v>45597</v>
      </c>
      <c r="J46" s="1104">
        <f t="shared" si="16"/>
        <v>45566</v>
      </c>
      <c r="K46" s="1104">
        <f t="shared" si="16"/>
        <v>45536</v>
      </c>
      <c r="L46" s="1104">
        <f t="shared" si="16"/>
        <v>45505</v>
      </c>
      <c r="M46" s="1104">
        <f t="shared" si="16"/>
        <v>45474</v>
      </c>
      <c r="N46" s="1104">
        <f t="shared" si="16"/>
        <v>45444</v>
      </c>
      <c r="O46" s="1104">
        <f t="shared" si="16"/>
        <v>45413</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9"/>
      <c r="Q47" s="2440"/>
      <c r="R47" s="2440"/>
      <c r="S47" s="2440"/>
      <c r="T47" s="2440"/>
      <c r="U47" s="2440"/>
      <c r="V47" s="2440"/>
      <c r="W47" s="2440"/>
      <c r="X47" s="2440"/>
      <c r="Y47" s="2440"/>
      <c r="Z47" s="2440"/>
      <c r="AA47" s="2440"/>
      <c r="AB47" s="2440"/>
      <c r="AC47" s="2440"/>
      <c r="AD47" s="2440"/>
    </row>
    <row r="48" spans="1:30" s="102" customFormat="1" ht="15.75" thickBot="1">
      <c r="A48" s="449" t="s">
        <v>1716</v>
      </c>
      <c r="B48" s="450"/>
      <c r="C48" s="451"/>
      <c r="D48" s="452"/>
      <c r="E48" s="452"/>
      <c r="F48" s="452"/>
      <c r="G48" s="452"/>
      <c r="H48" s="452"/>
      <c r="I48" s="452"/>
      <c r="J48" s="452"/>
      <c r="K48" s="452"/>
      <c r="L48" s="452"/>
      <c r="M48" s="453"/>
      <c r="N48" s="452"/>
      <c r="O48" s="454"/>
      <c r="P48" s="2509"/>
      <c r="Q48" s="2509"/>
      <c r="R48" s="2440"/>
      <c r="S48" s="2440"/>
      <c r="T48" s="2440"/>
      <c r="U48" s="2440"/>
      <c r="V48" s="2440"/>
      <c r="W48" s="2440"/>
      <c r="X48" s="2440"/>
      <c r="Y48" s="2440"/>
      <c r="Z48" s="2440"/>
      <c r="AA48" s="2440"/>
      <c r="AB48" s="2440"/>
      <c r="AC48" s="2440"/>
      <c r="AD48" s="2440"/>
    </row>
    <row r="49" spans="1:30" s="102" customFormat="1" ht="15">
      <c r="A49" s="455" t="s">
        <v>1681</v>
      </c>
      <c r="B49" s="444"/>
      <c r="C49" s="456" t="s">
        <v>1776</v>
      </c>
      <c r="D49" s="31"/>
      <c r="E49" s="31"/>
      <c r="F49" s="31"/>
      <c r="G49" s="31"/>
      <c r="H49" s="31"/>
      <c r="I49" s="31"/>
      <c r="J49" s="31"/>
      <c r="K49" s="31"/>
      <c r="L49" s="457"/>
      <c r="M49" s="458"/>
      <c r="N49" s="2520"/>
      <c r="O49" s="2520"/>
      <c r="P49" s="2544"/>
      <c r="Q49" s="2509"/>
      <c r="R49" s="2440"/>
      <c r="S49" s="2440"/>
      <c r="T49" s="2440"/>
      <c r="U49" s="2440"/>
      <c r="V49" s="2440"/>
      <c r="W49" s="2440"/>
      <c r="X49" s="2440"/>
      <c r="Y49" s="2440"/>
      <c r="Z49" s="2440"/>
      <c r="AA49" s="2440"/>
      <c r="AB49" s="2440"/>
      <c r="AC49" s="2440"/>
      <c r="AD49" s="2440"/>
    </row>
    <row r="50" spans="1:30" s="102" customFormat="1" ht="15.75" thickBot="1">
      <c r="A50" s="455"/>
      <c r="B50" s="444"/>
      <c r="C50" s="563">
        <v>100</v>
      </c>
      <c r="D50" s="446"/>
      <c r="E50" s="446"/>
      <c r="F50" s="446"/>
      <c r="G50" s="446"/>
      <c r="H50" s="446"/>
      <c r="I50" s="446"/>
      <c r="J50" s="446"/>
      <c r="K50" s="446"/>
      <c r="L50" s="446"/>
      <c r="M50" s="448"/>
      <c r="N50" s="2520"/>
      <c r="O50" s="2520"/>
      <c r="P50" s="2509"/>
      <c r="Q50" s="2509"/>
      <c r="R50" s="2440"/>
      <c r="S50" s="2440"/>
      <c r="T50" s="2440"/>
      <c r="U50" s="2440"/>
      <c r="V50" s="2440"/>
      <c r="W50" s="2440"/>
      <c r="X50" s="2440"/>
      <c r="Y50" s="2440"/>
      <c r="Z50" s="2440"/>
      <c r="AA50" s="2440"/>
      <c r="AB50" s="2440"/>
      <c r="AC50" s="2440"/>
      <c r="AD50" s="2440"/>
    </row>
    <row r="51" spans="1:30">
      <c r="A51" s="379" t="s">
        <v>1719</v>
      </c>
      <c r="B51" s="460" t="s">
        <v>1685</v>
      </c>
      <c r="C51" s="461">
        <f>C9</f>
        <v>0</v>
      </c>
      <c r="D51" s="462"/>
      <c r="E51" s="462"/>
      <c r="F51" s="462"/>
      <c r="G51" s="462"/>
      <c r="H51" s="462"/>
      <c r="I51" s="462"/>
      <c r="J51" s="462"/>
      <c r="K51" s="463"/>
      <c r="L51" s="464"/>
      <c r="M51" s="465"/>
      <c r="N51" s="2521"/>
      <c r="O51" s="2521"/>
      <c r="P51" s="2520"/>
      <c r="Q51" s="2509"/>
      <c r="R51" s="2488"/>
      <c r="S51" s="2488"/>
      <c r="T51" s="2488"/>
      <c r="U51" s="2488"/>
      <c r="V51" s="2488"/>
      <c r="W51" s="2488"/>
      <c r="X51" s="2488"/>
      <c r="Y51" s="2488"/>
      <c r="Z51" s="2488"/>
      <c r="AA51" s="2488"/>
      <c r="AB51" s="2488"/>
      <c r="AC51" s="2488"/>
      <c r="AD51" s="2488"/>
    </row>
    <row r="52" spans="1:30" ht="15.75" thickBot="1">
      <c r="A52" s="367"/>
      <c r="B52" s="466"/>
      <c r="C52" s="467">
        <v>100</v>
      </c>
      <c r="D52" s="467"/>
      <c r="E52" s="467"/>
      <c r="F52" s="467"/>
      <c r="G52" s="467"/>
      <c r="H52" s="467"/>
      <c r="I52" s="467"/>
      <c r="J52" s="467"/>
      <c r="K52" s="467"/>
      <c r="L52" s="467"/>
      <c r="M52" s="468"/>
      <c r="N52" s="2522"/>
      <c r="O52" s="2522"/>
      <c r="P52" s="2520"/>
      <c r="Q52" s="2509"/>
      <c r="R52" s="2488"/>
      <c r="S52" s="2488"/>
      <c r="T52" s="2488"/>
      <c r="U52" s="2488"/>
      <c r="V52" s="2488"/>
      <c r="W52" s="2488"/>
      <c r="X52" s="2488"/>
      <c r="Y52" s="2488"/>
      <c r="Z52" s="2488"/>
      <c r="AA52" s="2488"/>
      <c r="AB52" s="2488"/>
      <c r="AC52" s="2488"/>
      <c r="AD52" s="2488"/>
    </row>
    <row r="53" spans="1:30" ht="27.75" thickTop="1">
      <c r="A53" s="367"/>
      <c r="B53" s="469" t="s">
        <v>1688</v>
      </c>
      <c r="C53" s="513"/>
      <c r="D53" s="513"/>
      <c r="E53" s="513"/>
      <c r="F53" s="513"/>
      <c r="G53" s="513"/>
      <c r="H53" s="513"/>
      <c r="I53" s="513"/>
      <c r="J53" s="513"/>
      <c r="K53" s="514"/>
      <c r="L53" s="515"/>
      <c r="M53" s="516"/>
      <c r="N53" s="2521"/>
      <c r="O53" s="2521"/>
      <c r="P53" s="2520"/>
      <c r="Q53" s="2509"/>
      <c r="R53" s="2488"/>
      <c r="S53" s="2488"/>
      <c r="T53" s="2488"/>
      <c r="U53" s="2488"/>
      <c r="V53" s="2488"/>
      <c r="W53" s="2488"/>
      <c r="X53" s="2488"/>
      <c r="Y53" s="2488"/>
      <c r="Z53" s="2488"/>
      <c r="AA53" s="2488"/>
      <c r="AB53" s="2488"/>
      <c r="AC53" s="2488"/>
      <c r="AD53" s="2488"/>
    </row>
    <row r="54" spans="1:30" ht="15.75" thickBot="1">
      <c r="A54" s="367"/>
      <c r="B54" s="474"/>
      <c r="C54" s="467"/>
      <c r="D54" s="467"/>
      <c r="E54" s="467"/>
      <c r="F54" s="467"/>
      <c r="G54" s="467"/>
      <c r="H54" s="467"/>
      <c r="I54" s="467"/>
      <c r="J54" s="467"/>
      <c r="K54" s="467"/>
      <c r="L54" s="467"/>
      <c r="M54" s="468"/>
      <c r="N54" s="2522"/>
      <c r="O54" s="2522"/>
      <c r="P54" s="2520"/>
      <c r="Q54" s="2509"/>
      <c r="R54" s="2488"/>
      <c r="S54" s="2488"/>
      <c r="T54" s="2488"/>
      <c r="U54" s="2488"/>
      <c r="V54" s="2488"/>
      <c r="W54" s="2488"/>
      <c r="X54" s="2488"/>
      <c r="Y54" s="2488"/>
      <c r="Z54" s="2488"/>
      <c r="AA54" s="2488"/>
      <c r="AB54" s="2488"/>
      <c r="AC54" s="2488"/>
      <c r="AD54" s="2488"/>
    </row>
    <row r="55" spans="1:30" ht="15.75" thickTop="1">
      <c r="A55" s="367"/>
      <c r="B55" s="581">
        <f>B11</f>
        <v>111</v>
      </c>
      <c r="C55" s="480"/>
      <c r="D55" s="480"/>
      <c r="E55" s="480"/>
      <c r="F55" s="480"/>
      <c r="G55" s="480"/>
      <c r="H55" s="480"/>
      <c r="I55" s="480"/>
      <c r="J55" s="480"/>
      <c r="K55" s="481"/>
      <c r="L55" s="482"/>
      <c r="M55" s="483"/>
      <c r="N55" s="2521"/>
      <c r="O55" s="2521"/>
      <c r="P55" s="2520"/>
      <c r="Q55" s="2509"/>
      <c r="R55" s="2488"/>
      <c r="S55" s="2488"/>
      <c r="T55" s="2488"/>
      <c r="U55" s="2488"/>
      <c r="V55" s="2488"/>
      <c r="W55" s="2488"/>
      <c r="X55" s="2488"/>
      <c r="Y55" s="2488"/>
      <c r="Z55" s="2488"/>
      <c r="AA55" s="2488"/>
      <c r="AB55" s="2488"/>
      <c r="AC55" s="2488"/>
      <c r="AD55" s="2488"/>
    </row>
    <row r="56" spans="1:30" ht="15.75" thickBot="1">
      <c r="A56" s="367"/>
      <c r="B56" s="466"/>
      <c r="C56" s="491"/>
      <c r="D56" s="467"/>
      <c r="E56" s="467"/>
      <c r="F56" s="467"/>
      <c r="G56" s="467"/>
      <c r="H56" s="467"/>
      <c r="I56" s="467"/>
      <c r="J56" s="467"/>
      <c r="K56" s="467"/>
      <c r="L56" s="467"/>
      <c r="M56" s="468"/>
      <c r="N56" s="2522"/>
      <c r="O56" s="2522"/>
      <c r="P56" s="2520"/>
      <c r="Q56" s="2509"/>
      <c r="R56" s="2488"/>
      <c r="S56" s="2488"/>
      <c r="T56" s="2488"/>
      <c r="U56" s="2488"/>
      <c r="V56" s="2488"/>
      <c r="W56" s="2488"/>
      <c r="X56" s="2488"/>
      <c r="Y56" s="2488"/>
      <c r="Z56" s="2488"/>
      <c r="AA56" s="2488"/>
      <c r="AB56" s="2488"/>
      <c r="AC56" s="2488"/>
      <c r="AD56" s="2488"/>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4"/>
      <c r="S57" s="2494"/>
      <c r="T57" s="2494"/>
      <c r="U57" s="2494"/>
      <c r="V57" s="2494"/>
      <c r="W57" s="2494"/>
      <c r="X57" s="2494"/>
      <c r="Y57" s="2494"/>
      <c r="Z57" s="2494"/>
      <c r="AA57" s="2494"/>
      <c r="AB57" s="2494"/>
      <c r="AC57" s="2494"/>
      <c r="AD57" s="2494"/>
    </row>
    <row r="58" spans="1:30" s="408" customFormat="1" ht="15.75" thickBot="1">
      <c r="A58" s="484"/>
      <c r="B58" s="474"/>
      <c r="C58" s="491"/>
      <c r="D58" s="467"/>
      <c r="E58" s="467"/>
      <c r="F58" s="467"/>
      <c r="G58" s="467"/>
      <c r="H58" s="467"/>
      <c r="I58" s="467"/>
      <c r="J58" s="467"/>
      <c r="K58" s="467"/>
      <c r="L58" s="467"/>
      <c r="M58" s="468"/>
      <c r="N58" s="2522"/>
      <c r="O58" s="2522"/>
      <c r="P58" s="2523"/>
      <c r="Q58" s="2515"/>
      <c r="R58" s="2494"/>
      <c r="S58" s="2494"/>
      <c r="T58" s="2494"/>
      <c r="U58" s="2494"/>
      <c r="V58" s="2494"/>
      <c r="W58" s="2494"/>
      <c r="X58" s="2494"/>
      <c r="Y58" s="2494"/>
      <c r="Z58" s="2494"/>
      <c r="AA58" s="2494"/>
      <c r="AB58" s="2494"/>
      <c r="AC58" s="2494"/>
      <c r="AD58" s="2494"/>
    </row>
    <row r="59" spans="1:30" s="408" customFormat="1" ht="15.75" thickTop="1">
      <c r="A59" s="484"/>
      <c r="B59" s="469">
        <f>B13</f>
        <v>111</v>
      </c>
      <c r="C59" s="480"/>
      <c r="D59" s="480"/>
      <c r="E59" s="480"/>
      <c r="F59" s="480"/>
      <c r="G59" s="485"/>
      <c r="H59" s="486"/>
      <c r="I59" s="486"/>
      <c r="J59" s="486"/>
      <c r="K59" s="486"/>
      <c r="L59" s="487"/>
      <c r="M59" s="488"/>
      <c r="N59" s="2523"/>
      <c r="O59" s="2523"/>
      <c r="P59" s="2494"/>
      <c r="Q59" s="2517"/>
      <c r="R59" s="2494"/>
      <c r="S59" s="2494"/>
      <c r="T59" s="2494"/>
      <c r="U59" s="2494"/>
      <c r="V59" s="2494"/>
      <c r="W59" s="2494"/>
      <c r="X59" s="2494"/>
      <c r="Y59" s="2494"/>
      <c r="Z59" s="2494"/>
      <c r="AA59" s="2494"/>
      <c r="AB59" s="2494"/>
      <c r="AC59" s="2494"/>
      <c r="AD59" s="2494"/>
    </row>
    <row r="60" spans="1:30" s="408" customFormat="1" ht="15.75" thickBot="1">
      <c r="A60" s="484"/>
      <c r="B60" s="474"/>
      <c r="C60" s="491"/>
      <c r="D60" s="491"/>
      <c r="E60" s="491"/>
      <c r="F60" s="491"/>
      <c r="G60" s="491"/>
      <c r="H60" s="493"/>
      <c r="I60" s="493"/>
      <c r="J60" s="493"/>
      <c r="K60" s="493"/>
      <c r="L60" s="493"/>
      <c r="M60" s="494"/>
      <c r="N60" s="2523"/>
      <c r="O60" s="2523"/>
      <c r="P60" s="2523"/>
      <c r="Q60" s="2515"/>
      <c r="R60" s="2494"/>
      <c r="S60" s="2494"/>
      <c r="T60" s="2494"/>
      <c r="U60" s="2494"/>
      <c r="V60" s="2494"/>
      <c r="W60" s="2494"/>
      <c r="X60" s="2494"/>
      <c r="Y60" s="2494"/>
      <c r="Z60" s="2494"/>
      <c r="AA60" s="2494"/>
      <c r="AB60" s="2494"/>
      <c r="AC60" s="2494"/>
      <c r="AD60" s="2494"/>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9"/>
      <c r="R61" s="2488"/>
      <c r="S61" s="2488"/>
      <c r="T61" s="2488"/>
      <c r="U61" s="2488"/>
      <c r="V61" s="2488"/>
      <c r="W61" s="2488"/>
      <c r="X61" s="2488"/>
      <c r="Y61" s="2488"/>
      <c r="Z61" s="2488"/>
      <c r="AA61" s="2488"/>
      <c r="AB61" s="2488"/>
      <c r="AC61" s="2488"/>
      <c r="AD61" s="2488"/>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9"/>
      <c r="R62" s="2488"/>
      <c r="S62" s="2488"/>
      <c r="T62" s="2488"/>
      <c r="U62" s="2488"/>
      <c r="V62" s="2488"/>
      <c r="W62" s="2488"/>
      <c r="X62" s="2488"/>
      <c r="Y62" s="2488"/>
      <c r="Z62" s="2488"/>
      <c r="AA62" s="2488"/>
      <c r="AB62" s="2488"/>
      <c r="AC62" s="2488"/>
      <c r="AD62" s="2488"/>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9"/>
      <c r="R63" s="2488"/>
      <c r="S63" s="2488"/>
      <c r="T63" s="2488"/>
      <c r="U63" s="2488"/>
      <c r="V63" s="2488"/>
      <c r="W63" s="2488"/>
      <c r="X63" s="2488"/>
      <c r="Y63" s="2488"/>
      <c r="Z63" s="2488"/>
      <c r="AA63" s="2488"/>
      <c r="AB63" s="2488"/>
      <c r="AC63" s="2488"/>
      <c r="AD63" s="2488"/>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9"/>
      <c r="R64" s="2488"/>
      <c r="S64" s="2488"/>
      <c r="T64" s="2488"/>
      <c r="U64" s="2488"/>
      <c r="V64" s="2488"/>
      <c r="W64" s="2488"/>
      <c r="X64" s="2488"/>
      <c r="Y64" s="2488"/>
      <c r="Z64" s="2488"/>
      <c r="AA64" s="2488"/>
      <c r="AB64" s="2488"/>
      <c r="AC64" s="2488"/>
      <c r="AD64" s="2488"/>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9"/>
      <c r="R65" s="2488"/>
      <c r="S65" s="2488"/>
      <c r="T65" s="2488"/>
      <c r="U65" s="2488"/>
      <c r="V65" s="2488"/>
      <c r="W65" s="2488"/>
      <c r="X65" s="2488"/>
      <c r="Y65" s="2488"/>
      <c r="Z65" s="2488"/>
      <c r="AA65" s="2488"/>
      <c r="AB65" s="2488"/>
      <c r="AC65" s="2488"/>
      <c r="AD65" s="2488"/>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9"/>
      <c r="R66" s="2488"/>
      <c r="S66" s="2488"/>
      <c r="T66" s="2488"/>
      <c r="U66" s="2488"/>
      <c r="V66" s="2488"/>
      <c r="W66" s="2488"/>
      <c r="X66" s="2488"/>
      <c r="Y66" s="2488"/>
      <c r="Z66" s="2488"/>
      <c r="AA66" s="2488"/>
      <c r="AB66" s="2488"/>
      <c r="AC66" s="2488"/>
      <c r="AD66" s="2488"/>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9"/>
      <c r="R67" s="2488"/>
      <c r="S67" s="2488"/>
      <c r="T67" s="2488"/>
      <c r="U67" s="2488"/>
      <c r="V67" s="2488"/>
      <c r="W67" s="2488"/>
      <c r="X67" s="2488"/>
      <c r="Y67" s="2488"/>
      <c r="Z67" s="2488"/>
      <c r="AA67" s="2488"/>
      <c r="AB67" s="2488"/>
      <c r="AC67" s="2488"/>
      <c r="AD67" s="2488"/>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9"/>
      <c r="R68" s="2488"/>
      <c r="S68" s="2488"/>
      <c r="T68" s="2488"/>
      <c r="U68" s="2488"/>
      <c r="V68" s="2488"/>
      <c r="W68" s="2488"/>
      <c r="X68" s="2488"/>
      <c r="Y68" s="2488"/>
      <c r="Z68" s="2488"/>
      <c r="AA68" s="2488"/>
      <c r="AB68" s="2488"/>
      <c r="AC68" s="2488"/>
      <c r="AD68" s="2488"/>
    </row>
    <row r="69" spans="1:30" ht="15.75" thickTop="1">
      <c r="A69" s="367"/>
      <c r="B69" s="469" t="s">
        <v>1852</v>
      </c>
      <c r="C69" s="485"/>
      <c r="D69" s="485"/>
      <c r="E69" s="485"/>
      <c r="F69" s="485"/>
      <c r="G69" s="485"/>
      <c r="H69" s="513"/>
      <c r="I69" s="513"/>
      <c r="J69" s="513"/>
      <c r="K69" s="514"/>
      <c r="L69" s="515"/>
      <c r="M69" s="516"/>
      <c r="N69" s="2521"/>
      <c r="O69" s="2521"/>
      <c r="P69" s="2520"/>
      <c r="Q69" s="2509"/>
      <c r="R69" s="2488"/>
      <c r="S69" s="2488"/>
      <c r="T69" s="2488"/>
      <c r="U69" s="2488"/>
      <c r="V69" s="2488"/>
      <c r="W69" s="2488"/>
      <c r="X69" s="2488"/>
      <c r="Y69" s="2488"/>
      <c r="Z69" s="2488"/>
      <c r="AA69" s="2488"/>
      <c r="AB69" s="2488"/>
      <c r="AC69" s="2488"/>
      <c r="AD69" s="2488"/>
    </row>
    <row r="70" spans="1:30" ht="15.75" thickBot="1">
      <c r="A70" s="367"/>
      <c r="B70" s="474"/>
      <c r="C70" s="475">
        <v>100</v>
      </c>
      <c r="D70" s="475">
        <f>C70-$K22</f>
        <v>100</v>
      </c>
      <c r="E70" s="475"/>
      <c r="F70" s="475"/>
      <c r="G70" s="475"/>
      <c r="H70" s="475"/>
      <c r="I70" s="475"/>
      <c r="J70" s="475"/>
      <c r="K70" s="475"/>
      <c r="L70" s="475"/>
      <c r="M70" s="476"/>
      <c r="N70" s="2522"/>
      <c r="O70" s="2522"/>
      <c r="P70" s="2520"/>
      <c r="Q70" s="2509"/>
      <c r="R70" s="2488"/>
      <c r="S70" s="2488"/>
      <c r="T70" s="2488"/>
      <c r="U70" s="2488"/>
      <c r="V70" s="2488"/>
      <c r="W70" s="2488"/>
      <c r="X70" s="2488"/>
      <c r="Y70" s="2488"/>
      <c r="Z70" s="2488"/>
      <c r="AA70" s="2488"/>
      <c r="AB70" s="2488"/>
      <c r="AC70" s="2488"/>
      <c r="AD70" s="2488"/>
    </row>
    <row r="71" spans="1:30" s="102" customFormat="1" ht="15.75" thickTop="1">
      <c r="A71" s="370"/>
      <c r="B71" s="469">
        <f>B23</f>
        <v>111</v>
      </c>
      <c r="C71" s="480"/>
      <c r="D71" s="480"/>
      <c r="E71" s="480"/>
      <c r="F71" s="480"/>
      <c r="G71" s="485"/>
      <c r="H71" s="485"/>
      <c r="I71" s="485"/>
      <c r="J71" s="485"/>
      <c r="K71" s="485"/>
      <c r="L71" s="510"/>
      <c r="M71" s="511"/>
      <c r="N71" s="2520"/>
      <c r="O71" s="2520"/>
      <c r="P71" s="2520"/>
      <c r="Q71" s="2509"/>
      <c r="R71" s="2440"/>
      <c r="S71" s="2440"/>
      <c r="T71" s="2440"/>
      <c r="U71" s="2440"/>
      <c r="V71" s="2440"/>
      <c r="W71" s="2440"/>
      <c r="X71" s="2440"/>
      <c r="Y71" s="2440"/>
      <c r="Z71" s="2440"/>
      <c r="AA71" s="2440"/>
      <c r="AB71" s="2440"/>
      <c r="AC71" s="2440"/>
      <c r="AD71" s="2440"/>
    </row>
    <row r="72" spans="1:30" s="102" customFormat="1" ht="15.75" thickBot="1">
      <c r="A72" s="370"/>
      <c r="B72" s="474"/>
      <c r="C72" s="491"/>
      <c r="D72" s="467"/>
      <c r="E72" s="467"/>
      <c r="F72" s="467"/>
      <c r="G72" s="467"/>
      <c r="H72" s="467"/>
      <c r="I72" s="467"/>
      <c r="J72" s="467"/>
      <c r="K72" s="467"/>
      <c r="L72" s="467"/>
      <c r="M72" s="468"/>
      <c r="N72" s="2522"/>
      <c r="O72" s="2522"/>
      <c r="P72" s="2520"/>
      <c r="Q72" s="2509"/>
      <c r="R72" s="2440"/>
      <c r="S72" s="2440"/>
      <c r="T72" s="2440"/>
      <c r="U72" s="2440"/>
      <c r="V72" s="2440"/>
      <c r="W72" s="2440"/>
      <c r="X72" s="2440"/>
      <c r="Y72" s="2440"/>
      <c r="Z72" s="2440"/>
      <c r="AA72" s="2440"/>
      <c r="AB72" s="2440"/>
      <c r="AC72" s="2440"/>
      <c r="AD72" s="2440"/>
    </row>
    <row r="73" spans="1:30" s="102" customFormat="1" ht="15.75" thickTop="1">
      <c r="A73" s="370"/>
      <c r="B73" s="469">
        <f>B24</f>
        <v>111</v>
      </c>
      <c r="C73" s="480"/>
      <c r="D73" s="480"/>
      <c r="E73" s="480"/>
      <c r="F73" s="480"/>
      <c r="G73" s="485"/>
      <c r="H73" s="485"/>
      <c r="I73" s="485"/>
      <c r="J73" s="485"/>
      <c r="K73" s="485"/>
      <c r="L73" s="485"/>
      <c r="M73" s="511"/>
      <c r="N73" s="2520"/>
      <c r="O73" s="2520"/>
      <c r="P73" s="2520"/>
      <c r="Q73" s="2509"/>
      <c r="R73" s="2440"/>
      <c r="S73" s="2440"/>
      <c r="T73" s="2440"/>
      <c r="U73" s="2440"/>
      <c r="V73" s="2440"/>
      <c r="W73" s="2440"/>
      <c r="X73" s="2440"/>
      <c r="Y73" s="2440"/>
      <c r="Z73" s="2440"/>
      <c r="AA73" s="2440"/>
      <c r="AB73" s="2440"/>
      <c r="AC73" s="2440"/>
      <c r="AD73" s="2440"/>
    </row>
    <row r="74" spans="1:30" s="102" customFormat="1" ht="15.75" thickBot="1">
      <c r="A74" s="370"/>
      <c r="B74" s="474"/>
      <c r="C74" s="491"/>
      <c r="D74" s="467"/>
      <c r="E74" s="467"/>
      <c r="F74" s="467"/>
      <c r="G74" s="467"/>
      <c r="H74" s="467"/>
      <c r="I74" s="467"/>
      <c r="J74" s="467"/>
      <c r="K74" s="467"/>
      <c r="L74" s="467"/>
      <c r="M74" s="468"/>
      <c r="N74" s="2522"/>
      <c r="O74" s="2522"/>
      <c r="P74" s="2520"/>
      <c r="Q74" s="2509"/>
      <c r="R74" s="2440"/>
      <c r="S74" s="2440"/>
      <c r="T74" s="2440"/>
      <c r="U74" s="2440"/>
      <c r="V74" s="2440"/>
      <c r="W74" s="2440"/>
      <c r="X74" s="2440"/>
      <c r="Y74" s="2440"/>
      <c r="Z74" s="2440"/>
      <c r="AA74" s="2440"/>
      <c r="AB74" s="2440"/>
      <c r="AC74" s="2440"/>
      <c r="AD74" s="2440"/>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4"/>
      <c r="S75" s="2494"/>
      <c r="T75" s="2494"/>
      <c r="U75" s="2494"/>
      <c r="V75" s="2494"/>
      <c r="W75" s="2494"/>
      <c r="X75" s="2494"/>
      <c r="Y75" s="2494"/>
      <c r="Z75" s="2494"/>
      <c r="AA75" s="2494"/>
      <c r="AB75" s="2494"/>
      <c r="AC75" s="2494"/>
      <c r="AD75" s="2494"/>
    </row>
    <row r="76" spans="1:30" s="408" customFormat="1" ht="15.75" thickBot="1">
      <c r="A76" s="484"/>
      <c r="B76" s="474"/>
      <c r="C76" s="491"/>
      <c r="D76" s="491"/>
      <c r="E76" s="491"/>
      <c r="F76" s="491"/>
      <c r="G76" s="467"/>
      <c r="H76" s="467"/>
      <c r="I76" s="467"/>
      <c r="J76" s="467"/>
      <c r="K76" s="467"/>
      <c r="L76" s="467"/>
      <c r="M76" s="468"/>
      <c r="N76" s="2523"/>
      <c r="O76" s="2523"/>
      <c r="P76" s="2523"/>
      <c r="Q76" s="2515"/>
      <c r="R76" s="2494"/>
      <c r="S76" s="2494"/>
      <c r="T76" s="2494"/>
      <c r="U76" s="2494"/>
      <c r="V76" s="2494"/>
      <c r="W76" s="2494"/>
      <c r="X76" s="2494"/>
      <c r="Y76" s="2494"/>
      <c r="Z76" s="2494"/>
      <c r="AA76" s="2494"/>
      <c r="AB76" s="2494"/>
      <c r="AC76" s="2494"/>
      <c r="AD76" s="2494"/>
    </row>
    <row r="77" spans="1:30" ht="15" thickTop="1">
      <c r="A77" s="379" t="s">
        <v>1694</v>
      </c>
      <c r="B77" s="460" t="s">
        <v>1740</v>
      </c>
      <c r="C77" s="485"/>
      <c r="D77" s="485"/>
      <c r="E77" s="462"/>
      <c r="F77" s="462"/>
      <c r="G77" s="462"/>
      <c r="H77" s="462"/>
      <c r="I77" s="462"/>
      <c r="J77" s="462"/>
      <c r="K77" s="463"/>
      <c r="L77" s="464"/>
      <c r="M77" s="465"/>
      <c r="N77" s="2521"/>
      <c r="O77" s="2521"/>
      <c r="P77" s="2520"/>
      <c r="Q77" s="2509"/>
      <c r="R77" s="2488"/>
      <c r="S77" s="2488"/>
      <c r="T77" s="2488"/>
      <c r="U77" s="2488"/>
      <c r="V77" s="2488"/>
      <c r="W77" s="2488"/>
      <c r="X77" s="2488"/>
      <c r="Y77" s="2488"/>
      <c r="Z77" s="2488"/>
      <c r="AA77" s="2488"/>
      <c r="AB77" s="2488"/>
      <c r="AC77" s="2488"/>
      <c r="AD77" s="2488"/>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9"/>
      <c r="R78" s="2488"/>
      <c r="S78" s="2488"/>
      <c r="T78" s="2488"/>
      <c r="U78" s="2488"/>
      <c r="V78" s="2488"/>
      <c r="W78" s="2488"/>
      <c r="X78" s="2488"/>
      <c r="Y78" s="2488"/>
      <c r="Z78" s="2488"/>
      <c r="AA78" s="2488"/>
      <c r="AB78" s="2488"/>
      <c r="AC78" s="2488"/>
      <c r="AD78" s="2488"/>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9"/>
      <c r="R79" s="2488"/>
      <c r="S79" s="2488"/>
      <c r="T79" s="2488"/>
      <c r="U79" s="2488"/>
      <c r="V79" s="2488"/>
      <c r="W79" s="2488"/>
      <c r="X79" s="2488"/>
      <c r="Y79" s="2488"/>
      <c r="Z79" s="2488"/>
      <c r="AA79" s="2488"/>
      <c r="AB79" s="2488"/>
      <c r="AC79" s="2488"/>
      <c r="AD79" s="2488"/>
    </row>
    <row r="80" spans="1:30" ht="15">
      <c r="A80" s="367"/>
      <c r="B80" s="477"/>
      <c r="C80" s="530">
        <v>0.5</v>
      </c>
      <c r="D80" s="530">
        <v>0.6</v>
      </c>
      <c r="E80" s="530">
        <v>0.7</v>
      </c>
      <c r="F80" s="530">
        <v>0.8</v>
      </c>
      <c r="G80" s="530">
        <v>0.9</v>
      </c>
      <c r="H80" s="530">
        <v>1.0001</v>
      </c>
      <c r="I80" s="581"/>
      <c r="J80" s="581"/>
      <c r="K80" s="588"/>
      <c r="L80" s="589"/>
      <c r="M80" s="590"/>
      <c r="N80" s="2520"/>
      <c r="O80" s="2520"/>
      <c r="P80" s="2520"/>
      <c r="Q80" s="2509"/>
      <c r="R80" s="2488"/>
      <c r="S80" s="2488"/>
      <c r="T80" s="2488"/>
      <c r="U80" s="2488"/>
      <c r="V80" s="2488"/>
      <c r="W80" s="2488"/>
      <c r="X80" s="2488"/>
      <c r="Y80" s="2488"/>
      <c r="Z80" s="2488"/>
      <c r="AA80" s="2488"/>
      <c r="AB80" s="2488"/>
      <c r="AC80" s="2488"/>
      <c r="AD80" s="2488"/>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4"/>
      <c r="S81" s="2494"/>
      <c r="T81" s="2494"/>
      <c r="U81" s="2494"/>
      <c r="V81" s="2494"/>
      <c r="W81" s="2494"/>
      <c r="X81" s="2494"/>
      <c r="Y81" s="2494"/>
      <c r="Z81" s="2494"/>
      <c r="AA81" s="2494"/>
      <c r="AB81" s="2494"/>
      <c r="AC81" s="2494"/>
      <c r="AD81" s="2494"/>
    </row>
    <row r="82" spans="1:30" ht="15" thickTop="1">
      <c r="A82" s="409"/>
      <c r="B82" s="477" t="s">
        <v>1856</v>
      </c>
      <c r="C82" s="485"/>
      <c r="D82" s="485"/>
      <c r="E82" s="513"/>
      <c r="F82" s="513"/>
      <c r="G82" s="513"/>
      <c r="H82" s="513"/>
      <c r="I82" s="513"/>
      <c r="J82" s="513"/>
      <c r="K82" s="514"/>
      <c r="L82" s="515"/>
      <c r="M82" s="516"/>
      <c r="N82" s="2521"/>
      <c r="O82" s="2521"/>
      <c r="P82" s="2520"/>
      <c r="Q82" s="2509"/>
      <c r="R82" s="2488"/>
      <c r="S82" s="2488"/>
      <c r="T82" s="2488"/>
      <c r="U82" s="2488"/>
      <c r="V82" s="2488"/>
      <c r="W82" s="2488"/>
      <c r="X82" s="2488"/>
      <c r="Y82" s="2488"/>
      <c r="Z82" s="2488"/>
      <c r="AA82" s="2488"/>
      <c r="AB82" s="2488"/>
      <c r="AC82" s="2488"/>
      <c r="AD82" s="2488"/>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9"/>
      <c r="R83" s="2488"/>
      <c r="S83" s="2488"/>
      <c r="T83" s="2488"/>
      <c r="U83" s="2488"/>
      <c r="V83" s="2488"/>
      <c r="W83" s="2488"/>
      <c r="X83" s="2488"/>
      <c r="Y83" s="2488"/>
      <c r="Z83" s="2488"/>
      <c r="AA83" s="2488"/>
      <c r="AB83" s="2488"/>
      <c r="AC83" s="2488"/>
      <c r="AD83" s="2488"/>
    </row>
    <row r="84" spans="1:30" ht="15" thickTop="1">
      <c r="A84" s="409"/>
      <c r="B84" s="469" t="s">
        <v>1864</v>
      </c>
      <c r="C84" s="485"/>
      <c r="D84" s="485"/>
      <c r="E84" s="485"/>
      <c r="F84" s="485"/>
      <c r="G84" s="485"/>
      <c r="H84" s="485"/>
      <c r="I84" s="513"/>
      <c r="J84" s="513"/>
      <c r="K84" s="514"/>
      <c r="L84" s="515"/>
      <c r="M84" s="516"/>
      <c r="N84" s="2521"/>
      <c r="O84" s="2521"/>
      <c r="P84" s="2520"/>
      <c r="Q84" s="2509"/>
      <c r="R84" s="2488"/>
      <c r="S84" s="2488"/>
      <c r="T84" s="2488"/>
      <c r="U84" s="2488"/>
      <c r="V84" s="2488"/>
      <c r="W84" s="2488"/>
      <c r="X84" s="2488"/>
      <c r="Y84" s="2488"/>
      <c r="Z84" s="2488"/>
      <c r="AA84" s="2488"/>
      <c r="AB84" s="2488"/>
      <c r="AC84" s="2488"/>
      <c r="AD84" s="2488"/>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9"/>
      <c r="R85" s="2488"/>
      <c r="S85" s="2488"/>
      <c r="T85" s="2488"/>
      <c r="U85" s="2488"/>
      <c r="V85" s="2488"/>
      <c r="W85" s="2488"/>
      <c r="X85" s="2488"/>
      <c r="Y85" s="2488"/>
      <c r="Z85" s="2488"/>
      <c r="AA85" s="2488"/>
      <c r="AB85" s="2488"/>
      <c r="AC85" s="2488"/>
      <c r="AD85" s="2488"/>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9"/>
      <c r="R86" s="2488"/>
      <c r="S86" s="2488"/>
      <c r="T86" s="2488"/>
      <c r="U86" s="2488"/>
      <c r="V86" s="2488"/>
      <c r="W86" s="2488"/>
      <c r="X86" s="2488"/>
      <c r="Y86" s="2488"/>
      <c r="Z86" s="2488"/>
      <c r="AA86" s="2488"/>
      <c r="AB86" s="2488"/>
      <c r="AC86" s="2488"/>
      <c r="AD86" s="2488"/>
    </row>
    <row r="87" spans="1:30">
      <c r="A87" s="409"/>
      <c r="B87" s="477"/>
      <c r="C87" s="6"/>
      <c r="D87" s="6"/>
      <c r="E87" s="6"/>
      <c r="F87" s="6"/>
      <c r="G87" s="6"/>
      <c r="H87" s="6"/>
      <c r="I87" s="6"/>
      <c r="J87" s="524"/>
      <c r="K87" s="524"/>
      <c r="L87" s="525"/>
      <c r="M87" s="526"/>
      <c r="N87" s="2521"/>
      <c r="O87" s="2521"/>
      <c r="P87" s="2520"/>
      <c r="Q87" s="2509"/>
      <c r="R87" s="2488"/>
      <c r="S87" s="2488"/>
      <c r="T87" s="2488"/>
      <c r="U87" s="2488"/>
      <c r="V87" s="2488"/>
      <c r="W87" s="2488"/>
      <c r="X87" s="2488"/>
      <c r="Y87" s="2488"/>
      <c r="Z87" s="2488"/>
      <c r="AA87" s="2488"/>
      <c r="AB87" s="2488"/>
      <c r="AC87" s="2488"/>
      <c r="AD87" s="2488"/>
    </row>
    <row r="88" spans="1:30" ht="15.75" thickBot="1">
      <c r="A88" s="367"/>
      <c r="B88" s="474"/>
      <c r="C88" s="491"/>
      <c r="D88" s="467"/>
      <c r="E88" s="467"/>
      <c r="F88" s="467"/>
      <c r="G88" s="467"/>
      <c r="H88" s="467"/>
      <c r="I88" s="467"/>
      <c r="J88" s="467"/>
      <c r="K88" s="467"/>
      <c r="L88" s="467"/>
      <c r="M88" s="467"/>
      <c r="N88" s="2522"/>
      <c r="O88" s="2522"/>
      <c r="P88" s="2520"/>
      <c r="Q88" s="2509"/>
      <c r="R88" s="2488"/>
      <c r="S88" s="2488"/>
      <c r="T88" s="2488"/>
      <c r="U88" s="2488"/>
      <c r="V88" s="2488"/>
      <c r="W88" s="2488"/>
      <c r="X88" s="2488"/>
      <c r="Y88" s="2488"/>
      <c r="Z88" s="2488"/>
      <c r="AA88" s="2488"/>
      <c r="AB88" s="2488"/>
      <c r="AC88" s="2488"/>
      <c r="AD88" s="2488"/>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4"/>
      <c r="S89" s="2494"/>
      <c r="T89" s="2494"/>
      <c r="U89" s="2494"/>
      <c r="V89" s="2494"/>
      <c r="W89" s="2494"/>
      <c r="X89" s="2494"/>
      <c r="Y89" s="2494"/>
      <c r="Z89" s="2494"/>
      <c r="AA89" s="2494"/>
      <c r="AB89" s="2494"/>
      <c r="AC89" s="2494"/>
      <c r="AD89" s="2494"/>
    </row>
    <row r="90" spans="1:30" s="408" customFormat="1" ht="15.75" thickBot="1">
      <c r="A90" s="484"/>
      <c r="B90" s="474"/>
      <c r="C90" s="491"/>
      <c r="D90" s="467"/>
      <c r="E90" s="467"/>
      <c r="F90" s="467"/>
      <c r="G90" s="467"/>
      <c r="H90" s="467"/>
      <c r="I90" s="467"/>
      <c r="J90" s="467"/>
      <c r="K90" s="467"/>
      <c r="L90" s="467"/>
      <c r="M90" s="468"/>
      <c r="N90" s="2523"/>
      <c r="O90" s="2523"/>
      <c r="P90" s="2523"/>
      <c r="Q90" s="2515"/>
      <c r="R90" s="2494"/>
      <c r="S90" s="2494"/>
      <c r="T90" s="2494"/>
      <c r="U90" s="2494"/>
      <c r="V90" s="2494"/>
      <c r="W90" s="2494"/>
      <c r="X90" s="2494"/>
      <c r="Y90" s="2494"/>
      <c r="Z90" s="2494"/>
      <c r="AA90" s="2494"/>
      <c r="AB90" s="2494"/>
      <c r="AC90" s="2494"/>
      <c r="AD90" s="2494"/>
    </row>
    <row r="91" spans="1:30" ht="15" thickTop="1">
      <c r="A91" s="409"/>
      <c r="B91" s="469">
        <f>B32</f>
        <v>111</v>
      </c>
      <c r="C91" s="480"/>
      <c r="D91" s="480"/>
      <c r="E91" s="480"/>
      <c r="F91" s="480"/>
      <c r="G91" s="485"/>
      <c r="H91" s="486"/>
      <c r="I91" s="486"/>
      <c r="J91" s="486"/>
      <c r="K91" s="486"/>
      <c r="L91" s="487"/>
      <c r="M91" s="488"/>
      <c r="N91" s="2521"/>
      <c r="O91" s="2521"/>
      <c r="P91" s="2520"/>
      <c r="Q91" s="2509"/>
      <c r="R91" s="2488"/>
      <c r="S91" s="2488"/>
      <c r="T91" s="2488"/>
      <c r="U91" s="2488"/>
      <c r="V91" s="2488"/>
      <c r="W91" s="2488"/>
      <c r="X91" s="2488"/>
      <c r="Y91" s="2488"/>
      <c r="Z91" s="2488"/>
      <c r="AA91" s="2488"/>
      <c r="AB91" s="2488"/>
      <c r="AC91" s="2488"/>
      <c r="AD91" s="2488"/>
    </row>
    <row r="92" spans="1:30" ht="15.75" thickBot="1">
      <c r="A92" s="367"/>
      <c r="B92" s="474"/>
      <c r="C92" s="491"/>
      <c r="D92" s="467"/>
      <c r="E92" s="467"/>
      <c r="F92" s="467"/>
      <c r="G92" s="491"/>
      <c r="H92" s="493"/>
      <c r="I92" s="493"/>
      <c r="J92" s="493"/>
      <c r="K92" s="493"/>
      <c r="L92" s="493"/>
      <c r="M92" s="494"/>
      <c r="N92" s="2522"/>
      <c r="O92" s="2522"/>
      <c r="P92" s="2520"/>
      <c r="Q92" s="2509"/>
      <c r="R92" s="2488"/>
      <c r="S92" s="2488"/>
      <c r="T92" s="2488"/>
      <c r="U92" s="2488"/>
      <c r="V92" s="2488"/>
      <c r="W92" s="2488"/>
      <c r="X92" s="2488"/>
      <c r="Y92" s="2488"/>
      <c r="Z92" s="2488"/>
      <c r="AA92" s="2488"/>
      <c r="AB92" s="2488"/>
      <c r="AC92" s="2488"/>
      <c r="AD92" s="2488"/>
    </row>
    <row r="93" spans="1:30" ht="15" thickTop="1">
      <c r="A93" s="409"/>
      <c r="B93" s="469">
        <f>B33</f>
        <v>111</v>
      </c>
      <c r="C93" s="480"/>
      <c r="D93" s="480"/>
      <c r="E93" s="480"/>
      <c r="F93" s="480"/>
      <c r="G93" s="485"/>
      <c r="H93" s="486"/>
      <c r="I93" s="486"/>
      <c r="J93" s="486"/>
      <c r="K93" s="486"/>
      <c r="L93" s="487"/>
      <c r="M93" s="488"/>
      <c r="N93" s="2521"/>
      <c r="O93" s="2521"/>
      <c r="P93" s="2520"/>
      <c r="Q93" s="2509"/>
      <c r="R93" s="2488"/>
      <c r="S93" s="2488"/>
      <c r="T93" s="2488"/>
      <c r="U93" s="2488"/>
      <c r="V93" s="2488"/>
      <c r="W93" s="2488"/>
      <c r="X93" s="2488"/>
      <c r="Y93" s="2488"/>
      <c r="Z93" s="2488"/>
      <c r="AA93" s="2488"/>
      <c r="AB93" s="2488"/>
      <c r="AC93" s="2488"/>
      <c r="AD93" s="2488"/>
    </row>
    <row r="94" spans="1:30" ht="15.75" thickBot="1">
      <c r="A94" s="367"/>
      <c r="B94" s="474"/>
      <c r="C94" s="491"/>
      <c r="D94" s="467"/>
      <c r="E94" s="467"/>
      <c r="F94" s="467"/>
      <c r="G94" s="491"/>
      <c r="H94" s="493"/>
      <c r="I94" s="493"/>
      <c r="J94" s="493"/>
      <c r="K94" s="493"/>
      <c r="L94" s="493"/>
      <c r="M94" s="494"/>
      <c r="N94" s="2522"/>
      <c r="O94" s="2522"/>
      <c r="P94" s="2520"/>
      <c r="Q94" s="2509"/>
      <c r="R94" s="2488"/>
      <c r="S94" s="2488"/>
      <c r="T94" s="2488"/>
      <c r="U94" s="2488"/>
      <c r="V94" s="2488"/>
      <c r="W94" s="2488"/>
      <c r="X94" s="2488"/>
      <c r="Y94" s="2488"/>
      <c r="Z94" s="2488"/>
      <c r="AA94" s="2488"/>
      <c r="AB94" s="2488"/>
      <c r="AC94" s="2488"/>
      <c r="AD94" s="2488"/>
    </row>
    <row r="95" spans="1:30" ht="15" thickTop="1">
      <c r="A95" s="409"/>
      <c r="B95" s="560">
        <f>B34</f>
        <v>111</v>
      </c>
      <c r="C95" s="480"/>
      <c r="D95" s="480"/>
      <c r="E95" s="480"/>
      <c r="F95" s="480"/>
      <c r="G95" s="485"/>
      <c r="H95" s="486"/>
      <c r="I95" s="486"/>
      <c r="J95" s="486"/>
      <c r="K95" s="486"/>
      <c r="L95" s="487"/>
      <c r="M95" s="488"/>
      <c r="N95" s="2522"/>
      <c r="O95" s="2522"/>
      <c r="P95" s="2522"/>
      <c r="Q95" s="2536"/>
      <c r="R95" s="2488"/>
      <c r="S95" s="2488"/>
      <c r="T95" s="2488"/>
      <c r="U95" s="2488"/>
      <c r="V95" s="2488"/>
      <c r="W95" s="2488"/>
      <c r="X95" s="2488"/>
      <c r="Y95" s="2488"/>
      <c r="Z95" s="2488"/>
      <c r="AA95" s="2488"/>
      <c r="AB95" s="2488"/>
      <c r="AC95" s="2488"/>
      <c r="AD95" s="2488"/>
    </row>
    <row r="96" spans="1:30" ht="15.75" thickBot="1">
      <c r="A96" s="367"/>
      <c r="B96" s="474"/>
      <c r="C96" s="491"/>
      <c r="D96" s="491"/>
      <c r="E96" s="491"/>
      <c r="F96" s="491"/>
      <c r="G96" s="491"/>
      <c r="H96" s="493"/>
      <c r="I96" s="493"/>
      <c r="J96" s="493"/>
      <c r="K96" s="493"/>
      <c r="L96" s="493"/>
      <c r="M96" s="494"/>
      <c r="N96" s="2522"/>
      <c r="O96" s="2522"/>
      <c r="P96" s="2520"/>
      <c r="Q96" s="2509"/>
      <c r="R96" s="2488"/>
      <c r="S96" s="2488"/>
      <c r="T96" s="2488"/>
      <c r="U96" s="2488"/>
      <c r="V96" s="2488"/>
      <c r="W96" s="2488"/>
      <c r="X96" s="2488"/>
      <c r="Y96" s="2488"/>
      <c r="Z96" s="2488"/>
      <c r="AA96" s="2488"/>
      <c r="AB96" s="2488"/>
      <c r="AC96" s="2488"/>
      <c r="AD96" s="2488"/>
    </row>
    <row r="97" spans="1:30" ht="15" thickTop="1">
      <c r="N97" s="2488"/>
      <c r="O97" s="2488"/>
      <c r="P97" s="2488"/>
      <c r="Q97" s="2488"/>
      <c r="R97" s="2488"/>
      <c r="S97" s="2488"/>
      <c r="T97" s="2488"/>
      <c r="U97" s="2488"/>
      <c r="V97" s="2488"/>
      <c r="W97" s="2488"/>
      <c r="X97" s="2488"/>
      <c r="Y97" s="2488"/>
      <c r="Z97" s="2488"/>
      <c r="AA97" s="2488"/>
      <c r="AB97" s="2488"/>
      <c r="AC97" s="2488"/>
      <c r="AD97" s="2488"/>
    </row>
    <row r="98" spans="1:30">
      <c r="A98" s="882"/>
      <c r="B98" s="882"/>
      <c r="C98" s="882"/>
      <c r="D98" s="882"/>
      <c r="E98" s="882"/>
      <c r="F98" s="882"/>
      <c r="G98" s="882"/>
      <c r="H98" s="882"/>
      <c r="I98" s="882"/>
      <c r="J98" s="882"/>
      <c r="K98" s="883"/>
      <c r="L98" s="884"/>
      <c r="M98" s="882"/>
      <c r="N98" s="2488"/>
      <c r="O98" s="2488"/>
      <c r="P98" s="2488"/>
      <c r="Q98" s="2488"/>
      <c r="R98" s="2488"/>
      <c r="S98" s="2488"/>
      <c r="T98" s="2488"/>
      <c r="U98" s="2488"/>
      <c r="V98" s="2488"/>
      <c r="W98" s="2488"/>
      <c r="X98" s="2488"/>
      <c r="Y98" s="2488"/>
      <c r="Z98" s="2488"/>
      <c r="AA98" s="2488"/>
      <c r="AB98" s="2488"/>
      <c r="AC98" s="2488"/>
      <c r="AD98" s="2488"/>
    </row>
    <row r="99" spans="1:30">
      <c r="A99" s="882"/>
      <c r="B99" s="882"/>
      <c r="C99" s="882"/>
      <c r="D99" s="882"/>
      <c r="E99" s="882"/>
      <c r="F99" s="882"/>
      <c r="G99" s="882"/>
      <c r="H99" s="882"/>
      <c r="I99" s="882"/>
      <c r="J99" s="882"/>
      <c r="K99" s="883"/>
      <c r="L99" s="884"/>
      <c r="M99" s="882"/>
      <c r="N99" s="2488"/>
      <c r="O99" s="2488"/>
      <c r="P99" s="2488"/>
      <c r="Q99" s="2488"/>
      <c r="R99" s="2488"/>
      <c r="S99" s="2488"/>
      <c r="T99" s="2488"/>
      <c r="U99" s="2488"/>
      <c r="V99" s="2488"/>
      <c r="W99" s="2488"/>
      <c r="X99" s="2488"/>
      <c r="Y99" s="2488"/>
      <c r="Z99" s="2488"/>
      <c r="AA99" s="2488"/>
      <c r="AB99" s="2488"/>
      <c r="AC99" s="2488"/>
      <c r="AD99" s="2488"/>
    </row>
    <row r="100" spans="1:30">
      <c r="A100" s="882"/>
      <c r="B100" s="882"/>
      <c r="C100" s="882"/>
      <c r="D100" s="882"/>
      <c r="E100" s="882"/>
      <c r="F100" s="882"/>
      <c r="G100" s="882"/>
      <c r="H100" s="882"/>
      <c r="I100" s="882"/>
      <c r="J100" s="882"/>
      <c r="K100" s="883"/>
      <c r="L100" s="884"/>
      <c r="M100" s="882"/>
      <c r="N100" s="2488"/>
      <c r="O100" s="2488"/>
      <c r="P100" s="2488"/>
      <c r="Q100" s="2488"/>
      <c r="R100" s="2488"/>
      <c r="S100" s="2488"/>
      <c r="T100" s="2488"/>
      <c r="U100" s="2488"/>
      <c r="V100" s="2488"/>
      <c r="W100" s="2488"/>
      <c r="X100" s="2488"/>
      <c r="Y100" s="2488"/>
      <c r="Z100" s="2488"/>
      <c r="AA100" s="2488"/>
      <c r="AB100" s="2488"/>
      <c r="AC100" s="2488"/>
      <c r="AD100" s="2488"/>
    </row>
    <row r="101" spans="1:30">
      <c r="A101" s="882"/>
      <c r="B101" s="882"/>
      <c r="C101" s="882"/>
      <c r="D101" s="882"/>
      <c r="E101" s="882"/>
      <c r="F101" s="882"/>
      <c r="G101" s="882"/>
      <c r="H101" s="882"/>
      <c r="I101" s="882"/>
      <c r="J101" s="882"/>
      <c r="K101" s="883"/>
      <c r="L101" s="884"/>
      <c r="M101" s="882"/>
      <c r="N101" s="2488"/>
      <c r="O101" s="2488"/>
      <c r="P101" s="2488"/>
      <c r="Q101" s="2488"/>
      <c r="R101" s="2488"/>
      <c r="S101" s="2488"/>
      <c r="T101" s="2488"/>
      <c r="U101" s="2488"/>
      <c r="V101" s="2488"/>
      <c r="W101" s="2488"/>
      <c r="X101" s="2488"/>
      <c r="Y101" s="2488"/>
      <c r="Z101" s="2488"/>
      <c r="AA101" s="2488"/>
      <c r="AB101" s="2488"/>
      <c r="AC101" s="2488"/>
      <c r="AD101" s="2488"/>
    </row>
    <row r="102" spans="1:30">
      <c r="A102" s="882"/>
      <c r="B102" s="882"/>
      <c r="C102" s="882"/>
      <c r="D102" s="882"/>
      <c r="E102" s="882"/>
      <c r="F102" s="882"/>
      <c r="G102" s="882"/>
      <c r="H102" s="882"/>
      <c r="I102" s="882"/>
      <c r="J102" s="882"/>
      <c r="K102" s="883"/>
      <c r="L102" s="884"/>
      <c r="M102" s="882"/>
      <c r="N102" s="2488"/>
      <c r="O102" s="2488"/>
      <c r="P102" s="2488"/>
      <c r="Q102" s="2488"/>
      <c r="R102" s="2488"/>
      <c r="S102" s="2488"/>
      <c r="T102" s="2488"/>
      <c r="U102" s="2488"/>
      <c r="V102" s="2488"/>
      <c r="W102" s="2488"/>
      <c r="X102" s="2488"/>
      <c r="Y102" s="2488"/>
      <c r="Z102" s="2488"/>
      <c r="AA102" s="2488"/>
      <c r="AB102" s="2488"/>
      <c r="AC102" s="2488"/>
      <c r="AD102" s="2488"/>
    </row>
    <row r="103" spans="1:30">
      <c r="A103" s="882"/>
      <c r="B103" s="882"/>
      <c r="C103" s="882"/>
      <c r="D103" s="882"/>
      <c r="E103" s="882"/>
      <c r="F103" s="882"/>
      <c r="G103" s="882"/>
      <c r="H103" s="882"/>
      <c r="I103" s="882"/>
      <c r="J103" s="882"/>
      <c r="K103" s="883"/>
      <c r="L103" s="884"/>
      <c r="M103" s="882"/>
      <c r="N103" s="882"/>
      <c r="O103" s="882"/>
      <c r="P103" s="2488"/>
      <c r="Q103" s="2488"/>
      <c r="R103" s="2488"/>
      <c r="S103" s="2488"/>
      <c r="T103" s="2488"/>
      <c r="U103" s="2488"/>
      <c r="V103" s="2488"/>
      <c r="W103" s="2488"/>
      <c r="X103" s="2488"/>
      <c r="Y103" s="2488"/>
      <c r="Z103" s="2488"/>
      <c r="AA103" s="2488"/>
      <c r="AB103" s="2488"/>
      <c r="AC103" s="2488"/>
      <c r="AD103" s="2488"/>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58" priority="13" stopIfTrue="1">
      <formula>$F$40="超过30%"</formula>
    </cfRule>
  </conditionalFormatting>
  <conditionalFormatting sqref="E41">
    <cfRule type="expression" dxfId="57" priority="11" stopIfTrue="1">
      <formula>$F$41="超过20%"</formula>
    </cfRule>
  </conditionalFormatting>
  <conditionalFormatting sqref="E42">
    <cfRule type="expression" dxfId="56" priority="10" stopIfTrue="1">
      <formula>$F$42="超过30%"</formula>
    </cfRule>
  </conditionalFormatting>
  <conditionalFormatting sqref="F7:F34 H7:H34 J7:J34">
    <cfRule type="cellIs" dxfId="55" priority="1" operator="notEqual">
      <formula>100</formula>
    </cfRule>
  </conditionalFormatting>
  <conditionalFormatting sqref="F36">
    <cfRule type="expression" dxfId="54" priority="4">
      <formula>$D$36="简单平均"</formula>
    </cfRule>
  </conditionalFormatting>
  <conditionalFormatting sqref="F40:F42 H40:H42 J40:J42">
    <cfRule type="containsText" dxfId="53" priority="14" stopIfTrue="1" operator="containsText" text="超过">
      <formula>NOT(ISERROR(SEARCH("超过",F40)))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G42">
    <cfRule type="expression" dxfId="50" priority="12" stopIfTrue="1">
      <formula>$H$54+$H$42="超过30%"</formula>
    </cfRule>
  </conditionalFormatting>
  <conditionalFormatting sqref="H36">
    <cfRule type="expression" dxfId="49" priority="3">
      <formula>$D$36="简单平均"</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J36">
    <cfRule type="expression" dxfId="45"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463" t="s">
        <v>1775</v>
      </c>
      <c r="Q4" s="3464"/>
      <c r="R4" s="3469" t="s">
        <v>1771</v>
      </c>
      <c r="S4" s="3470"/>
      <c r="T4" s="3469" t="s">
        <v>1772</v>
      </c>
      <c r="U4" s="3470"/>
      <c r="V4" s="3445" t="s">
        <v>1773</v>
      </c>
      <c r="W4" s="3445"/>
      <c r="X4" s="1265"/>
      <c r="Y4" s="3469" t="s">
        <v>1775</v>
      </c>
      <c r="Z4" s="3470"/>
      <c r="AA4" s="3456" t="s">
        <v>1771</v>
      </c>
      <c r="AB4" s="3457" t="s">
        <v>1772</v>
      </c>
      <c r="AC4" s="3456" t="s">
        <v>1773</v>
      </c>
    </row>
    <row r="5" spans="1:29" ht="15">
      <c r="A5" s="348"/>
      <c r="B5" s="349"/>
      <c r="C5" s="3477" t="s">
        <v>1673</v>
      </c>
      <c r="D5" s="3478"/>
      <c r="E5" s="3484" t="s">
        <v>1674</v>
      </c>
      <c r="F5" s="3485"/>
      <c r="G5" s="3477" t="s">
        <v>1675</v>
      </c>
      <c r="H5" s="3478"/>
      <c r="I5" s="3477" t="s">
        <v>1676</v>
      </c>
      <c r="J5" s="3478"/>
      <c r="K5" s="537"/>
      <c r="L5" s="2487"/>
      <c r="M5" s="2488"/>
      <c r="N5" s="2488"/>
      <c r="O5" s="2488"/>
      <c r="P5" s="3465"/>
      <c r="Q5" s="3466"/>
      <c r="R5" s="3471"/>
      <c r="S5" s="3472"/>
      <c r="T5" s="3471"/>
      <c r="U5" s="3472"/>
      <c r="V5" s="3445"/>
      <c r="W5" s="3445"/>
      <c r="X5" s="1265"/>
      <c r="Y5" s="3471"/>
      <c r="Z5" s="3472"/>
      <c r="AA5" s="3457"/>
      <c r="AB5" s="3457"/>
      <c r="AC5" s="3457"/>
    </row>
    <row r="6" spans="1:29" ht="15.75" thickBot="1">
      <c r="A6" s="350"/>
      <c r="B6" s="351"/>
      <c r="C6" s="3475" t="s">
        <v>1677</v>
      </c>
      <c r="D6" s="3476"/>
      <c r="E6" s="3482" t="s">
        <v>1677</v>
      </c>
      <c r="F6" s="3483"/>
      <c r="G6" s="3475" t="s">
        <v>1677</v>
      </c>
      <c r="H6" s="3476"/>
      <c r="I6" s="3475" t="s">
        <v>1677</v>
      </c>
      <c r="J6" s="3476"/>
      <c r="K6" s="537" t="s">
        <v>1678</v>
      </c>
      <c r="L6" s="2487"/>
      <c r="M6" s="2488"/>
      <c r="N6" s="2488"/>
      <c r="O6" s="2488"/>
      <c r="P6" s="3467"/>
      <c r="Q6" s="3468"/>
      <c r="R6" s="3471"/>
      <c r="S6" s="3472"/>
      <c r="T6" s="3473"/>
      <c r="U6" s="3474"/>
      <c r="V6" s="3445"/>
      <c r="W6" s="3445"/>
      <c r="X6" s="1265"/>
      <c r="Y6" s="3473"/>
      <c r="Z6" s="3474"/>
      <c r="AA6" s="3458"/>
      <c r="AB6" s="3458"/>
      <c r="AC6" s="3458"/>
    </row>
    <row r="7" spans="1:29" s="102" customFormat="1" ht="15.75" thickBot="1">
      <c r="A7" s="352" t="s">
        <v>1679</v>
      </c>
      <c r="B7" s="353"/>
      <c r="C7" s="354">
        <f>'数据-取费表'!B2</f>
        <v>45785</v>
      </c>
      <c r="D7" s="355">
        <v>100</v>
      </c>
      <c r="E7" s="356"/>
      <c r="F7" s="357">
        <f>SUMIF(69:69,YEAR(E7)&amp;"-"&amp;INT((MONTH(E7)+2)/3),70:70)</f>
        <v>0</v>
      </c>
      <c r="G7" s="1822"/>
      <c r="H7" s="355">
        <f>SUMIF(69:69,YEAR(G7)&amp;"-"&amp;INT((MONTH(G7)+2)/3),70:70)</f>
        <v>0</v>
      </c>
      <c r="I7" s="1822"/>
      <c r="J7" s="355">
        <f>SUMIF(69:69,YEAR(I7)&amp;"-"&amp;INT((MONTH(I7)+2)/3),70:70)</f>
        <v>0</v>
      </c>
      <c r="K7" s="38"/>
      <c r="L7" s="2489"/>
      <c r="M7" s="2440"/>
      <c r="N7" s="2440"/>
      <c r="O7" s="2440"/>
      <c r="P7" s="3479" t="s">
        <v>1680</v>
      </c>
      <c r="Q7" s="3481"/>
      <c r="R7" s="664" t="s">
        <v>14</v>
      </c>
      <c r="S7" s="665">
        <f t="shared" ref="S7:S15" si="0">F7</f>
        <v>0</v>
      </c>
      <c r="T7" s="664" t="s">
        <v>14</v>
      </c>
      <c r="U7" s="665">
        <f t="shared" ref="U7:U15" si="1">H7</f>
        <v>0</v>
      </c>
      <c r="V7" s="664" t="s">
        <v>14</v>
      </c>
      <c r="W7" s="665">
        <f t="shared" ref="W7:W15" si="2">J7</f>
        <v>0</v>
      </c>
      <c r="X7" s="666"/>
      <c r="Y7" s="3479" t="s">
        <v>1680</v>
      </c>
      <c r="Z7" s="3480"/>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9"/>
      <c r="M8" s="2440"/>
      <c r="N8" s="2440"/>
      <c r="O8" s="2440"/>
      <c r="P8" s="3479" t="s">
        <v>1683</v>
      </c>
      <c r="Q8" s="3480"/>
      <c r="R8" s="664" t="s">
        <v>14</v>
      </c>
      <c r="S8" s="665">
        <f t="shared" si="0"/>
        <v>0</v>
      </c>
      <c r="T8" s="664" t="s">
        <v>14</v>
      </c>
      <c r="U8" s="665">
        <f t="shared" si="1"/>
        <v>0</v>
      </c>
      <c r="V8" s="664" t="s">
        <v>14</v>
      </c>
      <c r="W8" s="665">
        <f t="shared" si="2"/>
        <v>0</v>
      </c>
      <c r="X8" s="666"/>
      <c r="Y8" s="3479" t="s">
        <v>1683</v>
      </c>
      <c r="Z8" s="3480"/>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9"/>
      <c r="M9" s="2440"/>
      <c r="N9" s="2440"/>
      <c r="O9" s="2540"/>
      <c r="P9" s="3444"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114</v>
      </c>
      <c r="G10" s="402"/>
      <c r="H10" s="119">
        <f>ROUND(100/'数据-取费表'!G16,0)</f>
        <v>114</v>
      </c>
      <c r="I10" s="402"/>
      <c r="J10" s="119">
        <f>ROUND(100/'数据-取费表'!G16,0)</f>
        <v>114</v>
      </c>
      <c r="K10" s="592"/>
      <c r="L10" s="2490"/>
      <c r="M10" s="2491"/>
      <c r="N10" s="2491"/>
      <c r="O10" s="2541"/>
      <c r="P10" s="3444"/>
      <c r="Q10" s="530" t="str">
        <f t="shared" si="6"/>
        <v>土地使用年限（年）</v>
      </c>
      <c r="R10" s="664" t="s">
        <v>14</v>
      </c>
      <c r="S10" s="665">
        <f t="shared" si="0"/>
        <v>114</v>
      </c>
      <c r="T10" s="664" t="s">
        <v>14</v>
      </c>
      <c r="U10" s="665">
        <f t="shared" si="1"/>
        <v>114</v>
      </c>
      <c r="V10" s="664" t="s">
        <v>14</v>
      </c>
      <c r="W10" s="665">
        <f t="shared" si="2"/>
        <v>114</v>
      </c>
      <c r="X10" s="666"/>
      <c r="Y10" s="3300"/>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2"/>
      <c r="M11" s="2488"/>
      <c r="N11" s="2488"/>
      <c r="O11" s="2542"/>
      <c r="P11" s="3444"/>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9"/>
      <c r="M12" s="2440"/>
      <c r="N12" s="2440"/>
      <c r="O12" s="2540"/>
      <c r="P12" s="3444"/>
      <c r="Q12" s="530" t="str">
        <f t="shared" si="6"/>
        <v>配建</v>
      </c>
      <c r="R12" s="664" t="s">
        <v>14</v>
      </c>
      <c r="S12" s="665">
        <f t="shared" si="0"/>
        <v>100</v>
      </c>
      <c r="T12" s="664" t="s">
        <v>14</v>
      </c>
      <c r="U12" s="665">
        <f t="shared" si="1"/>
        <v>100</v>
      </c>
      <c r="V12" s="664" t="s">
        <v>14</v>
      </c>
      <c r="W12" s="665">
        <f t="shared" si="2"/>
        <v>100</v>
      </c>
      <c r="X12" s="666"/>
      <c r="Y12" s="330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3"/>
      <c r="M13" s="2488"/>
      <c r="N13" s="2488"/>
      <c r="O13" s="2542"/>
      <c r="P13" s="3444"/>
      <c r="Q13" s="530">
        <f t="shared" si="6"/>
        <v>111</v>
      </c>
      <c r="R13" s="664" t="s">
        <v>14</v>
      </c>
      <c r="S13" s="665">
        <f t="shared" si="0"/>
        <v>100</v>
      </c>
      <c r="T13" s="664" t="s">
        <v>14</v>
      </c>
      <c r="U13" s="665">
        <f t="shared" si="1"/>
        <v>100</v>
      </c>
      <c r="V13" s="664" t="s">
        <v>14</v>
      </c>
      <c r="W13" s="665">
        <f t="shared" si="2"/>
        <v>100</v>
      </c>
      <c r="X13" s="666"/>
      <c r="Y13" s="330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3"/>
      <c r="M14" s="2488"/>
      <c r="N14" s="2488"/>
      <c r="O14" s="2542"/>
      <c r="P14" s="3444"/>
      <c r="Q14" s="530">
        <f t="shared" si="6"/>
        <v>111</v>
      </c>
      <c r="R14" s="664" t="s">
        <v>14</v>
      </c>
      <c r="S14" s="665">
        <f t="shared" si="0"/>
        <v>100</v>
      </c>
      <c r="T14" s="664" t="s">
        <v>14</v>
      </c>
      <c r="U14" s="665">
        <f t="shared" si="1"/>
        <v>100</v>
      </c>
      <c r="V14" s="664" t="s">
        <v>14</v>
      </c>
      <c r="W14" s="665">
        <f t="shared" si="2"/>
        <v>100</v>
      </c>
      <c r="X14" s="666"/>
      <c r="Y14" s="3300"/>
      <c r="Z14" s="50">
        <f t="shared" si="7"/>
        <v>111</v>
      </c>
      <c r="AA14" s="50">
        <f>D14/F14</f>
        <v>1</v>
      </c>
      <c r="AB14" s="50">
        <f>D14/H14</f>
        <v>1</v>
      </c>
      <c r="AC14" s="50">
        <f>D14/J14</f>
        <v>1</v>
      </c>
    </row>
    <row r="15" spans="1:29" ht="1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3"/>
      <c r="M15" s="2488"/>
      <c r="N15" s="2488"/>
      <c r="O15" s="2542"/>
      <c r="P15" s="3446" t="s">
        <v>1691</v>
      </c>
      <c r="Q15" s="1263" t="str">
        <f t="shared" si="6"/>
        <v>居住社区成熟度</v>
      </c>
      <c r="R15" s="667" t="s">
        <v>14</v>
      </c>
      <c r="S15" s="668">
        <f t="shared" si="0"/>
        <v>100</v>
      </c>
      <c r="T15" s="667" t="s">
        <v>14</v>
      </c>
      <c r="U15" s="668">
        <f t="shared" si="1"/>
        <v>100</v>
      </c>
      <c r="V15" s="667" t="s">
        <v>14</v>
      </c>
      <c r="W15" s="668">
        <f t="shared" si="2"/>
        <v>100</v>
      </c>
      <c r="X15" s="1265"/>
      <c r="Y15" s="3446"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3"/>
      <c r="M16" s="2488"/>
      <c r="N16" s="2488"/>
      <c r="O16" s="2542"/>
      <c r="P16" s="3447"/>
      <c r="Q16" s="1263"/>
      <c r="R16" s="667"/>
      <c r="S16" s="668"/>
      <c r="T16" s="667"/>
      <c r="U16" s="668"/>
      <c r="V16" s="667"/>
      <c r="W16" s="668"/>
      <c r="X16" s="1265"/>
      <c r="Y16" s="3447"/>
      <c r="Z16" s="1264"/>
      <c r="AA16" s="1264">
        <v>1</v>
      </c>
      <c r="AB16" s="1264">
        <v>1</v>
      </c>
      <c r="AC16" s="1264">
        <v>1</v>
      </c>
    </row>
    <row r="17" spans="1:29" ht="15">
      <c r="A17" s="367"/>
      <c r="B17" s="390" t="s">
        <v>1777</v>
      </c>
      <c r="C17" s="1806">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3"/>
      <c r="M17" s="2488"/>
      <c r="N17" s="2488"/>
      <c r="O17" s="2542"/>
      <c r="P17" s="3447"/>
      <c r="Q17" s="1263" t="str">
        <f>B17</f>
        <v>商业繁华度</v>
      </c>
      <c r="R17" s="667" t="s">
        <v>14</v>
      </c>
      <c r="S17" s="668">
        <f>F17</f>
        <v>100</v>
      </c>
      <c r="T17" s="667" t="s">
        <v>14</v>
      </c>
      <c r="U17" s="668">
        <f>H17</f>
        <v>100</v>
      </c>
      <c r="V17" s="667" t="s">
        <v>14</v>
      </c>
      <c r="W17" s="668">
        <f>J17</f>
        <v>100</v>
      </c>
      <c r="X17" s="1265"/>
      <c r="Y17" s="3447"/>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3"/>
      <c r="M18" s="2488"/>
      <c r="N18" s="2488"/>
      <c r="O18" s="2542"/>
      <c r="P18" s="3447"/>
      <c r="Q18" s="1263"/>
      <c r="R18" s="667"/>
      <c r="S18" s="668"/>
      <c r="T18" s="667"/>
      <c r="U18" s="668"/>
      <c r="V18" s="667"/>
      <c r="W18" s="668"/>
      <c r="X18" s="1265"/>
      <c r="Y18" s="3447"/>
      <c r="Z18" s="1264"/>
      <c r="AA18" s="1264">
        <v>1</v>
      </c>
      <c r="AB18" s="1264">
        <v>1</v>
      </c>
      <c r="AC18" s="1264">
        <v>1</v>
      </c>
    </row>
    <row r="19" spans="1:29" ht="1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3"/>
      <c r="M19" s="2488"/>
      <c r="N19" s="2488"/>
      <c r="O19" s="2542"/>
      <c r="P19" s="3447"/>
      <c r="Q19" s="1263" t="str">
        <f>B19</f>
        <v>办公集聚程度</v>
      </c>
      <c r="R19" s="667" t="s">
        <v>14</v>
      </c>
      <c r="S19" s="668">
        <f>F19</f>
        <v>100</v>
      </c>
      <c r="T19" s="667" t="s">
        <v>14</v>
      </c>
      <c r="U19" s="668">
        <f>H19</f>
        <v>100</v>
      </c>
      <c r="V19" s="667" t="s">
        <v>14</v>
      </c>
      <c r="W19" s="668">
        <f>J19</f>
        <v>100</v>
      </c>
      <c r="X19" s="1265"/>
      <c r="Y19" s="3447"/>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3"/>
      <c r="M20" s="2488"/>
      <c r="N20" s="2488"/>
      <c r="O20" s="2542"/>
      <c r="P20" s="3447"/>
      <c r="Q20" s="1263"/>
      <c r="R20" s="667"/>
      <c r="S20" s="668"/>
      <c r="T20" s="667"/>
      <c r="U20" s="668"/>
      <c r="V20" s="667"/>
      <c r="W20" s="668"/>
      <c r="X20" s="1265"/>
      <c r="Y20" s="3447"/>
      <c r="Z20" s="1264"/>
      <c r="AA20" s="1264">
        <v>1</v>
      </c>
      <c r="AB20" s="1264">
        <v>1</v>
      </c>
      <c r="AC20" s="1264">
        <v>1</v>
      </c>
    </row>
    <row r="21" spans="1:29" ht="15">
      <c r="A21" s="367"/>
      <c r="B21" s="390" t="s">
        <v>1833</v>
      </c>
      <c r="C21" s="1754">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3"/>
      <c r="M21" s="2488"/>
      <c r="N21" s="2488"/>
      <c r="O21" s="2542"/>
      <c r="P21" s="3447"/>
      <c r="Q21" s="1263" t="str">
        <f>B21</f>
        <v>交通便捷度</v>
      </c>
      <c r="R21" s="667" t="s">
        <v>14</v>
      </c>
      <c r="S21" s="668">
        <f>F21</f>
        <v>100</v>
      </c>
      <c r="T21" s="667" t="s">
        <v>14</v>
      </c>
      <c r="U21" s="668">
        <f>H21</f>
        <v>100</v>
      </c>
      <c r="V21" s="667" t="s">
        <v>14</v>
      </c>
      <c r="W21" s="668">
        <f>J21</f>
        <v>100</v>
      </c>
      <c r="X21" s="1265"/>
      <c r="Y21" s="3447"/>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3"/>
      <c r="M22" s="2488"/>
      <c r="N22" s="2488"/>
      <c r="O22" s="2542"/>
      <c r="P22" s="3447"/>
      <c r="Q22" s="1263"/>
      <c r="R22" s="667"/>
      <c r="S22" s="668"/>
      <c r="T22" s="667"/>
      <c r="U22" s="668"/>
      <c r="V22" s="667"/>
      <c r="W22" s="668"/>
      <c r="X22" s="1265"/>
      <c r="Y22" s="3447"/>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3"/>
      <c r="M23" s="2488"/>
      <c r="N23" s="2488"/>
      <c r="O23" s="2542"/>
      <c r="P23" s="3447"/>
      <c r="Q23" s="1263" t="str">
        <f t="shared" ref="Q23:Q37" si="8">B23</f>
        <v>区域土地利用方向</v>
      </c>
      <c r="R23" s="667" t="s">
        <v>14</v>
      </c>
      <c r="S23" s="668">
        <f>F23</f>
        <v>100</v>
      </c>
      <c r="T23" s="667" t="s">
        <v>14</v>
      </c>
      <c r="U23" s="668">
        <f>H23</f>
        <v>100</v>
      </c>
      <c r="V23" s="667" t="s">
        <v>14</v>
      </c>
      <c r="W23" s="668">
        <f>J23</f>
        <v>100</v>
      </c>
      <c r="X23" s="1265"/>
      <c r="Y23" s="3447"/>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3"/>
      <c r="M24" s="2488"/>
      <c r="N24" s="2488"/>
      <c r="O24" s="2542"/>
      <c r="P24" s="3447"/>
      <c r="Q24" s="1263"/>
      <c r="R24" s="667"/>
      <c r="S24" s="668"/>
      <c r="T24" s="667"/>
      <c r="U24" s="668"/>
      <c r="V24" s="667"/>
      <c r="W24" s="668"/>
      <c r="X24" s="1265"/>
      <c r="Y24" s="3447"/>
      <c r="Z24" s="1264"/>
      <c r="AA24" s="1264"/>
      <c r="AB24" s="1264"/>
      <c r="AC24" s="1264"/>
    </row>
    <row r="25" spans="1:29" ht="27">
      <c r="A25" s="348"/>
      <c r="B25" s="586" t="s">
        <v>1872</v>
      </c>
      <c r="C25" s="1806">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3"/>
      <c r="M25" s="2488"/>
      <c r="N25" s="2488"/>
      <c r="O25" s="2542"/>
      <c r="P25" s="3447"/>
      <c r="Q25" s="1263" t="str">
        <f t="shared" si="8"/>
        <v>自然及人文环境状况</v>
      </c>
      <c r="R25" s="667" t="s">
        <v>14</v>
      </c>
      <c r="S25" s="668">
        <f>F25</f>
        <v>100</v>
      </c>
      <c r="T25" s="667" t="s">
        <v>14</v>
      </c>
      <c r="U25" s="668">
        <f>H25</f>
        <v>100</v>
      </c>
      <c r="V25" s="667" t="s">
        <v>14</v>
      </c>
      <c r="W25" s="668">
        <f>J25</f>
        <v>100</v>
      </c>
      <c r="X25" s="1265"/>
      <c r="Y25" s="3447"/>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3"/>
      <c r="M26" s="2488"/>
      <c r="N26" s="2488"/>
      <c r="O26" s="2542"/>
      <c r="P26" s="3447"/>
      <c r="Q26" s="1263"/>
      <c r="R26" s="667"/>
      <c r="S26" s="668"/>
      <c r="T26" s="667"/>
      <c r="U26" s="668"/>
      <c r="V26" s="667"/>
      <c r="W26" s="668"/>
      <c r="X26" s="1265"/>
      <c r="Y26" s="3447"/>
      <c r="Z26" s="1264"/>
      <c r="AA26" s="1264">
        <v>1</v>
      </c>
      <c r="AB26" s="1264">
        <v>1</v>
      </c>
      <c r="AC26" s="1264">
        <v>1</v>
      </c>
    </row>
    <row r="27" spans="1:29" s="102" customFormat="1" ht="15">
      <c r="A27" s="443"/>
      <c r="B27" s="586" t="s">
        <v>1778</v>
      </c>
      <c r="C27" s="1754">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9"/>
      <c r="M27" s="2440"/>
      <c r="N27" s="2440"/>
      <c r="O27" s="2540"/>
      <c r="P27" s="3447"/>
      <c r="Q27" s="530" t="str">
        <f t="shared" si="8"/>
        <v>公共配套设施</v>
      </c>
      <c r="R27" s="664" t="s">
        <v>14</v>
      </c>
      <c r="S27" s="665">
        <f>F27</f>
        <v>100</v>
      </c>
      <c r="T27" s="664" t="s">
        <v>14</v>
      </c>
      <c r="U27" s="665">
        <f>H27</f>
        <v>100</v>
      </c>
      <c r="V27" s="664" t="s">
        <v>14</v>
      </c>
      <c r="W27" s="665">
        <f>J27</f>
        <v>100</v>
      </c>
      <c r="X27" s="666"/>
      <c r="Y27" s="3447"/>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9"/>
      <c r="M28" s="2440"/>
      <c r="N28" s="2440"/>
      <c r="O28" s="2540"/>
      <c r="P28" s="3447"/>
      <c r="Q28" s="530"/>
      <c r="R28" s="664"/>
      <c r="S28" s="665"/>
      <c r="T28" s="664"/>
      <c r="U28" s="665"/>
      <c r="V28" s="664"/>
      <c r="W28" s="665"/>
      <c r="X28" s="666"/>
      <c r="Y28" s="3447"/>
      <c r="Z28" s="50"/>
      <c r="AA28" s="1264">
        <v>1</v>
      </c>
      <c r="AB28" s="1264">
        <v>1</v>
      </c>
      <c r="AC28" s="1264">
        <v>1</v>
      </c>
    </row>
    <row r="29" spans="1:29" s="102" customFormat="1" ht="15">
      <c r="A29" s="443"/>
      <c r="B29" s="586" t="s">
        <v>1779</v>
      </c>
      <c r="C29" s="1754">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9"/>
      <c r="M29" s="2440"/>
      <c r="N29" s="2440"/>
      <c r="O29" s="2540"/>
      <c r="P29" s="3447"/>
      <c r="Q29" s="530" t="str">
        <f t="shared" ref="Q29" si="9">B29</f>
        <v>基础设施水平</v>
      </c>
      <c r="R29" s="664" t="s">
        <v>14</v>
      </c>
      <c r="S29" s="665">
        <f>F29</f>
        <v>100</v>
      </c>
      <c r="T29" s="664" t="s">
        <v>14</v>
      </c>
      <c r="U29" s="665">
        <f>H29</f>
        <v>100</v>
      </c>
      <c r="V29" s="664" t="s">
        <v>14</v>
      </c>
      <c r="W29" s="665">
        <f>J29</f>
        <v>100</v>
      </c>
      <c r="X29" s="666"/>
      <c r="Y29" s="3447"/>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9"/>
      <c r="M30" s="2440"/>
      <c r="N30" s="2440"/>
      <c r="O30" s="2540"/>
      <c r="P30" s="3447"/>
      <c r="Q30" s="530"/>
      <c r="R30" s="664"/>
      <c r="S30" s="665"/>
      <c r="T30" s="664"/>
      <c r="U30" s="665"/>
      <c r="V30" s="664"/>
      <c r="W30" s="665"/>
      <c r="X30" s="666"/>
      <c r="Y30" s="3447"/>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3"/>
      <c r="M31" s="2488"/>
      <c r="N31" s="2488"/>
      <c r="O31" s="2542"/>
      <c r="P31" s="3447"/>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47"/>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3"/>
      <c r="M32" s="2488"/>
      <c r="N32" s="2488"/>
      <c r="O32" s="2542"/>
      <c r="P32" s="3447"/>
      <c r="Q32" s="1263" t="str">
        <f t="shared" si="8"/>
        <v>毗邻道路的类型与等级</v>
      </c>
      <c r="R32" s="667" t="s">
        <v>14</v>
      </c>
      <c r="S32" s="668">
        <f t="shared" si="10"/>
        <v>100</v>
      </c>
      <c r="T32" s="667" t="s">
        <v>14</v>
      </c>
      <c r="U32" s="668">
        <f t="shared" si="11"/>
        <v>100</v>
      </c>
      <c r="V32" s="667" t="s">
        <v>14</v>
      </c>
      <c r="W32" s="668">
        <f t="shared" si="12"/>
        <v>100</v>
      </c>
      <c r="X32" s="1265"/>
      <c r="Y32" s="3447"/>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3"/>
      <c r="M33" s="2488"/>
      <c r="N33" s="2488"/>
      <c r="O33" s="2542"/>
      <c r="P33" s="3447"/>
      <c r="Q33" s="1263"/>
      <c r="R33" s="667"/>
      <c r="S33" s="668"/>
      <c r="T33" s="667"/>
      <c r="U33" s="668"/>
      <c r="V33" s="667"/>
      <c r="W33" s="668"/>
      <c r="X33" s="1265"/>
      <c r="Y33" s="3447"/>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3"/>
      <c r="M34" s="2488"/>
      <c r="N34" s="2488"/>
      <c r="O34" s="2542"/>
      <c r="P34" s="3447"/>
      <c r="Q34" s="1263" t="str">
        <f t="shared" si="8"/>
        <v>土地级别</v>
      </c>
      <c r="R34" s="667" t="s">
        <v>14</v>
      </c>
      <c r="S34" s="668">
        <f t="shared" si="10"/>
        <v>100</v>
      </c>
      <c r="T34" s="667" t="s">
        <v>14</v>
      </c>
      <c r="U34" s="668">
        <f t="shared" si="11"/>
        <v>100</v>
      </c>
      <c r="V34" s="667" t="s">
        <v>14</v>
      </c>
      <c r="W34" s="668">
        <f t="shared" si="12"/>
        <v>100</v>
      </c>
      <c r="X34" s="1265"/>
      <c r="Y34" s="3447"/>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3"/>
      <c r="M35" s="2488"/>
      <c r="N35" s="2488"/>
      <c r="O35" s="2542"/>
      <c r="P35" s="3447"/>
      <c r="Q35" s="1263">
        <f t="shared" si="8"/>
        <v>111</v>
      </c>
      <c r="R35" s="667" t="s">
        <v>14</v>
      </c>
      <c r="S35" s="668">
        <f t="shared" si="10"/>
        <v>100</v>
      </c>
      <c r="T35" s="667" t="s">
        <v>14</v>
      </c>
      <c r="U35" s="668">
        <f t="shared" si="11"/>
        <v>100</v>
      </c>
      <c r="V35" s="667" t="s">
        <v>14</v>
      </c>
      <c r="W35" s="668">
        <f t="shared" si="12"/>
        <v>100</v>
      </c>
      <c r="X35" s="1265"/>
      <c r="Y35" s="3447"/>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3"/>
      <c r="M36" s="2488"/>
      <c r="N36" s="2488"/>
      <c r="O36" s="2542"/>
      <c r="P36" s="3501" t="s">
        <v>1696</v>
      </c>
      <c r="Q36" s="1263">
        <f t="shared" si="8"/>
        <v>111</v>
      </c>
      <c r="R36" s="667" t="s">
        <v>14</v>
      </c>
      <c r="S36" s="668">
        <f t="shared" si="10"/>
        <v>100</v>
      </c>
      <c r="T36" s="667" t="s">
        <v>14</v>
      </c>
      <c r="U36" s="668">
        <f t="shared" si="11"/>
        <v>100</v>
      </c>
      <c r="V36" s="667" t="s">
        <v>14</v>
      </c>
      <c r="W36" s="668">
        <f t="shared" si="12"/>
        <v>100</v>
      </c>
      <c r="X36" s="1265"/>
      <c r="Y36" s="3451"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2"/>
      <c r="M37" s="2494"/>
      <c r="N37" s="2494"/>
      <c r="O37" s="2543"/>
      <c r="P37" s="3451"/>
      <c r="Q37" s="1263">
        <f t="shared" si="8"/>
        <v>111</v>
      </c>
      <c r="R37" s="669" t="s">
        <v>14</v>
      </c>
      <c r="S37" s="670">
        <f t="shared" si="10"/>
        <v>100</v>
      </c>
      <c r="T37" s="669" t="s">
        <v>14</v>
      </c>
      <c r="U37" s="670">
        <f t="shared" si="11"/>
        <v>100</v>
      </c>
      <c r="V37" s="669" t="s">
        <v>14</v>
      </c>
      <c r="W37" s="670">
        <f t="shared" si="12"/>
        <v>100</v>
      </c>
      <c r="X37" s="671"/>
      <c r="Y37" s="3451"/>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3"/>
      <c r="M38" s="2488"/>
      <c r="N38" s="2488"/>
      <c r="O38" s="2542"/>
      <c r="P38" s="3451"/>
      <c r="Q38" s="1263" t="str">
        <f>B38</f>
        <v>宗地面积</v>
      </c>
      <c r="R38" s="667" t="s">
        <v>14</v>
      </c>
      <c r="S38" s="668" t="e">
        <f t="shared" si="10"/>
        <v>#N/A</v>
      </c>
      <c r="T38" s="667" t="s">
        <v>14</v>
      </c>
      <c r="U38" s="668" t="e">
        <f t="shared" si="11"/>
        <v>#N/A</v>
      </c>
      <c r="V38" s="667" t="s">
        <v>14</v>
      </c>
      <c r="W38" s="668" t="e">
        <f t="shared" si="12"/>
        <v>#N/A</v>
      </c>
      <c r="X38" s="1265"/>
      <c r="Y38" s="3451"/>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3"/>
      <c r="M39" s="2488"/>
      <c r="N39" s="2488"/>
      <c r="O39" s="2542"/>
      <c r="P39" s="3451"/>
      <c r="Q39" s="1263" t="str">
        <f t="shared" ref="Q39:Q45" si="14">B39</f>
        <v>宗地形状</v>
      </c>
      <c r="R39" s="667" t="s">
        <v>14</v>
      </c>
      <c r="S39" s="668">
        <f t="shared" si="10"/>
        <v>100</v>
      </c>
      <c r="T39" s="667" t="s">
        <v>14</v>
      </c>
      <c r="U39" s="668">
        <f t="shared" si="11"/>
        <v>100</v>
      </c>
      <c r="V39" s="667" t="s">
        <v>14</v>
      </c>
      <c r="W39" s="668">
        <f t="shared" si="12"/>
        <v>100</v>
      </c>
      <c r="X39" s="1265"/>
      <c r="Y39" s="3451"/>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3"/>
      <c r="M40" s="2488"/>
      <c r="N40" s="2488"/>
      <c r="O40" s="2542"/>
      <c r="P40" s="3451"/>
      <c r="Q40" s="1263" t="str">
        <f t="shared" si="14"/>
        <v>临街宽度及深度</v>
      </c>
      <c r="R40" s="667" t="s">
        <v>14</v>
      </c>
      <c r="S40" s="668">
        <f t="shared" si="10"/>
        <v>100</v>
      </c>
      <c r="T40" s="667" t="s">
        <v>14</v>
      </c>
      <c r="U40" s="668">
        <f t="shared" si="11"/>
        <v>100</v>
      </c>
      <c r="V40" s="667" t="s">
        <v>14</v>
      </c>
      <c r="W40" s="668">
        <f t="shared" si="12"/>
        <v>100</v>
      </c>
      <c r="X40" s="1265"/>
      <c r="Y40" s="3451"/>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9"/>
      <c r="M41" s="2440"/>
      <c r="N41" s="2440"/>
      <c r="O41" s="2540"/>
      <c r="P41" s="3451"/>
      <c r="Q41" s="1263" t="str">
        <f t="shared" si="14"/>
        <v>宗地开发程度</v>
      </c>
      <c r="R41" s="664" t="s">
        <v>14</v>
      </c>
      <c r="S41" s="665">
        <f t="shared" si="10"/>
        <v>100</v>
      </c>
      <c r="T41" s="664" t="s">
        <v>14</v>
      </c>
      <c r="U41" s="665">
        <f t="shared" si="11"/>
        <v>100</v>
      </c>
      <c r="V41" s="664" t="s">
        <v>14</v>
      </c>
      <c r="W41" s="665">
        <f t="shared" si="12"/>
        <v>100</v>
      </c>
      <c r="X41" s="666"/>
      <c r="Y41" s="3451"/>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3"/>
      <c r="M42" s="2488"/>
      <c r="N42" s="2488"/>
      <c r="O42" s="2542"/>
      <c r="P42" s="3451" t="s">
        <v>1696</v>
      </c>
      <c r="Q42" s="1263" t="str">
        <f t="shared" si="14"/>
        <v>工程地质条件</v>
      </c>
      <c r="R42" s="667" t="s">
        <v>14</v>
      </c>
      <c r="S42" s="668">
        <f t="shared" si="10"/>
        <v>100</v>
      </c>
      <c r="T42" s="667" t="s">
        <v>14</v>
      </c>
      <c r="U42" s="668">
        <f t="shared" si="11"/>
        <v>100</v>
      </c>
      <c r="V42" s="667" t="s">
        <v>14</v>
      </c>
      <c r="W42" s="668">
        <f t="shared" si="12"/>
        <v>100</v>
      </c>
      <c r="X42" s="1265"/>
      <c r="Y42" s="3451"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3"/>
      <c r="M43" s="2488"/>
      <c r="N43" s="2488"/>
      <c r="O43" s="2542"/>
      <c r="P43" s="3451"/>
      <c r="Q43" s="1263">
        <f t="shared" si="14"/>
        <v>111</v>
      </c>
      <c r="R43" s="667" t="s">
        <v>14</v>
      </c>
      <c r="S43" s="668">
        <f t="shared" si="10"/>
        <v>100</v>
      </c>
      <c r="T43" s="667" t="s">
        <v>14</v>
      </c>
      <c r="U43" s="668">
        <f t="shared" si="11"/>
        <v>100</v>
      </c>
      <c r="V43" s="667" t="s">
        <v>14</v>
      </c>
      <c r="W43" s="668">
        <f t="shared" si="12"/>
        <v>100</v>
      </c>
      <c r="X43" s="1265"/>
      <c r="Y43" s="3451"/>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3"/>
      <c r="M44" s="2488"/>
      <c r="N44" s="2488"/>
      <c r="O44" s="2542"/>
      <c r="P44" s="3451"/>
      <c r="Q44" s="1263">
        <f t="shared" si="14"/>
        <v>111</v>
      </c>
      <c r="R44" s="667" t="s">
        <v>14</v>
      </c>
      <c r="S44" s="668">
        <f t="shared" si="10"/>
        <v>100</v>
      </c>
      <c r="T44" s="667" t="s">
        <v>14</v>
      </c>
      <c r="U44" s="668">
        <f t="shared" si="11"/>
        <v>100</v>
      </c>
      <c r="V44" s="667" t="s">
        <v>14</v>
      </c>
      <c r="W44" s="668">
        <f t="shared" si="12"/>
        <v>100</v>
      </c>
      <c r="X44" s="1265"/>
      <c r="Y44" s="3451"/>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2"/>
      <c r="M45" s="2494"/>
      <c r="N45" s="2494"/>
      <c r="O45" s="2543"/>
      <c r="P45" s="3451"/>
      <c r="Q45" s="1263">
        <f t="shared" si="14"/>
        <v>111</v>
      </c>
      <c r="R45" s="669" t="s">
        <v>14</v>
      </c>
      <c r="S45" s="670">
        <f t="shared" si="10"/>
        <v>100</v>
      </c>
      <c r="T45" s="669" t="s">
        <v>14</v>
      </c>
      <c r="U45" s="670">
        <f t="shared" si="11"/>
        <v>100</v>
      </c>
      <c r="V45" s="669" t="s">
        <v>14</v>
      </c>
      <c r="W45" s="670">
        <f t="shared" si="12"/>
        <v>100</v>
      </c>
      <c r="X45" s="671"/>
      <c r="Y45" s="3451"/>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5"/>
      <c r="M46" s="2488"/>
      <c r="N46" s="2488"/>
      <c r="O46" s="2488"/>
      <c r="P46" s="3444" t="str">
        <f>A46</f>
        <v>成交单价</v>
      </c>
      <c r="Q46" s="3444"/>
      <c r="R46" s="3445">
        <f>E46</f>
        <v>0</v>
      </c>
      <c r="S46" s="3445"/>
      <c r="T46" s="3445">
        <f>G46</f>
        <v>0</v>
      </c>
      <c r="U46" s="3445"/>
      <c r="V46" s="3445">
        <f>I46</f>
        <v>0</v>
      </c>
      <c r="W46" s="344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5"/>
      <c r="M47" s="2488"/>
      <c r="N47" s="2488"/>
      <c r="O47" s="2488"/>
      <c r="P47" s="3444" t="str">
        <f>A47</f>
        <v>比较价值（元/平方米）</v>
      </c>
      <c r="Q47" s="3444"/>
      <c r="R47" s="3503" t="e">
        <f>ROUND(PRODUCT(R46,AA7:AA45),0)</f>
        <v>#DIV/0!</v>
      </c>
      <c r="S47" s="3503"/>
      <c r="T47" s="3503" t="e">
        <f>ROUND(PRODUCT(T46,AB7:AB45),0)</f>
        <v>#DIV/0!</v>
      </c>
      <c r="U47" s="3503"/>
      <c r="V47" s="3503" t="e">
        <f>ROUND(PRODUCT(V46,AC7:AC45),0)</f>
        <v>#DIV/0!</v>
      </c>
      <c r="W47" s="3503"/>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5"/>
      <c r="M48" s="2488"/>
      <c r="N48" s="2488"/>
      <c r="O48" s="2488"/>
      <c r="P48" s="3441" t="str">
        <f>A48</f>
        <v>估价对象XX用房的比较价值（楼面单价，元/平方米）</v>
      </c>
      <c r="Q48" s="3442"/>
      <c r="R48" s="3504" t="e">
        <f>ROUND(IF(D47="简单平均",AVERAGE(R47:W47),R47*F47+T47*H47+V47*J47),0)</f>
        <v>#DIV/0!</v>
      </c>
      <c r="S48" s="3504"/>
      <c r="T48" s="3504"/>
      <c r="U48" s="3504"/>
      <c r="V48" s="3504"/>
      <c r="W48" s="3504"/>
      <c r="X48" s="385"/>
      <c r="Y48" s="385"/>
      <c r="Z48" s="385"/>
      <c r="AA48" s="385"/>
      <c r="AB48" s="385"/>
      <c r="AC48" s="385"/>
    </row>
    <row r="49" spans="1:29">
      <c r="A49" s="2488"/>
      <c r="B49" s="2488"/>
      <c r="C49" s="2488"/>
      <c r="D49" s="2488"/>
      <c r="E49" s="2488"/>
      <c r="F49" s="2488"/>
      <c r="G49" s="2499"/>
      <c r="H49" s="2488"/>
      <c r="I49" s="2488"/>
      <c r="J49" s="2488"/>
      <c r="K49" s="2500"/>
      <c r="L49" s="2496"/>
      <c r="M49" s="2488"/>
      <c r="N49" s="2488"/>
      <c r="O49" s="2488"/>
      <c r="P49" s="2488"/>
      <c r="Q49" s="2488"/>
      <c r="R49" s="2488"/>
      <c r="S49" s="2488"/>
      <c r="T49" s="2488"/>
      <c r="U49" s="2488"/>
      <c r="V49" s="2488"/>
      <c r="W49" s="2488"/>
      <c r="X49" s="2488"/>
      <c r="Y49" s="2488"/>
      <c r="Z49" s="2488"/>
      <c r="AA49" s="2488"/>
      <c r="AB49" s="2488"/>
      <c r="AC49" s="2488"/>
    </row>
    <row r="50" spans="1:29">
      <c r="A50" s="2488"/>
      <c r="B50" s="2488"/>
      <c r="C50" s="2488"/>
      <c r="D50" s="2488"/>
      <c r="E50" s="2488"/>
      <c r="F50" s="2488"/>
      <c r="G50" s="2488"/>
      <c r="H50" s="2488"/>
      <c r="I50" s="2488"/>
      <c r="J50" s="2488"/>
      <c r="K50" s="2500"/>
      <c r="L50" s="2496"/>
      <c r="M50" s="2488"/>
      <c r="N50" s="2488"/>
      <c r="O50" s="2488"/>
      <c r="P50" s="2488"/>
      <c r="Q50" s="2488"/>
      <c r="R50" s="2488"/>
      <c r="S50" s="2488"/>
      <c r="T50" s="2488"/>
      <c r="U50" s="2488"/>
      <c r="V50" s="2488"/>
      <c r="W50" s="2488"/>
      <c r="X50" s="2488"/>
      <c r="Y50" s="2488"/>
      <c r="Z50" s="2488"/>
      <c r="AA50" s="2488"/>
      <c r="AB50" s="2488"/>
      <c r="AC50" s="2488"/>
    </row>
    <row r="51" spans="1:29" ht="13.5" customHeight="1">
      <c r="A51" s="2488"/>
      <c r="B51" s="2488"/>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500"/>
      <c r="L51" s="2496"/>
      <c r="M51" s="2488"/>
      <c r="N51" s="2488"/>
      <c r="O51" s="2488"/>
      <c r="P51" s="2488"/>
      <c r="Q51" s="2488"/>
      <c r="R51" s="2488"/>
      <c r="S51" s="2488"/>
      <c r="T51" s="2488"/>
      <c r="U51" s="2488"/>
      <c r="V51" s="2488"/>
      <c r="W51" s="2488"/>
      <c r="X51" s="2488"/>
      <c r="Y51" s="2488"/>
      <c r="Z51" s="2488"/>
      <c r="AA51" s="2488"/>
      <c r="AB51" s="2488"/>
      <c r="AC51" s="2488"/>
    </row>
    <row r="52" spans="1:29" ht="13.5" customHeight="1">
      <c r="A52" s="2488"/>
      <c r="B52" s="2488"/>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500"/>
      <c r="L52" s="2496"/>
      <c r="M52" s="2488"/>
      <c r="N52" s="2488"/>
      <c r="O52" s="2488"/>
      <c r="P52" s="2488"/>
      <c r="Q52" s="2488"/>
      <c r="R52" s="2488"/>
      <c r="S52" s="2488"/>
      <c r="T52" s="2488"/>
      <c r="U52" s="2488"/>
      <c r="V52" s="2488"/>
      <c r="W52" s="2488"/>
      <c r="X52" s="2488"/>
      <c r="Y52" s="2488"/>
      <c r="Z52" s="2488"/>
      <c r="AA52" s="2488"/>
      <c r="AB52" s="2488"/>
      <c r="AC52" s="2488"/>
    </row>
    <row r="53" spans="1:29" s="437" customFormat="1" ht="13.5" customHeight="1">
      <c r="A53" s="2498"/>
      <c r="B53" s="2498"/>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3"/>
      <c r="L53" s="2497"/>
      <c r="M53" s="2498"/>
      <c r="N53" s="2498"/>
      <c r="O53" s="2498"/>
      <c r="P53" s="2498"/>
      <c r="Q53" s="2498"/>
      <c r="R53" s="2498"/>
      <c r="S53" s="2498"/>
      <c r="T53" s="2498"/>
      <c r="U53" s="2498"/>
      <c r="V53" s="2498"/>
      <c r="W53" s="2498"/>
      <c r="X53" s="2498"/>
      <c r="Y53" s="2498"/>
      <c r="Z53" s="2498"/>
      <c r="AA53" s="2498"/>
      <c r="AB53" s="2498"/>
      <c r="AC53" s="2498"/>
    </row>
    <row r="54" spans="1:29" s="437" customFormat="1" ht="15" thickBot="1">
      <c r="A54" s="2498"/>
      <c r="B54" s="2501"/>
      <c r="C54" s="657"/>
      <c r="D54" s="655"/>
      <c r="E54" s="655"/>
      <c r="F54" s="655"/>
      <c r="G54" s="655"/>
      <c r="H54" s="655"/>
      <c r="I54" s="655"/>
      <c r="J54" s="655"/>
      <c r="K54" s="2503"/>
      <c r="L54" s="2497"/>
      <c r="M54" s="2498"/>
      <c r="N54" s="2498"/>
      <c r="O54" s="2498"/>
      <c r="P54" s="2498"/>
      <c r="Q54" s="2498"/>
      <c r="R54" s="2498"/>
      <c r="S54" s="2498"/>
      <c r="T54" s="2498"/>
      <c r="U54" s="2498"/>
      <c r="V54" s="2498"/>
      <c r="W54" s="2498"/>
      <c r="X54" s="2498"/>
      <c r="Y54" s="2498"/>
      <c r="Z54" s="2498"/>
      <c r="AA54" s="2498"/>
      <c r="AB54" s="2498"/>
      <c r="AC54" s="2498"/>
    </row>
    <row r="55" spans="1:29" ht="27" customHeight="1">
      <c r="A55" s="604" t="s">
        <v>1881</v>
      </c>
      <c r="B55" s="605" t="s">
        <v>1882</v>
      </c>
      <c r="C55" s="1831" t="s">
        <v>1883</v>
      </c>
      <c r="D55" s="1832" t="s">
        <v>1884</v>
      </c>
      <c r="E55" s="606" t="s">
        <v>1885</v>
      </c>
      <c r="F55" s="837" t="s">
        <v>1886</v>
      </c>
      <c r="G55" s="3459" t="s">
        <v>1887</v>
      </c>
      <c r="H55" s="3505"/>
      <c r="I55" s="127" t="s">
        <v>1888</v>
      </c>
      <c r="J55" s="1833">
        <f>项目基本情况!F35</f>
        <v>0</v>
      </c>
      <c r="K55" s="1834" t="s">
        <v>1889</v>
      </c>
      <c r="L55" s="2496"/>
      <c r="M55" s="2488"/>
      <c r="N55" s="2488"/>
      <c r="O55" s="2488"/>
      <c r="P55" s="2488"/>
      <c r="Q55" s="2488"/>
      <c r="R55" s="2488"/>
      <c r="S55" s="2488"/>
      <c r="T55" s="2488"/>
      <c r="U55" s="2488"/>
      <c r="V55" s="2488"/>
      <c r="W55" s="2488"/>
      <c r="X55" s="2488"/>
      <c r="Y55" s="2488"/>
      <c r="Z55" s="2488"/>
      <c r="AA55" s="2488"/>
      <c r="AB55" s="2488"/>
      <c r="AC55" s="2488"/>
    </row>
    <row r="56" spans="1:29" s="612" customFormat="1">
      <c r="A56" s="608" t="s">
        <v>1890</v>
      </c>
      <c r="B56" s="609" t="e">
        <f>C48</f>
        <v>#DIV/0!</v>
      </c>
      <c r="C56" s="610">
        <v>1</v>
      </c>
      <c r="D56" s="890">
        <v>1</v>
      </c>
      <c r="E56" s="610">
        <f>'数据-汇总表'!E8+'数据-汇总表'!E9</f>
        <v>67424.870000000024</v>
      </c>
      <c r="F56" s="833" t="e">
        <f t="shared" ref="F56:F64" si="15">ROUND(B56*E56/10000,0)</f>
        <v>#DIV/0!</v>
      </c>
      <c r="G56" s="3455"/>
      <c r="H56" s="3444"/>
      <c r="I56" s="838">
        <v>1</v>
      </c>
      <c r="J56" s="841">
        <v>1</v>
      </c>
      <c r="K56" s="2498"/>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0.6</v>
      </c>
      <c r="D57" s="891">
        <v>0.25</v>
      </c>
      <c r="E57" s="614"/>
      <c r="F57" s="833" t="e">
        <f t="shared" si="15"/>
        <v>#DIV/0!</v>
      </c>
      <c r="G57" s="2750" t="s">
        <v>1892</v>
      </c>
      <c r="H57" s="834" t="str">
        <f>项目基本情况!B37</f>
        <v>三级</v>
      </c>
      <c r="I57" s="838">
        <f>SUMIF(修正!A57:A68,H57,修正!B57:B68)</f>
        <v>0.6</v>
      </c>
      <c r="J57" s="842"/>
      <c r="K57" s="2488"/>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0.3</v>
      </c>
      <c r="D58" s="891">
        <v>0.25</v>
      </c>
      <c r="E58" s="614"/>
      <c r="F58" s="833" t="e">
        <f t="shared" si="15"/>
        <v>#DIV/0!</v>
      </c>
      <c r="G58" s="2751"/>
      <c r="H58" s="834" t="str">
        <f>项目基本情况!B37</f>
        <v>三级</v>
      </c>
      <c r="I58" s="838">
        <f>SUMIF(修正!A57:A68,H58,修正!C57:C68)</f>
        <v>0.3</v>
      </c>
      <c r="J58" s="842"/>
      <c r="K58" s="2498"/>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0.25</v>
      </c>
      <c r="D59" s="891">
        <v>0.25</v>
      </c>
      <c r="E59" s="614"/>
      <c r="F59" s="833" t="e">
        <f t="shared" si="15"/>
        <v>#DIV/0!</v>
      </c>
      <c r="G59" s="2751"/>
      <c r="H59" s="834" t="str">
        <f>项目基本情况!B37</f>
        <v>三级</v>
      </c>
      <c r="I59" s="838">
        <f>SUMIF(修正!A57:A68,H59,修正!D57:D68)</f>
        <v>0.25</v>
      </c>
      <c r="J59" s="842"/>
      <c r="K59" s="2488"/>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三级</v>
      </c>
      <c r="I60" s="838">
        <f>SUMIF(修正!A57:A68,H60,修正!E57:E68)</f>
        <v>0.25</v>
      </c>
      <c r="J60" s="842"/>
      <c r="K60" s="2488"/>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三级</v>
      </c>
      <c r="I61" s="838">
        <f>SUMIF(修正!A57:A68,H61,修正!F57:F68)</f>
        <v>0.25</v>
      </c>
      <c r="J61" s="842"/>
      <c r="K61" s="2498"/>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8"/>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0.15</v>
      </c>
      <c r="D63" s="891">
        <v>0.25</v>
      </c>
      <c r="E63" s="209">
        <f>'数据-汇总表'!E14</f>
        <v>11876.309999999992</v>
      </c>
      <c r="F63" s="833" t="e">
        <f t="shared" si="15"/>
        <v>#DIV/0!</v>
      </c>
      <c r="G63" s="1835" t="s">
        <v>1892</v>
      </c>
      <c r="H63" s="834" t="str">
        <f>项目基本情况!B37</f>
        <v>三级</v>
      </c>
      <c r="I63" s="838">
        <f>SUMIF(修正!A57:A68,H63,修正!G57:G68)</f>
        <v>0.15</v>
      </c>
      <c r="J63" s="842"/>
      <c r="K63" s="2498"/>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0.15</v>
      </c>
      <c r="D64" s="891">
        <v>0.25</v>
      </c>
      <c r="E64" s="209">
        <f>'数据-汇总表'!E15</f>
        <v>0</v>
      </c>
      <c r="F64" s="833" t="e">
        <f t="shared" si="15"/>
        <v>#DIV/0!</v>
      </c>
      <c r="G64" s="1836" t="s">
        <v>1896</v>
      </c>
      <c r="H64" s="844" t="str">
        <f>项目基本情况!C37</f>
        <v>三级</v>
      </c>
      <c r="I64" s="840">
        <f>SUMIF(修正!A57:A68,H64,修正!G57:G68)</f>
        <v>0.15</v>
      </c>
      <c r="J64" s="843"/>
      <c r="K64" s="2488"/>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79301.180000000022</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8"/>
      <c r="Q66" s="2488"/>
      <c r="R66" s="2488"/>
      <c r="S66" s="2488"/>
      <c r="T66" s="2488"/>
      <c r="U66" s="2488"/>
      <c r="V66" s="2488"/>
      <c r="W66" s="2488"/>
      <c r="X66" s="2488"/>
      <c r="Y66" s="2488"/>
      <c r="Z66" s="2488"/>
      <c r="AA66" s="2488"/>
      <c r="AB66" s="2488"/>
      <c r="AC66" s="2488"/>
    </row>
    <row r="67" spans="1:29">
      <c r="A67" s="385"/>
      <c r="B67" s="656"/>
      <c r="C67" s="656" t="str">
        <f>YEAR(C7)&amp;"-"&amp;MONTH(C7)&amp;"-1"</f>
        <v>2025-5-1</v>
      </c>
      <c r="D67" s="656">
        <f>EDATE(C67,-3)</f>
        <v>45689</v>
      </c>
      <c r="E67" s="656">
        <f>EDATE(D67,-3)</f>
        <v>45597</v>
      </c>
      <c r="F67" s="656">
        <f t="shared" ref="F67:O67" si="18">EDATE(E67,-3)</f>
        <v>45505</v>
      </c>
      <c r="G67" s="656">
        <f t="shared" si="18"/>
        <v>45413</v>
      </c>
      <c r="H67" s="656">
        <f t="shared" si="18"/>
        <v>45323</v>
      </c>
      <c r="I67" s="656">
        <f t="shared" si="18"/>
        <v>45231</v>
      </c>
      <c r="J67" s="656">
        <f t="shared" si="18"/>
        <v>45139</v>
      </c>
      <c r="K67" s="656">
        <f t="shared" si="18"/>
        <v>45047</v>
      </c>
      <c r="L67" s="656">
        <f t="shared" si="18"/>
        <v>44958</v>
      </c>
      <c r="M67" s="656">
        <f t="shared" si="18"/>
        <v>44866</v>
      </c>
      <c r="N67" s="656">
        <f t="shared" si="18"/>
        <v>44774</v>
      </c>
      <c r="O67" s="656">
        <f t="shared" si="18"/>
        <v>44682</v>
      </c>
      <c r="P67" s="2488"/>
      <c r="Q67" s="2488"/>
      <c r="R67" s="2488"/>
      <c r="S67" s="2488"/>
      <c r="T67" s="2488"/>
      <c r="U67" s="2488"/>
      <c r="V67" s="2488"/>
      <c r="W67" s="2488"/>
      <c r="X67" s="2488"/>
      <c r="Y67" s="2488"/>
      <c r="Z67" s="2488"/>
      <c r="AA67" s="2488"/>
      <c r="AB67" s="2488"/>
      <c r="AC67" s="2488"/>
    </row>
    <row r="68" spans="1:29" ht="21.75" thickBot="1">
      <c r="A68" s="658" t="s">
        <v>1798</v>
      </c>
      <c r="B68" s="385"/>
      <c r="C68" s="659"/>
      <c r="D68" s="659"/>
      <c r="E68" s="659"/>
      <c r="F68" s="660"/>
      <c r="G68" s="660"/>
      <c r="H68" s="659"/>
      <c r="I68" s="659"/>
      <c r="J68" s="886"/>
      <c r="K68" s="887"/>
      <c r="L68" s="888"/>
      <c r="M68" s="886"/>
      <c r="N68" s="2537"/>
      <c r="O68" s="2537"/>
      <c r="P68" s="2537"/>
      <c r="Q68" s="2509"/>
      <c r="R68" s="2488"/>
      <c r="S68" s="2488"/>
      <c r="T68" s="2488"/>
      <c r="U68" s="2488"/>
      <c r="V68" s="2488"/>
      <c r="W68" s="2488"/>
      <c r="X68" s="2488"/>
      <c r="Y68" s="2488"/>
      <c r="Z68" s="2488"/>
      <c r="AA68" s="2488"/>
      <c r="AB68" s="2488"/>
      <c r="AC68" s="2488"/>
    </row>
    <row r="69" spans="1:29" s="442" customFormat="1" ht="15">
      <c r="A69" s="1630" t="s">
        <v>1904</v>
      </c>
      <c r="B69" s="1046"/>
      <c r="C69" s="1101" t="str">
        <f>YEAR(C67)&amp;"-"&amp;ROUNDUP(MONTH(C67)/3,0)</f>
        <v>2025-2</v>
      </c>
      <c r="D69" s="1101" t="str">
        <f>YEAR(D67)&amp;"-"&amp;ROUNDUP(MONTH(D67)/3,0)</f>
        <v>2025-1</v>
      </c>
      <c r="E69" s="1101" t="str">
        <f t="shared" ref="E69:O69" si="19">YEAR(E67)&amp;"-"&amp;ROUNDUP(MONTH(E67)/3,0)</f>
        <v>2024-4</v>
      </c>
      <c r="F69" s="1101" t="str">
        <f t="shared" si="19"/>
        <v>2024-3</v>
      </c>
      <c r="G69" s="1101" t="str">
        <f t="shared" si="19"/>
        <v>2024-2</v>
      </c>
      <c r="H69" s="1101" t="str">
        <f t="shared" si="19"/>
        <v>2024-1</v>
      </c>
      <c r="I69" s="1101" t="str">
        <f t="shared" si="19"/>
        <v>2023-4</v>
      </c>
      <c r="J69" s="1101" t="str">
        <f t="shared" si="19"/>
        <v>2023-3</v>
      </c>
      <c r="K69" s="1101" t="str">
        <f t="shared" si="19"/>
        <v>2023-2</v>
      </c>
      <c r="L69" s="1101" t="str">
        <f t="shared" si="19"/>
        <v>2023-1</v>
      </c>
      <c r="M69" s="1101" t="str">
        <f t="shared" si="19"/>
        <v>2022-4</v>
      </c>
      <c r="N69" s="1101" t="str">
        <f t="shared" si="19"/>
        <v>2022-3</v>
      </c>
      <c r="O69" s="1101" t="str">
        <f t="shared" si="19"/>
        <v>2022-2</v>
      </c>
      <c r="P69" s="2510"/>
      <c r="Q69" s="2510"/>
      <c r="R69" s="2510"/>
      <c r="S69" s="2510"/>
      <c r="T69" s="2510"/>
      <c r="U69" s="2510"/>
      <c r="V69" s="2510"/>
      <c r="W69" s="2510"/>
      <c r="X69" s="2510"/>
      <c r="Y69" s="2510"/>
      <c r="Z69" s="2510"/>
      <c r="AA69" s="2510"/>
      <c r="AB69" s="2510"/>
      <c r="AC69" s="2510"/>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9"/>
      <c r="Q70" s="2440"/>
      <c r="R70" s="2440"/>
      <c r="S70" s="2440"/>
      <c r="T70" s="2440"/>
      <c r="U70" s="2440"/>
      <c r="V70" s="2440"/>
      <c r="W70" s="2440"/>
      <c r="X70" s="2440"/>
      <c r="Y70" s="2440"/>
      <c r="Z70" s="2440"/>
      <c r="AA70" s="2440"/>
      <c r="AB70" s="2440"/>
      <c r="AC70" s="2440"/>
    </row>
    <row r="71" spans="1:29" s="102" customFormat="1" ht="15.75" thickBot="1">
      <c r="A71" s="449" t="s">
        <v>1716</v>
      </c>
      <c r="B71" s="450"/>
      <c r="C71" s="451"/>
      <c r="D71" s="452"/>
      <c r="E71" s="452"/>
      <c r="F71" s="452"/>
      <c r="G71" s="452"/>
      <c r="H71" s="452"/>
      <c r="I71" s="452"/>
      <c r="J71" s="452"/>
      <c r="K71" s="452"/>
      <c r="L71" s="452"/>
      <c r="M71" s="453"/>
      <c r="N71" s="452"/>
      <c r="O71" s="889"/>
      <c r="P71" s="2509"/>
      <c r="Q71" s="2509"/>
      <c r="R71" s="2440"/>
      <c r="S71" s="2440"/>
      <c r="T71" s="2440"/>
      <c r="U71" s="2440"/>
      <c r="V71" s="2440"/>
      <c r="W71" s="2440"/>
      <c r="X71" s="2440"/>
      <c r="Y71" s="2440"/>
      <c r="Z71" s="2440"/>
      <c r="AA71" s="2440"/>
      <c r="AB71" s="2440"/>
      <c r="AC71" s="2440"/>
    </row>
    <row r="72" spans="1:29" s="102" customFormat="1" ht="15">
      <c r="A72" s="455" t="s">
        <v>1681</v>
      </c>
      <c r="B72" s="444"/>
      <c r="C72" s="456" t="s">
        <v>1776</v>
      </c>
      <c r="D72" s="31"/>
      <c r="E72" s="31"/>
      <c r="F72" s="31"/>
      <c r="G72" s="31"/>
      <c r="H72" s="31"/>
      <c r="I72" s="31"/>
      <c r="J72" s="31"/>
      <c r="K72" s="31"/>
      <c r="L72" s="457"/>
      <c r="M72" s="458"/>
      <c r="N72" s="2520"/>
      <c r="O72" s="2520"/>
      <c r="P72" s="2544"/>
      <c r="Q72" s="2509"/>
      <c r="R72" s="2440"/>
      <c r="S72" s="2440"/>
      <c r="T72" s="2440"/>
      <c r="U72" s="2440"/>
      <c r="V72" s="2440"/>
      <c r="W72" s="2440"/>
      <c r="X72" s="2440"/>
      <c r="Y72" s="2440"/>
      <c r="Z72" s="2440"/>
      <c r="AA72" s="2440"/>
      <c r="AB72" s="2440"/>
      <c r="AC72" s="2440"/>
    </row>
    <row r="73" spans="1:29" s="102" customFormat="1" ht="15.75" thickBot="1">
      <c r="A73" s="455"/>
      <c r="B73" s="444"/>
      <c r="C73" s="563">
        <v>100</v>
      </c>
      <c r="D73" s="446"/>
      <c r="E73" s="446"/>
      <c r="F73" s="446"/>
      <c r="G73" s="446"/>
      <c r="H73" s="446"/>
      <c r="I73" s="446"/>
      <c r="J73" s="446"/>
      <c r="K73" s="446"/>
      <c r="L73" s="446"/>
      <c r="M73" s="448"/>
      <c r="N73" s="2520"/>
      <c r="O73" s="2520"/>
      <c r="P73" s="2509"/>
      <c r="Q73" s="2509"/>
      <c r="R73" s="2440"/>
      <c r="S73" s="2440"/>
      <c r="T73" s="2440"/>
      <c r="U73" s="2440"/>
      <c r="V73" s="2440"/>
      <c r="W73" s="2440"/>
      <c r="X73" s="2440"/>
      <c r="Y73" s="2440"/>
      <c r="Z73" s="2440"/>
      <c r="AA73" s="2440"/>
      <c r="AB73" s="2440"/>
      <c r="AC73" s="2440"/>
    </row>
    <row r="74" spans="1:29">
      <c r="A74" s="379" t="s">
        <v>1719</v>
      </c>
      <c r="B74" s="460" t="s">
        <v>1685</v>
      </c>
      <c r="C74" s="462"/>
      <c r="D74" s="462"/>
      <c r="E74" s="462"/>
      <c r="F74" s="462"/>
      <c r="G74" s="462"/>
      <c r="H74" s="462"/>
      <c r="I74" s="462"/>
      <c r="J74" s="462"/>
      <c r="K74" s="463"/>
      <c r="L74" s="464"/>
      <c r="M74" s="465"/>
      <c r="N74" s="2521"/>
      <c r="O74" s="2521"/>
      <c r="P74" s="2520"/>
      <c r="Q74" s="2509"/>
      <c r="R74" s="2488"/>
      <c r="S74" s="2488"/>
      <c r="T74" s="2488"/>
      <c r="U74" s="2488"/>
      <c r="V74" s="2488"/>
      <c r="W74" s="2488"/>
      <c r="X74" s="2488"/>
      <c r="Y74" s="2488"/>
      <c r="Z74" s="2488"/>
      <c r="AA74" s="2488"/>
      <c r="AB74" s="2488"/>
      <c r="AC74" s="2488"/>
    </row>
    <row r="75" spans="1:29" ht="15.75" thickBot="1">
      <c r="A75" s="367"/>
      <c r="B75" s="466"/>
      <c r="C75" s="467"/>
      <c r="D75" s="467"/>
      <c r="E75" s="467"/>
      <c r="F75" s="467"/>
      <c r="G75" s="467"/>
      <c r="H75" s="467"/>
      <c r="I75" s="467"/>
      <c r="J75" s="467"/>
      <c r="K75" s="467"/>
      <c r="L75" s="467"/>
      <c r="M75" s="468"/>
      <c r="N75" s="2522"/>
      <c r="O75" s="2522"/>
      <c r="P75" s="2520"/>
      <c r="Q75" s="2509"/>
      <c r="R75" s="2488"/>
      <c r="S75" s="2488"/>
      <c r="T75" s="2488"/>
      <c r="U75" s="2488"/>
      <c r="V75" s="2488"/>
      <c r="W75" s="2488"/>
      <c r="X75" s="2488"/>
      <c r="Y75" s="2488"/>
      <c r="Z75" s="2488"/>
      <c r="AA75" s="2488"/>
      <c r="AB75" s="2488"/>
      <c r="AC75" s="2488"/>
    </row>
    <row r="76" spans="1:29" ht="27.75" thickTop="1">
      <c r="A76" s="367"/>
      <c r="B76" s="469" t="s">
        <v>1688</v>
      </c>
      <c r="C76" s="470"/>
      <c r="D76" s="470"/>
      <c r="E76" s="470"/>
      <c r="F76" s="470"/>
      <c r="G76" s="470"/>
      <c r="H76" s="470"/>
      <c r="I76" s="470"/>
      <c r="J76" s="470"/>
      <c r="K76" s="471"/>
      <c r="L76" s="472"/>
      <c r="M76" s="473"/>
      <c r="N76" s="2521"/>
      <c r="O76" s="2521"/>
      <c r="P76" s="2520"/>
      <c r="Q76" s="2509"/>
      <c r="R76" s="2488"/>
      <c r="S76" s="2488"/>
      <c r="T76" s="2488"/>
      <c r="U76" s="2488"/>
      <c r="V76" s="2488"/>
      <c r="W76" s="2488"/>
      <c r="X76" s="2488"/>
      <c r="Y76" s="2488"/>
      <c r="Z76" s="2488"/>
      <c r="AA76" s="2488"/>
      <c r="AB76" s="2488"/>
      <c r="AC76" s="2488"/>
    </row>
    <row r="77" spans="1:29" ht="15.75" thickBot="1">
      <c r="A77" s="367"/>
      <c r="B77" s="474"/>
      <c r="C77" s="475"/>
      <c r="D77" s="475"/>
      <c r="E77" s="475"/>
      <c r="F77" s="475"/>
      <c r="G77" s="475"/>
      <c r="H77" s="475"/>
      <c r="I77" s="475"/>
      <c r="J77" s="475"/>
      <c r="K77" s="475"/>
      <c r="L77" s="475"/>
      <c r="M77" s="476"/>
      <c r="N77" s="2522"/>
      <c r="O77" s="2522"/>
      <c r="P77" s="2520"/>
      <c r="Q77" s="2509"/>
      <c r="R77" s="2488"/>
      <c r="S77" s="2488"/>
      <c r="T77" s="2488"/>
      <c r="U77" s="2488"/>
      <c r="V77" s="2488"/>
      <c r="W77" s="2488"/>
      <c r="X77" s="2488"/>
      <c r="Y77" s="2488"/>
      <c r="Z77" s="2488"/>
      <c r="AA77" s="2488"/>
      <c r="AB77" s="2488"/>
      <c r="AC77" s="2488"/>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9"/>
      <c r="R78" s="2488"/>
      <c r="S78" s="2488"/>
      <c r="T78" s="2488"/>
      <c r="U78" s="2488"/>
      <c r="V78" s="2488"/>
      <c r="W78" s="2488"/>
      <c r="X78" s="2488"/>
      <c r="Y78" s="2488"/>
      <c r="Z78" s="2488"/>
      <c r="AA78" s="2488"/>
      <c r="AB78" s="2488"/>
      <c r="AC78" s="2488"/>
    </row>
    <row r="79" spans="1:29" ht="15">
      <c r="A79" s="367"/>
      <c r="B79" s="479"/>
      <c r="C79" s="480"/>
      <c r="D79" s="480"/>
      <c r="E79" s="480"/>
      <c r="F79" s="480"/>
      <c r="G79" s="480"/>
      <c r="H79" s="480"/>
      <c r="I79" s="480"/>
      <c r="J79" s="480"/>
      <c r="K79" s="481"/>
      <c r="L79" s="482"/>
      <c r="M79" s="483"/>
      <c r="N79" s="2521"/>
      <c r="O79" s="2521"/>
      <c r="P79" s="2520"/>
      <c r="Q79" s="2509"/>
      <c r="R79" s="2488"/>
      <c r="S79" s="2488"/>
      <c r="T79" s="2488"/>
      <c r="U79" s="2488"/>
      <c r="V79" s="2488"/>
      <c r="W79" s="2488"/>
      <c r="X79" s="2488"/>
      <c r="Y79" s="2488"/>
      <c r="Z79" s="2488"/>
      <c r="AA79" s="2488"/>
      <c r="AB79" s="2488"/>
      <c r="AC79" s="2488"/>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9"/>
      <c r="R80" s="2488"/>
      <c r="S80" s="2488"/>
      <c r="T80" s="2488"/>
      <c r="U80" s="2488"/>
      <c r="V80" s="2488"/>
      <c r="W80" s="2488"/>
      <c r="X80" s="2488"/>
      <c r="Y80" s="2488"/>
      <c r="Z80" s="2488"/>
      <c r="AA80" s="2488"/>
      <c r="AB80" s="2488"/>
      <c r="AC80" s="2488"/>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4"/>
      <c r="S81" s="2494"/>
      <c r="T81" s="2494"/>
      <c r="U81" s="2494"/>
      <c r="V81" s="2494"/>
      <c r="W81" s="2494"/>
      <c r="X81" s="2494"/>
      <c r="Y81" s="2494"/>
      <c r="Z81" s="2494"/>
      <c r="AA81" s="2494"/>
      <c r="AB81" s="2494"/>
      <c r="AC81" s="2494"/>
    </row>
    <row r="82" spans="1:29" s="408" customFormat="1" ht="15.75" thickBot="1">
      <c r="A82" s="484"/>
      <c r="B82" s="474"/>
      <c r="C82" s="491"/>
      <c r="D82" s="467"/>
      <c r="E82" s="467"/>
      <c r="F82" s="467"/>
      <c r="G82" s="467"/>
      <c r="H82" s="467"/>
      <c r="I82" s="467"/>
      <c r="J82" s="467"/>
      <c r="K82" s="467"/>
      <c r="L82" s="467"/>
      <c r="M82" s="468"/>
      <c r="N82" s="2522"/>
      <c r="O82" s="2522"/>
      <c r="P82" s="2523"/>
      <c r="Q82" s="2515"/>
      <c r="R82" s="2494"/>
      <c r="S82" s="2494"/>
      <c r="T82" s="2494"/>
      <c r="U82" s="2494"/>
      <c r="V82" s="2494"/>
      <c r="W82" s="2494"/>
      <c r="X82" s="2494"/>
      <c r="Y82" s="2494"/>
      <c r="Z82" s="2494"/>
      <c r="AA82" s="2494"/>
      <c r="AB82" s="2494"/>
      <c r="AC82" s="2494"/>
    </row>
    <row r="83" spans="1:29" s="408" customFormat="1" ht="15.75" thickTop="1">
      <c r="A83" s="484"/>
      <c r="B83" s="469">
        <f>B13</f>
        <v>111</v>
      </c>
      <c r="C83" s="485"/>
      <c r="D83" s="485"/>
      <c r="E83" s="485"/>
      <c r="F83" s="485"/>
      <c r="G83" s="485"/>
      <c r="H83" s="486"/>
      <c r="I83" s="486"/>
      <c r="J83" s="486"/>
      <c r="K83" s="486"/>
      <c r="L83" s="487"/>
      <c r="M83" s="488"/>
      <c r="N83" s="2523"/>
      <c r="O83" s="2523"/>
      <c r="P83" s="2494"/>
      <c r="Q83" s="2517"/>
      <c r="R83" s="2494"/>
      <c r="S83" s="2494"/>
      <c r="T83" s="2494"/>
      <c r="U83" s="2494"/>
      <c r="V83" s="2494"/>
      <c r="W83" s="2494"/>
      <c r="X83" s="2494"/>
      <c r="Y83" s="2494"/>
      <c r="Z83" s="2494"/>
      <c r="AA83" s="2494"/>
      <c r="AB83" s="2494"/>
      <c r="AC83" s="2494"/>
    </row>
    <row r="84" spans="1:29" s="408" customFormat="1" ht="15.75" thickBot="1">
      <c r="A84" s="484"/>
      <c r="B84" s="474"/>
      <c r="C84" s="491"/>
      <c r="D84" s="491"/>
      <c r="E84" s="491"/>
      <c r="F84" s="491"/>
      <c r="G84" s="491"/>
      <c r="H84" s="493"/>
      <c r="I84" s="493"/>
      <c r="J84" s="493"/>
      <c r="K84" s="493"/>
      <c r="L84" s="493"/>
      <c r="M84" s="494"/>
      <c r="N84" s="2523"/>
      <c r="O84" s="2523"/>
      <c r="P84" s="2523"/>
      <c r="Q84" s="2515"/>
      <c r="R84" s="2494"/>
      <c r="S84" s="2494"/>
      <c r="T84" s="2494"/>
      <c r="U84" s="2494"/>
      <c r="V84" s="2494"/>
      <c r="W84" s="2494"/>
      <c r="X84" s="2494"/>
      <c r="Y84" s="2494"/>
      <c r="Z84" s="2494"/>
      <c r="AA84" s="2494"/>
      <c r="AB84" s="2494"/>
      <c r="AC84" s="2494"/>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4"/>
      <c r="S85" s="2494"/>
      <c r="T85" s="2494"/>
      <c r="U85" s="2494"/>
      <c r="V85" s="2494"/>
      <c r="W85" s="2494"/>
      <c r="X85" s="2494"/>
      <c r="Y85" s="2494"/>
      <c r="Z85" s="2494"/>
      <c r="AA85" s="2494"/>
      <c r="AB85" s="2494"/>
      <c r="AC85" s="2494"/>
    </row>
    <row r="86" spans="1:29" s="408" customFormat="1" ht="15.75" thickBot="1">
      <c r="A86" s="499"/>
      <c r="B86" s="500"/>
      <c r="C86" s="501"/>
      <c r="D86" s="501"/>
      <c r="E86" s="501"/>
      <c r="F86" s="501"/>
      <c r="G86" s="501"/>
      <c r="H86" s="502"/>
      <c r="I86" s="502"/>
      <c r="J86" s="502"/>
      <c r="K86" s="502"/>
      <c r="L86" s="502"/>
      <c r="M86" s="503"/>
      <c r="N86" s="2523"/>
      <c r="O86" s="2523"/>
      <c r="P86" s="2523"/>
      <c r="Q86" s="2515"/>
      <c r="R86" s="2494"/>
      <c r="S86" s="2494"/>
      <c r="T86" s="2494"/>
      <c r="U86" s="2494"/>
      <c r="V86" s="2494"/>
      <c r="W86" s="2494"/>
      <c r="X86" s="2494"/>
      <c r="Y86" s="2494"/>
      <c r="Z86" s="2494"/>
      <c r="AA86" s="2494"/>
      <c r="AB86" s="2494"/>
      <c r="AC86" s="2494"/>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9"/>
      <c r="R87" s="2488"/>
      <c r="S87" s="2488"/>
      <c r="T87" s="2488"/>
      <c r="U87" s="2488"/>
      <c r="V87" s="2488"/>
      <c r="W87" s="2488"/>
      <c r="X87" s="2488"/>
      <c r="Y87" s="2488"/>
      <c r="Z87" s="2488"/>
      <c r="AA87" s="2488"/>
      <c r="AB87" s="2488"/>
      <c r="AC87" s="2488"/>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9"/>
      <c r="R88" s="2488"/>
      <c r="S88" s="2488"/>
      <c r="T88" s="2488"/>
      <c r="U88" s="2488"/>
      <c r="V88" s="2488"/>
      <c r="W88" s="2488"/>
      <c r="X88" s="2488"/>
      <c r="Y88" s="2488"/>
      <c r="Z88" s="2488"/>
      <c r="AA88" s="2488"/>
      <c r="AB88" s="2488"/>
      <c r="AC88" s="2488"/>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9"/>
      <c r="R89" s="2488"/>
      <c r="S89" s="2488"/>
      <c r="T89" s="2488"/>
      <c r="U89" s="2488"/>
      <c r="V89" s="2488"/>
      <c r="W89" s="2488"/>
      <c r="X89" s="2488"/>
      <c r="Y89" s="2488"/>
      <c r="Z89" s="2488"/>
      <c r="AA89" s="2488"/>
      <c r="AB89" s="2488"/>
      <c r="AC89" s="2488"/>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9"/>
      <c r="R90" s="2488"/>
      <c r="S90" s="2488"/>
      <c r="T90" s="2488"/>
      <c r="U90" s="2488"/>
      <c r="V90" s="2488"/>
      <c r="W90" s="2488"/>
      <c r="X90" s="2488"/>
      <c r="Y90" s="2488"/>
      <c r="Z90" s="2488"/>
      <c r="AA90" s="2488"/>
      <c r="AB90" s="2488"/>
      <c r="AC90" s="2488"/>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9"/>
      <c r="R91" s="2488"/>
      <c r="S91" s="2488"/>
      <c r="T91" s="2488"/>
      <c r="U91" s="2488"/>
      <c r="V91" s="2488"/>
      <c r="W91" s="2488"/>
      <c r="X91" s="2488"/>
      <c r="Y91" s="2488"/>
      <c r="Z91" s="2488"/>
      <c r="AA91" s="2488"/>
      <c r="AB91" s="2488"/>
      <c r="AC91" s="2488"/>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9"/>
      <c r="R92" s="2488"/>
      <c r="S92" s="2488"/>
      <c r="T92" s="2488"/>
      <c r="U92" s="2488"/>
      <c r="V92" s="2488"/>
      <c r="W92" s="2488"/>
      <c r="X92" s="2488"/>
      <c r="Y92" s="2488"/>
      <c r="Z92" s="2488"/>
      <c r="AA92" s="2488"/>
      <c r="AB92" s="2488"/>
      <c r="AC92" s="2488"/>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9"/>
      <c r="R93" s="2488"/>
      <c r="S93" s="2488"/>
      <c r="T93" s="2488"/>
      <c r="U93" s="2488"/>
      <c r="V93" s="2488"/>
      <c r="W93" s="2488"/>
      <c r="X93" s="2488"/>
      <c r="Y93" s="2488"/>
      <c r="Z93" s="2488"/>
      <c r="AA93" s="2488"/>
      <c r="AB93" s="2488"/>
      <c r="AC93" s="2488"/>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9"/>
      <c r="R94" s="2488"/>
      <c r="S94" s="2488"/>
      <c r="T94" s="2488"/>
      <c r="U94" s="2488"/>
      <c r="V94" s="2488"/>
      <c r="W94" s="2488"/>
      <c r="X94" s="2488"/>
      <c r="Y94" s="2488"/>
      <c r="Z94" s="2488"/>
      <c r="AA94" s="2488"/>
      <c r="AB94" s="2488"/>
      <c r="AC94" s="2488"/>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9"/>
      <c r="R95" s="2440"/>
      <c r="S95" s="2440"/>
      <c r="T95" s="2440"/>
      <c r="U95" s="2440"/>
      <c r="V95" s="2440"/>
      <c r="W95" s="2440"/>
      <c r="X95" s="2440"/>
      <c r="Y95" s="2440"/>
      <c r="Z95" s="2440"/>
      <c r="AA95" s="2440"/>
      <c r="AB95" s="2440"/>
      <c r="AC95" s="2440"/>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9"/>
      <c r="R96" s="2440"/>
      <c r="S96" s="2440"/>
      <c r="T96" s="2440"/>
      <c r="U96" s="2440"/>
      <c r="V96" s="2440"/>
      <c r="W96" s="2440"/>
      <c r="X96" s="2440"/>
      <c r="Y96" s="2440"/>
      <c r="Z96" s="2440"/>
      <c r="AA96" s="2440"/>
      <c r="AB96" s="2440"/>
      <c r="AC96" s="2440"/>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9"/>
      <c r="R97" s="2440"/>
      <c r="S97" s="2440"/>
      <c r="T97" s="2440"/>
      <c r="U97" s="2440"/>
      <c r="V97" s="2440"/>
      <c r="W97" s="2440"/>
      <c r="X97" s="2440"/>
      <c r="Y97" s="2440"/>
      <c r="Z97" s="2440"/>
      <c r="AA97" s="2440"/>
      <c r="AB97" s="2440"/>
      <c r="AC97" s="2440"/>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9"/>
      <c r="R98" s="2440"/>
      <c r="S98" s="2440"/>
      <c r="T98" s="2440"/>
      <c r="U98" s="2440"/>
      <c r="V98" s="2440"/>
      <c r="W98" s="2440"/>
      <c r="X98" s="2440"/>
      <c r="Y98" s="2440"/>
      <c r="Z98" s="2440"/>
      <c r="AA98" s="2440"/>
      <c r="AB98" s="2440"/>
      <c r="AC98" s="2440"/>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4"/>
      <c r="S99" s="2494"/>
      <c r="T99" s="2494"/>
      <c r="U99" s="2494"/>
      <c r="V99" s="2494"/>
      <c r="W99" s="2494"/>
      <c r="X99" s="2494"/>
      <c r="Y99" s="2494"/>
      <c r="Z99" s="2494"/>
      <c r="AA99" s="2494"/>
      <c r="AB99" s="2494"/>
      <c r="AC99" s="2494"/>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4"/>
      <c r="S100" s="2494"/>
      <c r="T100" s="2494"/>
      <c r="U100" s="2494"/>
      <c r="V100" s="2494"/>
      <c r="W100" s="2494"/>
      <c r="X100" s="2494"/>
      <c r="Y100" s="2494"/>
      <c r="Z100" s="2494"/>
      <c r="AA100" s="2494"/>
      <c r="AB100" s="2494"/>
      <c r="AC100" s="2494"/>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4"/>
      <c r="S101" s="2494"/>
      <c r="T101" s="2494"/>
      <c r="U101" s="2494"/>
      <c r="V101" s="2494"/>
      <c r="W101" s="2494"/>
      <c r="X101" s="2494"/>
      <c r="Y101" s="2494"/>
      <c r="Z101" s="2494"/>
      <c r="AA101" s="2494"/>
      <c r="AB101" s="2494"/>
      <c r="AC101" s="2494"/>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4"/>
      <c r="S102" s="2494"/>
      <c r="T102" s="2494"/>
      <c r="U102" s="2494"/>
      <c r="V102" s="2494"/>
      <c r="W102" s="2494"/>
      <c r="X102" s="2494"/>
      <c r="Y102" s="2494"/>
      <c r="Z102" s="2494"/>
      <c r="AA102" s="2494"/>
      <c r="AB102" s="2494"/>
      <c r="AC102" s="2494"/>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9"/>
      <c r="R103" s="2488"/>
      <c r="S103" s="2488"/>
      <c r="T103" s="2488"/>
      <c r="U103" s="2488"/>
      <c r="V103" s="2488"/>
      <c r="W103" s="2488"/>
      <c r="X103" s="2488"/>
      <c r="Y103" s="2488"/>
      <c r="Z103" s="2488"/>
      <c r="AA103" s="2488"/>
      <c r="AB103" s="2488"/>
      <c r="AC103" s="2488"/>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9"/>
      <c r="R104" s="2488"/>
      <c r="S104" s="2488"/>
      <c r="T104" s="2488"/>
      <c r="U104" s="2488"/>
      <c r="V104" s="2488"/>
      <c r="W104" s="2488"/>
      <c r="X104" s="2488"/>
      <c r="Y104" s="2488"/>
      <c r="Z104" s="2488"/>
      <c r="AA104" s="2488"/>
      <c r="AB104" s="2488"/>
      <c r="AC104" s="2488"/>
    </row>
    <row r="105" spans="1:29" ht="27.75" thickTop="1">
      <c r="A105" s="367"/>
      <c r="B105" s="469" t="s">
        <v>1815</v>
      </c>
      <c r="C105" s="485"/>
      <c r="D105" s="485"/>
      <c r="E105" s="485"/>
      <c r="F105" s="485"/>
      <c r="G105" s="485"/>
      <c r="H105" s="513"/>
      <c r="I105" s="513"/>
      <c r="J105" s="513"/>
      <c r="K105" s="514"/>
      <c r="L105" s="515"/>
      <c r="M105" s="516"/>
      <c r="N105" s="2521"/>
      <c r="O105" s="2521"/>
      <c r="P105" s="2520"/>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9"/>
      <c r="R106" s="2488"/>
      <c r="S106" s="2488"/>
      <c r="T106" s="2488"/>
      <c r="U106" s="2488"/>
      <c r="V106" s="2488"/>
      <c r="W106" s="2488"/>
      <c r="X106" s="2488"/>
      <c r="Y106" s="2488"/>
      <c r="Z106" s="2488"/>
      <c r="AA106" s="2488"/>
      <c r="AB106" s="2488"/>
      <c r="AC106" s="2488"/>
    </row>
    <row r="107" spans="1:29" ht="15.75" thickTop="1">
      <c r="A107" s="367"/>
      <c r="B107" s="469" t="s">
        <v>1873</v>
      </c>
      <c r="C107" s="513"/>
      <c r="D107" s="513"/>
      <c r="E107" s="513"/>
      <c r="F107" s="513"/>
      <c r="G107" s="513"/>
      <c r="H107" s="513"/>
      <c r="I107" s="513"/>
      <c r="J107" s="513"/>
      <c r="K107" s="514"/>
      <c r="L107" s="515"/>
      <c r="M107" s="516"/>
      <c r="N107" s="2521"/>
      <c r="O107" s="2521"/>
      <c r="P107" s="2520"/>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9"/>
      <c r="R108" s="2488"/>
      <c r="S108" s="2488"/>
      <c r="T108" s="2488"/>
      <c r="U108" s="2488"/>
      <c r="V108" s="2488"/>
      <c r="W108" s="2488"/>
      <c r="X108" s="2488"/>
      <c r="Y108" s="2488"/>
      <c r="Z108" s="2488"/>
      <c r="AA108" s="2488"/>
      <c r="AB108" s="2488"/>
      <c r="AC108" s="2488"/>
    </row>
    <row r="109" spans="1:29" ht="15.75" thickTop="1">
      <c r="A109" s="367"/>
      <c r="B109" s="477">
        <f>B35</f>
        <v>111</v>
      </c>
      <c r="C109" s="485"/>
      <c r="D109" s="485"/>
      <c r="E109" s="485"/>
      <c r="F109" s="485"/>
      <c r="G109" s="517"/>
      <c r="H109" s="517"/>
      <c r="I109" s="517"/>
      <c r="J109" s="517"/>
      <c r="K109" s="518"/>
      <c r="L109" s="519"/>
      <c r="M109" s="520"/>
      <c r="N109" s="2521"/>
      <c r="O109" s="2521"/>
      <c r="P109" s="2520"/>
      <c r="Q109" s="2509"/>
      <c r="R109" s="2488"/>
      <c r="S109" s="2488"/>
      <c r="T109" s="2488"/>
      <c r="U109" s="2488"/>
      <c r="V109" s="2488"/>
      <c r="W109" s="2488"/>
      <c r="X109" s="2488"/>
      <c r="Y109" s="2488"/>
      <c r="Z109" s="2488"/>
      <c r="AA109" s="2488"/>
      <c r="AB109" s="2488"/>
      <c r="AC109" s="2488"/>
    </row>
    <row r="110" spans="1:29" ht="15.75" thickBot="1">
      <c r="A110" s="367"/>
      <c r="B110" s="500"/>
      <c r="C110" s="491"/>
      <c r="D110" s="491"/>
      <c r="E110" s="491"/>
      <c r="F110" s="491"/>
      <c r="G110" s="521"/>
      <c r="H110" s="521"/>
      <c r="I110" s="521"/>
      <c r="J110" s="521"/>
      <c r="K110" s="521"/>
      <c r="L110" s="521"/>
      <c r="M110" s="522"/>
      <c r="N110" s="2522"/>
      <c r="O110" s="2522"/>
      <c r="P110" s="2520"/>
      <c r="Q110" s="2509"/>
      <c r="R110" s="2488"/>
      <c r="S110" s="2488"/>
      <c r="T110" s="2488"/>
      <c r="U110" s="2488"/>
      <c r="V110" s="2488"/>
      <c r="W110" s="2488"/>
      <c r="X110" s="2488"/>
      <c r="Y110" s="2488"/>
      <c r="Z110" s="2488"/>
      <c r="AA110" s="2488"/>
      <c r="AB110" s="2488"/>
      <c r="AC110" s="2488"/>
    </row>
    <row r="111" spans="1:29" ht="15" thickTop="1">
      <c r="A111" s="595"/>
      <c r="B111" s="469">
        <f>B36</f>
        <v>111</v>
      </c>
      <c r="C111" s="31"/>
      <c r="D111" s="31"/>
      <c r="E111" s="31"/>
      <c r="F111" s="31"/>
      <c r="G111" s="513"/>
      <c r="H111" s="513"/>
      <c r="I111" s="513"/>
      <c r="J111" s="513"/>
      <c r="K111" s="514"/>
      <c r="L111" s="515"/>
      <c r="M111" s="516"/>
      <c r="N111" s="2521"/>
      <c r="O111" s="2521"/>
      <c r="P111" s="2520"/>
      <c r="Q111" s="2509"/>
      <c r="R111" s="2488"/>
      <c r="S111" s="2488"/>
      <c r="T111" s="2488"/>
      <c r="U111" s="2488"/>
      <c r="V111" s="2488"/>
      <c r="W111" s="2488"/>
      <c r="X111" s="2488"/>
      <c r="Y111" s="2488"/>
      <c r="Z111" s="2488"/>
      <c r="AA111" s="2488"/>
      <c r="AB111" s="2488"/>
      <c r="AC111" s="2488"/>
    </row>
    <row r="112" spans="1:29" ht="15.75" thickBot="1">
      <c r="A112" s="367"/>
      <c r="B112" s="474"/>
      <c r="C112" s="501"/>
      <c r="D112" s="501"/>
      <c r="E112" s="501"/>
      <c r="F112" s="501"/>
      <c r="G112" s="467"/>
      <c r="H112" s="467"/>
      <c r="I112" s="467"/>
      <c r="J112" s="467"/>
      <c r="K112" s="467"/>
      <c r="L112" s="467"/>
      <c r="M112" s="468"/>
      <c r="N112" s="2522"/>
      <c r="O112" s="2522"/>
      <c r="P112" s="2520"/>
      <c r="Q112" s="2509"/>
      <c r="R112" s="2488"/>
      <c r="S112" s="2488"/>
      <c r="T112" s="2488"/>
      <c r="U112" s="2488"/>
      <c r="V112" s="2488"/>
      <c r="W112" s="2488"/>
      <c r="X112" s="2488"/>
      <c r="Y112" s="2488"/>
      <c r="Z112" s="2488"/>
      <c r="AA112" s="2488"/>
      <c r="AB112" s="2488"/>
      <c r="AC112" s="2488"/>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4"/>
      <c r="S113" s="2494"/>
      <c r="T113" s="2494"/>
      <c r="U113" s="2494"/>
      <c r="V113" s="2494"/>
      <c r="W113" s="2494"/>
      <c r="X113" s="2494"/>
      <c r="Y113" s="2494"/>
      <c r="Z113" s="2494"/>
      <c r="AA113" s="2494"/>
      <c r="AB113" s="2494"/>
      <c r="AC113" s="2494"/>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4"/>
      <c r="S114" s="2494"/>
      <c r="T114" s="2494"/>
      <c r="U114" s="2494"/>
      <c r="V114" s="2494"/>
      <c r="W114" s="2494"/>
      <c r="X114" s="2494"/>
      <c r="Y114" s="2494"/>
      <c r="Z114" s="2494"/>
      <c r="AA114" s="2494"/>
      <c r="AB114" s="2494"/>
      <c r="AC114" s="2494"/>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9"/>
      <c r="R115" s="2488"/>
      <c r="S115" s="2488"/>
      <c r="T115" s="2488"/>
      <c r="U115" s="2488"/>
      <c r="V115" s="2488"/>
      <c r="W115" s="2488"/>
      <c r="X115" s="2488"/>
      <c r="Y115" s="2488"/>
      <c r="Z115" s="2488"/>
      <c r="AA115" s="2488"/>
      <c r="AB115" s="2488"/>
      <c r="AC115" s="2488"/>
    </row>
    <row r="116" spans="1:29" ht="15">
      <c r="A116" s="367"/>
      <c r="B116" s="477"/>
      <c r="C116" s="6"/>
      <c r="D116" s="6"/>
      <c r="E116" s="6"/>
      <c r="F116" s="6"/>
      <c r="G116" s="6"/>
      <c r="H116" s="6"/>
      <c r="I116" s="6"/>
      <c r="J116" s="524"/>
      <c r="K116" s="524"/>
      <c r="L116" s="525"/>
      <c r="M116" s="526"/>
      <c r="N116" s="2521"/>
      <c r="O116" s="2521"/>
      <c r="P116" s="2520"/>
      <c r="Q116" s="2509"/>
      <c r="R116" s="2488"/>
      <c r="S116" s="2488"/>
      <c r="T116" s="2488"/>
      <c r="U116" s="2488"/>
      <c r="V116" s="2488"/>
      <c r="W116" s="2488"/>
      <c r="X116" s="2488"/>
      <c r="Y116" s="2488"/>
      <c r="Z116" s="2488"/>
      <c r="AA116" s="2488"/>
      <c r="AB116" s="2488"/>
      <c r="AC116" s="2488"/>
    </row>
    <row r="117" spans="1:29" ht="15.75" thickBot="1">
      <c r="A117" s="367"/>
      <c r="B117" s="474"/>
      <c r="C117" s="501"/>
      <c r="D117" s="521"/>
      <c r="E117" s="521"/>
      <c r="F117" s="521"/>
      <c r="G117" s="521"/>
      <c r="H117" s="521"/>
      <c r="I117" s="521"/>
      <c r="J117" s="521"/>
      <c r="K117" s="521"/>
      <c r="L117" s="521"/>
      <c r="M117" s="522"/>
      <c r="N117" s="2522"/>
      <c r="O117" s="2522"/>
      <c r="P117" s="2520"/>
      <c r="Q117" s="2509"/>
      <c r="R117" s="2488"/>
      <c r="S117" s="2488"/>
      <c r="T117" s="2488"/>
      <c r="U117" s="2488"/>
      <c r="V117" s="2488"/>
      <c r="W117" s="2488"/>
      <c r="X117" s="2488"/>
      <c r="Y117" s="2488"/>
      <c r="Z117" s="2488"/>
      <c r="AA117" s="2488"/>
      <c r="AB117" s="2488"/>
      <c r="AC117" s="2488"/>
    </row>
    <row r="118" spans="1:29" ht="15" thickTop="1">
      <c r="A118" s="409"/>
      <c r="B118" s="469" t="s">
        <v>1914</v>
      </c>
      <c r="C118" s="513"/>
      <c r="D118" s="513"/>
      <c r="E118" s="513"/>
      <c r="F118" s="513"/>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9"/>
      <c r="R119" s="2488"/>
      <c r="S119" s="2488"/>
      <c r="T119" s="2488"/>
      <c r="U119" s="2488"/>
      <c r="V119" s="2488"/>
      <c r="W119" s="2488"/>
      <c r="X119" s="2488"/>
      <c r="Y119" s="2488"/>
      <c r="Z119" s="2488"/>
      <c r="AA119" s="2488"/>
      <c r="AB119" s="2488"/>
      <c r="AC119" s="2488"/>
    </row>
    <row r="120" spans="1:29" ht="15" thickTop="1">
      <c r="A120" s="409"/>
      <c r="B120" s="469" t="s">
        <v>1915</v>
      </c>
      <c r="C120" s="485"/>
      <c r="D120" s="485"/>
      <c r="E120" s="485"/>
      <c r="F120" s="513"/>
      <c r="G120" s="513"/>
      <c r="H120" s="513"/>
      <c r="I120" s="513"/>
      <c r="J120" s="513"/>
      <c r="K120" s="514"/>
      <c r="L120" s="515"/>
      <c r="M120" s="516"/>
      <c r="N120" s="2521"/>
      <c r="O120" s="2521"/>
      <c r="P120" s="2520"/>
      <c r="Q120" s="2509"/>
      <c r="R120" s="2488"/>
      <c r="S120" s="2488"/>
      <c r="T120" s="2488"/>
      <c r="U120" s="2488"/>
      <c r="V120" s="2488"/>
      <c r="W120" s="2488"/>
      <c r="X120" s="2488"/>
      <c r="Y120" s="2488"/>
      <c r="Z120" s="2488"/>
      <c r="AA120" s="2488"/>
      <c r="AB120" s="2488"/>
      <c r="AC120" s="2488"/>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9"/>
      <c r="R121" s="2488"/>
      <c r="S121" s="2488"/>
      <c r="T121" s="2488"/>
      <c r="U121" s="2488"/>
      <c r="V121" s="2488"/>
      <c r="W121" s="2488"/>
      <c r="X121" s="2488"/>
      <c r="Y121" s="2488"/>
      <c r="Z121" s="2488"/>
      <c r="AA121" s="2488"/>
      <c r="AB121" s="2488"/>
      <c r="AC121" s="2488"/>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4"/>
      <c r="S122" s="2494"/>
      <c r="T122" s="2494"/>
      <c r="U122" s="2494"/>
      <c r="V122" s="2494"/>
      <c r="W122" s="2494"/>
      <c r="X122" s="2494"/>
      <c r="Y122" s="2494"/>
      <c r="Z122" s="2494"/>
      <c r="AA122" s="2494"/>
      <c r="AB122" s="2494"/>
      <c r="AC122" s="2494"/>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4"/>
      <c r="S123" s="2494"/>
      <c r="T123" s="2494"/>
      <c r="U123" s="2494"/>
      <c r="V123" s="2494"/>
      <c r="W123" s="2494"/>
      <c r="X123" s="2494"/>
      <c r="Y123" s="2494"/>
      <c r="Z123" s="2494"/>
      <c r="AA123" s="2494"/>
      <c r="AB123" s="2494"/>
      <c r="AC123" s="2494"/>
    </row>
    <row r="124" spans="1:29" ht="15" thickTop="1">
      <c r="A124" s="409"/>
      <c r="B124" s="469" t="s">
        <v>1917</v>
      </c>
      <c r="C124" s="485"/>
      <c r="D124" s="485"/>
      <c r="E124" s="513"/>
      <c r="F124" s="513"/>
      <c r="G124" s="513"/>
      <c r="H124" s="513"/>
      <c r="I124" s="513"/>
      <c r="J124" s="513"/>
      <c r="K124" s="514"/>
      <c r="L124" s="515"/>
      <c r="M124" s="516"/>
      <c r="N124" s="2521"/>
      <c r="O124" s="2521"/>
      <c r="P124" s="2520"/>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9"/>
      <c r="R125" s="2488"/>
      <c r="S125" s="2488"/>
      <c r="T125" s="2488"/>
      <c r="U125" s="2488"/>
      <c r="V125" s="2488"/>
      <c r="W125" s="2488"/>
      <c r="X125" s="2488"/>
      <c r="Y125" s="2488"/>
      <c r="Z125" s="2488"/>
      <c r="AA125" s="2488"/>
      <c r="AB125" s="2488"/>
      <c r="AC125" s="2488"/>
    </row>
    <row r="126" spans="1:29" ht="15" thickTop="1">
      <c r="A126" s="409"/>
      <c r="B126" s="469">
        <f>B43</f>
        <v>111</v>
      </c>
      <c r="C126" s="485"/>
      <c r="D126" s="485"/>
      <c r="E126" s="485"/>
      <c r="F126" s="485"/>
      <c r="G126" s="485"/>
      <c r="H126" s="513"/>
      <c r="I126" s="513"/>
      <c r="J126" s="513"/>
      <c r="K126" s="514"/>
      <c r="L126" s="515"/>
      <c r="M126" s="516"/>
      <c r="N126" s="2521"/>
      <c r="O126" s="2521"/>
      <c r="P126" s="2520"/>
      <c r="Q126" s="2509"/>
      <c r="R126" s="2488"/>
      <c r="S126" s="2488"/>
      <c r="T126" s="2488"/>
      <c r="U126" s="2488"/>
      <c r="V126" s="2488"/>
      <c r="W126" s="2488"/>
      <c r="X126" s="2488"/>
      <c r="Y126" s="2488"/>
      <c r="Z126" s="2488"/>
      <c r="AA126" s="2488"/>
      <c r="AB126" s="2488"/>
      <c r="AC126" s="2488"/>
    </row>
    <row r="127" spans="1:29" ht="15.75" thickBot="1">
      <c r="A127" s="367"/>
      <c r="B127" s="474"/>
      <c r="C127" s="491"/>
      <c r="D127" s="491"/>
      <c r="E127" s="491"/>
      <c r="F127" s="491"/>
      <c r="G127" s="467"/>
      <c r="H127" s="467"/>
      <c r="I127" s="467"/>
      <c r="J127" s="467"/>
      <c r="K127" s="467"/>
      <c r="L127" s="467"/>
      <c r="M127" s="468"/>
      <c r="N127" s="2522"/>
      <c r="O127" s="2522"/>
      <c r="P127" s="2520"/>
      <c r="Q127" s="2509"/>
      <c r="R127" s="2488"/>
      <c r="S127" s="2488"/>
      <c r="T127" s="2488"/>
      <c r="U127" s="2488"/>
      <c r="V127" s="2488"/>
      <c r="W127" s="2488"/>
      <c r="X127" s="2488"/>
      <c r="Y127" s="2488"/>
      <c r="Z127" s="2488"/>
      <c r="AA127" s="2488"/>
      <c r="AB127" s="2488"/>
      <c r="AC127" s="2488"/>
    </row>
    <row r="128" spans="1:29" ht="15" thickTop="1">
      <c r="A128" s="409"/>
      <c r="B128" s="469">
        <f>B44</f>
        <v>111</v>
      </c>
      <c r="C128" s="31"/>
      <c r="D128" s="31"/>
      <c r="E128" s="31"/>
      <c r="F128" s="31"/>
      <c r="G128" s="513"/>
      <c r="H128" s="513"/>
      <c r="I128" s="513"/>
      <c r="J128" s="513"/>
      <c r="K128" s="514"/>
      <c r="L128" s="515"/>
      <c r="M128" s="516"/>
      <c r="N128" s="2521"/>
      <c r="O128" s="2521"/>
      <c r="P128" s="2520"/>
      <c r="Q128" s="2509"/>
      <c r="R128" s="2488"/>
      <c r="S128" s="2488"/>
      <c r="T128" s="2488"/>
      <c r="U128" s="2488"/>
      <c r="V128" s="2488"/>
      <c r="W128" s="2488"/>
      <c r="X128" s="2488"/>
      <c r="Y128" s="2488"/>
      <c r="Z128" s="2488"/>
      <c r="AA128" s="2488"/>
      <c r="AB128" s="2488"/>
      <c r="AC128" s="2488"/>
    </row>
    <row r="129" spans="1:29" ht="15.75" thickBot="1">
      <c r="A129" s="367"/>
      <c r="B129" s="474"/>
      <c r="C129" s="501"/>
      <c r="D129" s="501"/>
      <c r="E129" s="501"/>
      <c r="F129" s="501"/>
      <c r="G129" s="467"/>
      <c r="H129" s="467"/>
      <c r="I129" s="467"/>
      <c r="J129" s="467"/>
      <c r="K129" s="467"/>
      <c r="L129" s="467"/>
      <c r="M129" s="468"/>
      <c r="N129" s="2522"/>
      <c r="O129" s="2522"/>
      <c r="P129" s="2520"/>
      <c r="Q129" s="2509"/>
      <c r="R129" s="2488"/>
      <c r="S129" s="2488"/>
      <c r="T129" s="2488"/>
      <c r="U129" s="2488"/>
      <c r="V129" s="2488"/>
      <c r="W129" s="2488"/>
      <c r="X129" s="2488"/>
      <c r="Y129" s="2488"/>
      <c r="Z129" s="2488"/>
      <c r="AA129" s="2488"/>
      <c r="AB129" s="2488"/>
      <c r="AC129" s="2488"/>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4"/>
      <c r="S130" s="2494"/>
      <c r="T130" s="2494"/>
      <c r="U130" s="2494"/>
      <c r="V130" s="2494"/>
      <c r="W130" s="2494"/>
      <c r="X130" s="2494"/>
      <c r="Y130" s="2494"/>
      <c r="Z130" s="2494"/>
      <c r="AA130" s="2494"/>
      <c r="AB130" s="2494"/>
      <c r="AC130" s="2494"/>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4"/>
      <c r="S131" s="2494"/>
      <c r="T131" s="2494"/>
      <c r="U131" s="2494"/>
      <c r="V131" s="2494"/>
      <c r="W131" s="2494"/>
      <c r="X131" s="2494"/>
      <c r="Y131" s="2494"/>
      <c r="Z131" s="2494"/>
      <c r="AA131" s="2494"/>
      <c r="AB131" s="2494"/>
      <c r="AC131" s="249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44" priority="13" stopIfTrue="1">
      <formula>$F$51="超过30%"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F7:F45 H7:H45 J7:J45">
    <cfRule type="cellIs" dxfId="41" priority="1" operator="notEqual">
      <formula>100</formula>
    </cfRule>
  </conditionalFormatting>
  <conditionalFormatting sqref="F47">
    <cfRule type="expression" dxfId="40" priority="4">
      <formula>$D$47="简单平均"</formula>
    </cfRule>
  </conditionalFormatting>
  <conditionalFormatting sqref="F51:F53 H51:H53 J51:J53">
    <cfRule type="containsText" dxfId="39" priority="14" stopIfTrue="1" operator="containsText" text="超过">
      <formula>NOT(ISERROR(SEARCH("超过",F51)))</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G53">
    <cfRule type="expression" dxfId="36" priority="12" stopIfTrue="1">
      <formula>$H$53="超过30%"</formula>
    </cfRule>
  </conditionalFormatting>
  <conditionalFormatting sqref="H47">
    <cfRule type="expression" dxfId="35" priority="3">
      <formula>$D$47="简单平均"</formula>
    </cfRule>
  </conditionalFormatting>
  <conditionalFormatting sqref="I51">
    <cfRule type="expression" dxfId="34" priority="7" stopIfTrue="1">
      <formula>$J$51="超过30%"</formula>
    </cfRule>
  </conditionalFormatting>
  <conditionalFormatting sqref="I52">
    <cfRule type="expression" dxfId="33" priority="6" stopIfTrue="1">
      <formula>$J$52="超过20%"</formula>
    </cfRule>
  </conditionalFormatting>
  <conditionalFormatting sqref="I53">
    <cfRule type="expression" dxfId="32" priority="5" stopIfTrue="1">
      <formula>$J$53="超过30%"</formula>
    </cfRule>
  </conditionalFormatting>
  <conditionalFormatting sqref="J47">
    <cfRule type="expression" dxfId="31"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L131"/>
  <sheetViews>
    <sheetView view="pageBreakPreview" zoomScale="90" zoomScaleNormal="70" zoomScaleSheetLayoutView="90" workbookViewId="0">
      <selection activeCell="H48" sqref="H48"/>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3522</v>
      </c>
      <c r="E1" s="3124" t="s">
        <v>3541</v>
      </c>
      <c r="F1" s="1735" t="s">
        <v>3542</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372819</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4"/>
      <c r="M2" s="2505"/>
      <c r="N2" s="2505"/>
      <c r="O2" s="2505"/>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35886</v>
      </c>
      <c r="C3" s="344" t="s">
        <v>1768</v>
      </c>
      <c r="D3" s="343">
        <f>IF(D1="",'数据-汇总表'!E3,SUMIF('数据-汇总表'!$C19:$C33,D1,'数据-汇总表'!$E19:$E33))</f>
        <v>103889.93000000002</v>
      </c>
      <c r="E3" s="1805"/>
      <c r="F3" s="856"/>
      <c r="G3" s="855"/>
      <c r="H3" s="855"/>
      <c r="I3" s="855"/>
      <c r="J3" s="855"/>
      <c r="K3" s="857"/>
      <c r="L3" s="2504"/>
      <c r="M3" s="2505"/>
      <c r="N3" s="2505"/>
      <c r="O3" s="2505"/>
      <c r="P3" s="1804"/>
      <c r="Q3" s="859"/>
      <c r="R3" s="859"/>
      <c r="S3" s="859"/>
      <c r="T3" s="859"/>
      <c r="U3" s="859"/>
      <c r="V3" s="859"/>
      <c r="W3" s="859"/>
      <c r="X3" s="859"/>
      <c r="Y3" s="859"/>
      <c r="Z3" s="859"/>
      <c r="AA3" s="859"/>
      <c r="AB3" s="859"/>
      <c r="AC3" s="1805"/>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463" t="s">
        <v>1775</v>
      </c>
      <c r="Q4" s="3464"/>
      <c r="R4" s="3469" t="s">
        <v>1771</v>
      </c>
      <c r="S4" s="3470"/>
      <c r="T4" s="3469" t="s">
        <v>1772</v>
      </c>
      <c r="U4" s="3470"/>
      <c r="V4" s="3445" t="s">
        <v>1773</v>
      </c>
      <c r="W4" s="3445"/>
      <c r="X4" s="1265"/>
      <c r="Y4" s="3469" t="s">
        <v>1775</v>
      </c>
      <c r="Z4" s="3470"/>
      <c r="AA4" s="3456" t="s">
        <v>1771</v>
      </c>
      <c r="AB4" s="3445" t="s">
        <v>1772</v>
      </c>
      <c r="AC4" s="3456" t="s">
        <v>1773</v>
      </c>
    </row>
    <row r="5" spans="1:29" ht="15.75" thickBot="1">
      <c r="A5" s="348"/>
      <c r="B5" s="349"/>
      <c r="C5" s="3506" t="s">
        <v>3560</v>
      </c>
      <c r="D5" s="3478"/>
      <c r="E5" s="3507" t="s">
        <v>3557</v>
      </c>
      <c r="F5" s="3485"/>
      <c r="G5" s="3506" t="s">
        <v>3558</v>
      </c>
      <c r="H5" s="3478"/>
      <c r="I5" s="3477" t="s">
        <v>3559</v>
      </c>
      <c r="J5" s="3478"/>
      <c r="K5" s="537"/>
      <c r="L5" s="2487"/>
      <c r="M5" s="2488"/>
      <c r="N5" s="2488"/>
      <c r="O5" s="2488"/>
      <c r="P5" s="3465"/>
      <c r="Q5" s="3466"/>
      <c r="R5" s="3471"/>
      <c r="S5" s="3472"/>
      <c r="T5" s="3471"/>
      <c r="U5" s="3472"/>
      <c r="V5" s="3445"/>
      <c r="W5" s="3445"/>
      <c r="X5" s="1265"/>
      <c r="Y5" s="3471"/>
      <c r="Z5" s="3472"/>
      <c r="AA5" s="3457"/>
      <c r="AB5" s="3445"/>
      <c r="AC5" s="3457"/>
    </row>
    <row r="6" spans="1:29" ht="15.75" hidden="1" thickBot="1">
      <c r="A6" s="350"/>
      <c r="B6" s="351"/>
      <c r="C6" s="3475" t="s">
        <v>1677</v>
      </c>
      <c r="D6" s="3476"/>
      <c r="E6" s="3482" t="s">
        <v>1677</v>
      </c>
      <c r="F6" s="3483"/>
      <c r="G6" s="3475" t="s">
        <v>1677</v>
      </c>
      <c r="H6" s="3476"/>
      <c r="I6" s="3475" t="s">
        <v>1677</v>
      </c>
      <c r="J6" s="3476"/>
      <c r="K6" s="537" t="s">
        <v>1678</v>
      </c>
      <c r="L6" s="2487"/>
      <c r="M6" s="2488"/>
      <c r="N6" s="2488"/>
      <c r="O6" s="2488"/>
      <c r="P6" s="3467"/>
      <c r="Q6" s="3468"/>
      <c r="R6" s="3471"/>
      <c r="S6" s="3472"/>
      <c r="T6" s="3473"/>
      <c r="U6" s="3474"/>
      <c r="V6" s="3445"/>
      <c r="W6" s="3445"/>
      <c r="X6" s="1265"/>
      <c r="Y6" s="3473"/>
      <c r="Z6" s="3474"/>
      <c r="AA6" s="3458"/>
      <c r="AB6" s="3445"/>
      <c r="AC6" s="3458"/>
    </row>
    <row r="7" spans="1:29" s="102" customFormat="1" ht="15.75" thickBot="1">
      <c r="A7" s="352" t="s">
        <v>1679</v>
      </c>
      <c r="B7" s="353"/>
      <c r="C7" s="354">
        <f>'数据-取费表'!B2</f>
        <v>45785</v>
      </c>
      <c r="D7" s="355">
        <v>100</v>
      </c>
      <c r="E7" s="356">
        <v>44834</v>
      </c>
      <c r="F7" s="357">
        <f>SUMIF(58:58,YEAR(E7)&amp;"-"&amp;MONTH(E7),59:59)</f>
        <v>100</v>
      </c>
      <c r="G7" s="356">
        <v>45104</v>
      </c>
      <c r="H7" s="355">
        <f>SUMIF(58:58,YEAR(G7)&amp;"-"&amp;MONTH(G7),59:59)</f>
        <v>100</v>
      </c>
      <c r="I7" s="356">
        <v>45107</v>
      </c>
      <c r="J7" s="355">
        <f>SUMIF(58:58,YEAR(I7)&amp;"-"&amp;MONTH(I7),59:59)</f>
        <v>100</v>
      </c>
      <c r="K7" s="38"/>
      <c r="L7" s="2489"/>
      <c r="M7" s="2440"/>
      <c r="N7" s="2440"/>
      <c r="O7" s="2440"/>
      <c r="P7" s="3479" t="s">
        <v>1680</v>
      </c>
      <c r="Q7" s="3481"/>
      <c r="R7" s="664" t="s">
        <v>14</v>
      </c>
      <c r="S7" s="665">
        <f t="shared" ref="S7:S15" si="0">F7</f>
        <v>100</v>
      </c>
      <c r="T7" s="664" t="s">
        <v>14</v>
      </c>
      <c r="U7" s="665">
        <f t="shared" ref="U7:U15" si="1">H7</f>
        <v>100</v>
      </c>
      <c r="V7" s="664" t="s">
        <v>14</v>
      </c>
      <c r="W7" s="665">
        <f t="shared" ref="W7:W15" si="2">J7</f>
        <v>100</v>
      </c>
      <c r="X7" s="666"/>
      <c r="Y7" s="3479" t="s">
        <v>1680</v>
      </c>
      <c r="Z7" s="3480"/>
      <c r="AA7" s="50">
        <f>D7/F7</f>
        <v>1</v>
      </c>
      <c r="AB7" s="50">
        <f>D7/H7</f>
        <v>1</v>
      </c>
      <c r="AC7" s="50">
        <f>D7/J7</f>
        <v>1</v>
      </c>
    </row>
    <row r="8" spans="1:29" s="102" customFormat="1" ht="15.75" thickBot="1">
      <c r="A8" s="352" t="s">
        <v>1681</v>
      </c>
      <c r="B8" s="353"/>
      <c r="C8" s="358" t="s">
        <v>3543</v>
      </c>
      <c r="D8" s="355">
        <v>100</v>
      </c>
      <c r="E8" s="358" t="s">
        <v>3543</v>
      </c>
      <c r="F8" s="357">
        <f>SUMIF(61:61,E8,62:62)-SUMIF(61:61,C8,62:62)+100</f>
        <v>100</v>
      </c>
      <c r="G8" s="358" t="s">
        <v>3543</v>
      </c>
      <c r="H8" s="355">
        <f>SUMIF(61:61,G8,62:62)-SUMIF(61:61,C8,62:62)+100</f>
        <v>100</v>
      </c>
      <c r="I8" s="358" t="s">
        <v>3543</v>
      </c>
      <c r="J8" s="355">
        <f>SUMIF(61:61,I8,62:62)-SUMIF(61:61,C8,62:62)+100</f>
        <v>100</v>
      </c>
      <c r="K8" s="38"/>
      <c r="L8" s="2489"/>
      <c r="M8" s="2440"/>
      <c r="N8" s="2440"/>
      <c r="O8" s="2440"/>
      <c r="P8" s="3479" t="s">
        <v>1683</v>
      </c>
      <c r="Q8" s="3480"/>
      <c r="R8" s="664" t="s">
        <v>14</v>
      </c>
      <c r="S8" s="665">
        <f t="shared" si="0"/>
        <v>100</v>
      </c>
      <c r="T8" s="664" t="s">
        <v>14</v>
      </c>
      <c r="U8" s="665">
        <f t="shared" si="1"/>
        <v>100</v>
      </c>
      <c r="V8" s="664" t="s">
        <v>14</v>
      </c>
      <c r="W8" s="665">
        <f t="shared" si="2"/>
        <v>100</v>
      </c>
      <c r="X8" s="666"/>
      <c r="Y8" s="3479" t="s">
        <v>1683</v>
      </c>
      <c r="Z8" s="3480"/>
      <c r="AA8" s="50">
        <f t="shared" ref="AA8:AA46" si="3">D8/F8</f>
        <v>1</v>
      </c>
      <c r="AB8" s="50">
        <f t="shared" ref="AB8:AB46" si="4">D8/H8</f>
        <v>1</v>
      </c>
      <c r="AC8" s="50">
        <f t="shared" ref="AC8:AC46" si="5">D8/J8</f>
        <v>1</v>
      </c>
    </row>
    <row r="9" spans="1:29" s="102" customFormat="1">
      <c r="A9" s="359" t="s">
        <v>1684</v>
      </c>
      <c r="B9" s="60" t="s">
        <v>1685</v>
      </c>
      <c r="C9" s="3168" t="s">
        <v>3563</v>
      </c>
      <c r="D9" s="59">
        <v>100</v>
      </c>
      <c r="E9" s="361" t="s">
        <v>673</v>
      </c>
      <c r="F9" s="60">
        <f>SUMIF(63:63,E9,64:64)-SUMIF(63:63,C9,64:64)+100</f>
        <v>100</v>
      </c>
      <c r="G9" s="361" t="s">
        <v>3552</v>
      </c>
      <c r="H9" s="59">
        <f>SUMIF(63:63,G9,64:64)-SUMIF(63:63,C9,64:64)+100</f>
        <v>100</v>
      </c>
      <c r="I9" s="361" t="s">
        <v>673</v>
      </c>
      <c r="J9" s="59">
        <f>SUMIF(63:63,I9,64:64)-SUMIF(63:63,C9,64:64)+100</f>
        <v>100</v>
      </c>
      <c r="K9" s="38"/>
      <c r="L9" s="2489"/>
      <c r="M9" s="2440"/>
      <c r="N9" s="2440"/>
      <c r="O9" s="2440"/>
      <c r="P9" s="3455"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75" thickBot="1">
      <c r="A10" s="363"/>
      <c r="B10" s="364" t="s">
        <v>1688</v>
      </c>
      <c r="C10" s="3132" t="s">
        <v>3562</v>
      </c>
      <c r="D10" s="119">
        <v>100</v>
      </c>
      <c r="E10" s="3133" t="s">
        <v>3544</v>
      </c>
      <c r="F10" s="364">
        <f>SUMIF(65:65,E10,66:66)-SUMIF(65:65,C10,66:66)+100</f>
        <v>98</v>
      </c>
      <c r="G10" s="3132" t="s">
        <v>3553</v>
      </c>
      <c r="H10" s="119">
        <f>SUMIF(65:65,G10,66:66)-SUMIF(65:65,C10,66:66)+100</f>
        <v>102</v>
      </c>
      <c r="I10" s="3132" t="s">
        <v>3544</v>
      </c>
      <c r="J10" s="119">
        <f>SUMIF(65:65,I10,66:66)-SUMIF(65:65,C10,66:66)+100</f>
        <v>98</v>
      </c>
      <c r="K10" s="38"/>
      <c r="L10" s="2490"/>
      <c r="M10" s="2491"/>
      <c r="N10" s="2491"/>
      <c r="O10" s="2491"/>
      <c r="P10" s="3455"/>
      <c r="Q10" s="530" t="str">
        <f t="shared" si="6"/>
        <v>土地使用年限（年）</v>
      </c>
      <c r="R10" s="664" t="s">
        <v>14</v>
      </c>
      <c r="S10" s="665">
        <f t="shared" si="0"/>
        <v>98</v>
      </c>
      <c r="T10" s="664" t="s">
        <v>14</v>
      </c>
      <c r="U10" s="665">
        <f t="shared" si="1"/>
        <v>102</v>
      </c>
      <c r="V10" s="664" t="s">
        <v>14</v>
      </c>
      <c r="W10" s="665">
        <f t="shared" si="2"/>
        <v>98</v>
      </c>
      <c r="X10" s="666"/>
      <c r="Y10" s="3300"/>
      <c r="Z10" s="50" t="str">
        <f t="shared" si="7"/>
        <v>土地使用年限（年）</v>
      </c>
      <c r="AA10" s="50">
        <f t="shared" si="3"/>
        <v>1.0204081632653061</v>
      </c>
      <c r="AB10" s="50">
        <f t="shared" si="4"/>
        <v>0.98039215686274506</v>
      </c>
      <c r="AC10" s="50">
        <f t="shared" si="5"/>
        <v>1.0204081632653061</v>
      </c>
    </row>
    <row r="11" spans="1:29" ht="15" hidden="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2"/>
      <c r="M11" s="2488"/>
      <c r="N11" s="2488"/>
      <c r="O11" s="2488"/>
      <c r="P11" s="3455"/>
      <c r="Q11" s="530" t="str">
        <f t="shared" si="6"/>
        <v>容积率</v>
      </c>
      <c r="R11" s="664" t="s">
        <v>14</v>
      </c>
      <c r="S11" s="665">
        <f t="shared" si="0"/>
        <v>100</v>
      </c>
      <c r="T11" s="664" t="s">
        <v>14</v>
      </c>
      <c r="U11" s="665">
        <f t="shared" si="1"/>
        <v>100</v>
      </c>
      <c r="V11" s="664" t="s">
        <v>14</v>
      </c>
      <c r="W11" s="665">
        <f t="shared" si="2"/>
        <v>100</v>
      </c>
      <c r="X11" s="666"/>
      <c r="Y11" s="3300"/>
      <c r="Z11" s="50" t="str">
        <f t="shared" si="7"/>
        <v>容积率</v>
      </c>
      <c r="AA11" s="50">
        <f t="shared" si="3"/>
        <v>1</v>
      </c>
      <c r="AB11" s="50">
        <f t="shared" si="4"/>
        <v>1</v>
      </c>
      <c r="AC11" s="50">
        <f t="shared" si="5"/>
        <v>1</v>
      </c>
    </row>
    <row r="12" spans="1:29" s="102" customFormat="1" ht="15" hidden="1">
      <c r="A12" s="370"/>
      <c r="B12" s="447">
        <v>111</v>
      </c>
      <c r="C12" s="371"/>
      <c r="D12" s="372">
        <v>100</v>
      </c>
      <c r="E12" s="373" t="s">
        <v>3545</v>
      </c>
      <c r="F12" s="364">
        <f>SUMIF(70:70,E12,71:71)-SUMIF(70:70,C12,71:71)+100</f>
        <v>100</v>
      </c>
      <c r="G12" s="373"/>
      <c r="H12" s="119">
        <f>SUMIF(70:70,G12,71:71)-SUMIF(70:70,C12,71:71)+100</f>
        <v>100</v>
      </c>
      <c r="I12" s="373" t="s">
        <v>3545</v>
      </c>
      <c r="J12" s="119">
        <f>SUMIF(70:70,I12,71:71)-SUMIF(70:70,C12,71:71)+100</f>
        <v>100</v>
      </c>
      <c r="K12" s="539"/>
      <c r="L12" s="2489"/>
      <c r="M12" s="2440"/>
      <c r="N12" s="2440"/>
      <c r="O12" s="2440"/>
      <c r="P12" s="3455"/>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hidden="1">
      <c r="A13" s="367"/>
      <c r="B13" s="447">
        <v>111</v>
      </c>
      <c r="C13" s="373"/>
      <c r="D13" s="374">
        <v>100</v>
      </c>
      <c r="E13" s="373" t="s">
        <v>3546</v>
      </c>
      <c r="F13" s="364">
        <f>SUMIF(72:72,E13,73:73)-SUMIF(72:72,C13,73:73)+100</f>
        <v>100</v>
      </c>
      <c r="G13" s="373"/>
      <c r="H13" s="374">
        <f>SUMIF(72:72,G13,73:73)-SUMIF(72:72,C13,73:73)+100</f>
        <v>100</v>
      </c>
      <c r="I13" s="373" t="s">
        <v>3555</v>
      </c>
      <c r="J13" s="374">
        <f>SUMIF(72:72,I13,73:73)-SUMIF(72:72,C13,73:73)+100</f>
        <v>100</v>
      </c>
      <c r="K13" s="539"/>
      <c r="L13" s="2493"/>
      <c r="M13" s="2488"/>
      <c r="N13" s="2488"/>
      <c r="O13" s="2488"/>
      <c r="P13" s="3455"/>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75" hidden="1"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3"/>
      <c r="M14" s="2488"/>
      <c r="N14" s="2488"/>
      <c r="O14" s="2488"/>
      <c r="P14" s="3455"/>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1690</v>
      </c>
      <c r="B15" s="58" t="s">
        <v>1777</v>
      </c>
      <c r="C15" s="1750">
        <f>估价对象房地状况!C4</f>
        <v>0</v>
      </c>
      <c r="D15" s="380">
        <v>100</v>
      </c>
      <c r="E15" s="381"/>
      <c r="F15" s="382">
        <f>SUMIF(76:76,E16,77:77)-SUMIF(76:76,C16,77:77)+100</f>
        <v>103</v>
      </c>
      <c r="G15" s="383"/>
      <c r="H15" s="380">
        <f>SUMIF(76:76,G16,77:77)-SUMIF(76:76,C16,77:77)+100</f>
        <v>100</v>
      </c>
      <c r="I15" s="381"/>
      <c r="J15" s="380">
        <f>SUMIF(76:76,I16,77:77)-SUMIF(76:76,C16,77:77)+100</f>
        <v>100</v>
      </c>
      <c r="K15" s="540">
        <v>3</v>
      </c>
      <c r="L15" s="2493"/>
      <c r="M15" s="2488"/>
      <c r="N15" s="2488"/>
      <c r="O15" s="2488"/>
      <c r="P15" s="3453" t="s">
        <v>1691</v>
      </c>
      <c r="Q15" s="1263" t="str">
        <f t="shared" si="6"/>
        <v>商业繁华度</v>
      </c>
      <c r="R15" s="667" t="s">
        <v>14</v>
      </c>
      <c r="S15" s="668">
        <f t="shared" si="0"/>
        <v>103</v>
      </c>
      <c r="T15" s="667" t="s">
        <v>14</v>
      </c>
      <c r="U15" s="668">
        <f t="shared" si="1"/>
        <v>100</v>
      </c>
      <c r="V15" s="667" t="s">
        <v>14</v>
      </c>
      <c r="W15" s="668">
        <f t="shared" si="2"/>
        <v>100</v>
      </c>
      <c r="X15" s="1265"/>
      <c r="Y15" s="3446" t="s">
        <v>1691</v>
      </c>
      <c r="Z15" s="1264" t="str">
        <f t="shared" si="7"/>
        <v>商业繁华度</v>
      </c>
      <c r="AA15" s="1264">
        <f t="shared" si="3"/>
        <v>0.970873786407767</v>
      </c>
      <c r="AB15" s="1264">
        <f t="shared" si="4"/>
        <v>1</v>
      </c>
      <c r="AC15" s="1264">
        <f t="shared" si="5"/>
        <v>1</v>
      </c>
    </row>
    <row r="16" spans="1:29" ht="15">
      <c r="A16" s="367"/>
      <c r="B16" s="385"/>
      <c r="C16" s="386" t="s">
        <v>3530</v>
      </c>
      <c r="D16" s="387"/>
      <c r="E16" s="386" t="s">
        <v>3529</v>
      </c>
      <c r="F16" s="388"/>
      <c r="G16" s="386" t="s">
        <v>3530</v>
      </c>
      <c r="H16" s="389"/>
      <c r="I16" s="386" t="s">
        <v>3530</v>
      </c>
      <c r="J16" s="387"/>
      <c r="K16" s="541"/>
      <c r="L16" s="2493"/>
      <c r="M16" s="2488"/>
      <c r="N16" s="2488"/>
      <c r="O16" s="2488"/>
      <c r="P16" s="3454"/>
      <c r="Q16" s="1263"/>
      <c r="R16" s="667"/>
      <c r="S16" s="668"/>
      <c r="T16" s="667"/>
      <c r="U16" s="668"/>
      <c r="V16" s="667"/>
      <c r="W16" s="668"/>
      <c r="X16" s="1265"/>
      <c r="Y16" s="3447"/>
      <c r="Z16" s="1264"/>
      <c r="AA16" s="1264">
        <v>1</v>
      </c>
      <c r="AB16" s="1264">
        <v>1</v>
      </c>
      <c r="AC16" s="1264">
        <v>1</v>
      </c>
    </row>
    <row r="17" spans="1:29" ht="15">
      <c r="A17" s="367"/>
      <c r="B17" s="390" t="s">
        <v>1259</v>
      </c>
      <c r="C17" s="1754">
        <f>估价对象房地状况!C6</f>
        <v>0</v>
      </c>
      <c r="D17" s="389">
        <v>100</v>
      </c>
      <c r="E17" s="391"/>
      <c r="F17" s="392">
        <f>SUMIF(78:78,E18,79:79)-SUMIF(78:78,C18,79:79)+100</f>
        <v>100</v>
      </c>
      <c r="G17" s="393"/>
      <c r="H17" s="394">
        <f>SUMIF(78:78,G18,79:79)-SUMIF(78:78,C18,79:79)+100</f>
        <v>100</v>
      </c>
      <c r="I17" s="391"/>
      <c r="J17" s="394">
        <f>SUMIF(78:78,I18,79:79)-SUMIF(78:78,C18,79:79)+100</f>
        <v>100</v>
      </c>
      <c r="K17" s="540">
        <v>3</v>
      </c>
      <c r="L17" s="2493"/>
      <c r="M17" s="2488"/>
      <c r="N17" s="2488"/>
      <c r="O17" s="2488"/>
      <c r="P17" s="3454"/>
      <c r="Q17" s="1263" t="str">
        <f>B17</f>
        <v>交通便捷度</v>
      </c>
      <c r="R17" s="667" t="s">
        <v>14</v>
      </c>
      <c r="S17" s="668">
        <f>F17</f>
        <v>100</v>
      </c>
      <c r="T17" s="667" t="s">
        <v>14</v>
      </c>
      <c r="U17" s="668">
        <f>H17</f>
        <v>100</v>
      </c>
      <c r="V17" s="667" t="s">
        <v>14</v>
      </c>
      <c r="W17" s="668">
        <f>J17</f>
        <v>100</v>
      </c>
      <c r="X17" s="1265"/>
      <c r="Y17" s="3447"/>
      <c r="Z17" s="1264" t="str">
        <f>Q17</f>
        <v>交通便捷度</v>
      </c>
      <c r="AA17" s="1264">
        <f t="shared" si="3"/>
        <v>1</v>
      </c>
      <c r="AB17" s="1264">
        <f t="shared" si="4"/>
        <v>1</v>
      </c>
      <c r="AC17" s="1264">
        <f t="shared" si="5"/>
        <v>1</v>
      </c>
    </row>
    <row r="18" spans="1:29" ht="15">
      <c r="A18" s="367"/>
      <c r="B18" s="395"/>
      <c r="C18" s="1755" t="s">
        <v>3529</v>
      </c>
      <c r="D18" s="389"/>
      <c r="E18" s="1757" t="s">
        <v>3529</v>
      </c>
      <c r="F18" s="392"/>
      <c r="G18" s="1756" t="s">
        <v>3529</v>
      </c>
      <c r="H18" s="387"/>
      <c r="I18" s="1757" t="s">
        <v>3529</v>
      </c>
      <c r="J18" s="387"/>
      <c r="K18" s="541"/>
      <c r="L18" s="2493"/>
      <c r="M18" s="2488"/>
      <c r="N18" s="2488"/>
      <c r="O18" s="2488"/>
      <c r="P18" s="3454"/>
      <c r="Q18" s="1263"/>
      <c r="R18" s="667"/>
      <c r="S18" s="668"/>
      <c r="T18" s="667"/>
      <c r="U18" s="668"/>
      <c r="V18" s="667"/>
      <c r="W18" s="668"/>
      <c r="X18" s="1265"/>
      <c r="Y18" s="3447"/>
      <c r="Z18" s="1264"/>
      <c r="AA18" s="1264">
        <v>1</v>
      </c>
      <c r="AB18" s="1264">
        <v>1</v>
      </c>
      <c r="AC18" s="1264">
        <v>1</v>
      </c>
    </row>
    <row r="19" spans="1:29" ht="15">
      <c r="A19" s="367"/>
      <c r="B19" s="390" t="s">
        <v>1778</v>
      </c>
      <c r="C19" s="1754">
        <f>估价对象房地状况!C7</f>
        <v>0</v>
      </c>
      <c r="D19" s="394">
        <v>100</v>
      </c>
      <c r="E19" s="396"/>
      <c r="F19" s="397">
        <f>SUMIF(80:80,E20,81:81)-SUMIF(80:80,C20,81:81)+100</f>
        <v>103</v>
      </c>
      <c r="G19" s="398"/>
      <c r="H19" s="389">
        <f>SUMIF(80:80,G20,81:81)-SUMIF(80:80,C20,81:81)+100</f>
        <v>100</v>
      </c>
      <c r="I19" s="396"/>
      <c r="J19" s="389">
        <f>SUMIF(80:80,I20,81:81)-SUMIF(80:80,C20,81:81)+100</f>
        <v>103</v>
      </c>
      <c r="K19" s="540">
        <v>3</v>
      </c>
      <c r="L19" s="2493"/>
      <c r="M19" s="2488"/>
      <c r="N19" s="2488"/>
      <c r="O19" s="2488"/>
      <c r="P19" s="3454"/>
      <c r="Q19" s="1263" t="str">
        <f>B19</f>
        <v>公共配套设施</v>
      </c>
      <c r="R19" s="667" t="s">
        <v>14</v>
      </c>
      <c r="S19" s="668">
        <f>F19</f>
        <v>103</v>
      </c>
      <c r="T19" s="667" t="s">
        <v>14</v>
      </c>
      <c r="U19" s="668">
        <f>H19</f>
        <v>100</v>
      </c>
      <c r="V19" s="667" t="s">
        <v>14</v>
      </c>
      <c r="W19" s="668">
        <f>J19</f>
        <v>103</v>
      </c>
      <c r="X19" s="1265"/>
      <c r="Y19" s="3447"/>
      <c r="Z19" s="1264" t="str">
        <f>Q19</f>
        <v>公共配套设施</v>
      </c>
      <c r="AA19" s="1264">
        <f t="shared" si="3"/>
        <v>0.970873786407767</v>
      </c>
      <c r="AB19" s="1264">
        <f t="shared" si="4"/>
        <v>1</v>
      </c>
      <c r="AC19" s="1264">
        <f t="shared" si="5"/>
        <v>0.970873786407767</v>
      </c>
    </row>
    <row r="20" spans="1:29" ht="15">
      <c r="A20" s="367"/>
      <c r="B20" s="395"/>
      <c r="C20" s="386" t="s">
        <v>3530</v>
      </c>
      <c r="D20" s="387"/>
      <c r="E20" s="1752" t="s">
        <v>3529</v>
      </c>
      <c r="F20" s="388"/>
      <c r="G20" s="1751" t="s">
        <v>3530</v>
      </c>
      <c r="H20" s="387"/>
      <c r="I20" s="1752" t="s">
        <v>3529</v>
      </c>
      <c r="J20" s="387"/>
      <c r="K20" s="541"/>
      <c r="L20" s="2493"/>
      <c r="M20" s="2488"/>
      <c r="N20" s="2488"/>
      <c r="O20" s="2488"/>
      <c r="P20" s="3454"/>
      <c r="Q20" s="1263"/>
      <c r="R20" s="667"/>
      <c r="S20" s="668"/>
      <c r="T20" s="667"/>
      <c r="U20" s="668"/>
      <c r="V20" s="667"/>
      <c r="W20" s="668"/>
      <c r="X20" s="1265"/>
      <c r="Y20" s="3447"/>
      <c r="Z20" s="1264"/>
      <c r="AA20" s="1264">
        <v>1</v>
      </c>
      <c r="AB20" s="1264">
        <v>1</v>
      </c>
      <c r="AC20" s="1264">
        <v>1</v>
      </c>
    </row>
    <row r="21" spans="1:29" ht="15">
      <c r="A21" s="367"/>
      <c r="B21" s="586" t="s">
        <v>1779</v>
      </c>
      <c r="C21" s="1754">
        <f>估价对象房地状况!C8</f>
        <v>0</v>
      </c>
      <c r="D21" s="394">
        <v>100</v>
      </c>
      <c r="E21" s="396"/>
      <c r="F21" s="397">
        <f>SUMIF(82:82,E22,83:83)-SUMIF(82:82,C22,83:83)+100</f>
        <v>100</v>
      </c>
      <c r="G21" s="398"/>
      <c r="H21" s="389">
        <f>SUMIF(82:82,G22,83:83)-SUMIF(82:82,C22,83:83)+100</f>
        <v>100</v>
      </c>
      <c r="I21" s="396"/>
      <c r="J21" s="389">
        <f>SUMIF(82:82,I22,83:83)-SUMIF(82:82,C22,83:83)+100</f>
        <v>100</v>
      </c>
      <c r="K21" s="540">
        <v>2</v>
      </c>
      <c r="L21" s="2493"/>
      <c r="M21" s="2488"/>
      <c r="N21" s="2488"/>
      <c r="O21" s="2488"/>
      <c r="P21" s="3454"/>
      <c r="Q21" s="1263" t="str">
        <f>B21</f>
        <v>基础设施水平</v>
      </c>
      <c r="R21" s="667" t="s">
        <v>14</v>
      </c>
      <c r="S21" s="668">
        <f>F21</f>
        <v>100</v>
      </c>
      <c r="T21" s="667" t="s">
        <v>14</v>
      </c>
      <c r="U21" s="668">
        <f>H21</f>
        <v>100</v>
      </c>
      <c r="V21" s="667" t="s">
        <v>14</v>
      </c>
      <c r="W21" s="668">
        <f>J21</f>
        <v>100</v>
      </c>
      <c r="X21" s="1265"/>
      <c r="Y21" s="3447"/>
      <c r="Z21" s="1264" t="str">
        <f>Q21</f>
        <v>基础设施水平</v>
      </c>
      <c r="AA21" s="1264">
        <f t="shared" ref="AA21" si="8">D21/F21</f>
        <v>1</v>
      </c>
      <c r="AB21" s="1264">
        <f t="shared" ref="AB21" si="9">D21/H21</f>
        <v>1</v>
      </c>
      <c r="AC21" s="1264">
        <f t="shared" ref="AC21" si="10">D21/J21</f>
        <v>1</v>
      </c>
    </row>
    <row r="22" spans="1:29" ht="15">
      <c r="A22" s="367"/>
      <c r="B22" s="586"/>
      <c r="C22" s="1755" t="s">
        <v>3547</v>
      </c>
      <c r="D22" s="387"/>
      <c r="E22" s="386" t="s">
        <v>3547</v>
      </c>
      <c r="F22" s="388"/>
      <c r="G22" s="386" t="s">
        <v>3547</v>
      </c>
      <c r="H22" s="387"/>
      <c r="I22" s="386" t="s">
        <v>3547</v>
      </c>
      <c r="J22" s="387"/>
      <c r="K22" s="1064"/>
      <c r="L22" s="2493"/>
      <c r="M22" s="2488"/>
      <c r="N22" s="2488"/>
      <c r="O22" s="2488"/>
      <c r="P22" s="3454"/>
      <c r="Q22" s="1263"/>
      <c r="R22" s="667"/>
      <c r="S22" s="668"/>
      <c r="T22" s="667"/>
      <c r="U22" s="668"/>
      <c r="V22" s="667"/>
      <c r="W22" s="668"/>
      <c r="X22" s="1265"/>
      <c r="Y22" s="3447"/>
      <c r="Z22" s="1264"/>
      <c r="AA22" s="1264">
        <v>1</v>
      </c>
      <c r="AB22" s="1264">
        <v>1</v>
      </c>
      <c r="AC22" s="1264">
        <v>1</v>
      </c>
    </row>
    <row r="23" spans="1:29" ht="15">
      <c r="A23" s="367"/>
      <c r="B23" s="390" t="s">
        <v>1261</v>
      </c>
      <c r="C23" s="1806">
        <f>估价对象房地状况!C9</f>
        <v>0</v>
      </c>
      <c r="D23" s="389">
        <v>100</v>
      </c>
      <c r="E23" s="391"/>
      <c r="F23" s="392">
        <f>SUMIF(84:84,E24,85:85)-SUMIF(84:84,C24,85:85)+100</f>
        <v>100</v>
      </c>
      <c r="G23" s="393"/>
      <c r="H23" s="389">
        <f>SUMIF(84:84,G24,85:85)-SUMIF(84:84,C24,85:85)+100</f>
        <v>100</v>
      </c>
      <c r="I23" s="391"/>
      <c r="J23" s="389">
        <f>SUMIF(84:84,I24,85:85)-SUMIF(84:84,C24,85:85)+100</f>
        <v>103</v>
      </c>
      <c r="K23" s="540">
        <v>3</v>
      </c>
      <c r="L23" s="2493"/>
      <c r="M23" s="2488"/>
      <c r="N23" s="2488"/>
      <c r="O23" s="2488"/>
      <c r="P23" s="3454"/>
      <c r="Q23" s="1263" t="str">
        <f>B23</f>
        <v>自然及人文环境</v>
      </c>
      <c r="R23" s="667" t="s">
        <v>14</v>
      </c>
      <c r="S23" s="668">
        <f>F23</f>
        <v>100</v>
      </c>
      <c r="T23" s="667" t="s">
        <v>14</v>
      </c>
      <c r="U23" s="668">
        <f>H23</f>
        <v>100</v>
      </c>
      <c r="V23" s="667" t="s">
        <v>14</v>
      </c>
      <c r="W23" s="668">
        <f>J23</f>
        <v>103</v>
      </c>
      <c r="X23" s="1265"/>
      <c r="Y23" s="3447"/>
      <c r="Z23" s="1264" t="str">
        <f>Q23</f>
        <v>自然及人文环境</v>
      </c>
      <c r="AA23" s="1264">
        <f t="shared" si="3"/>
        <v>1</v>
      </c>
      <c r="AB23" s="1264">
        <f t="shared" si="4"/>
        <v>1</v>
      </c>
      <c r="AC23" s="1264">
        <f t="shared" si="5"/>
        <v>0.970873786407767</v>
      </c>
    </row>
    <row r="24" spans="1:29" ht="15">
      <c r="A24" s="367"/>
      <c r="B24" s="395"/>
      <c r="C24" s="386" t="s">
        <v>3530</v>
      </c>
      <c r="D24" s="387"/>
      <c r="E24" s="1752" t="s">
        <v>3530</v>
      </c>
      <c r="F24" s="388"/>
      <c r="G24" s="1751" t="s">
        <v>3530</v>
      </c>
      <c r="H24" s="387"/>
      <c r="I24" s="1752" t="s">
        <v>3529</v>
      </c>
      <c r="J24" s="387"/>
      <c r="K24" s="541"/>
      <c r="L24" s="2493"/>
      <c r="M24" s="2488"/>
      <c r="N24" s="2488"/>
      <c r="O24" s="2488"/>
      <c r="P24" s="3454"/>
      <c r="Q24" s="1263"/>
      <c r="R24" s="667"/>
      <c r="S24" s="668"/>
      <c r="T24" s="667"/>
      <c r="U24" s="668"/>
      <c r="V24" s="667"/>
      <c r="W24" s="668"/>
      <c r="X24" s="1265"/>
      <c r="Y24" s="3447"/>
      <c r="Z24" s="1264"/>
      <c r="AA24" s="1264">
        <v>1</v>
      </c>
      <c r="AB24" s="1264">
        <v>1</v>
      </c>
      <c r="AC24" s="1264">
        <v>1</v>
      </c>
    </row>
    <row r="25" spans="1:29" ht="15" hidden="1">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3"/>
      <c r="M25" s="2488"/>
      <c r="N25" s="2488"/>
      <c r="O25" s="2488"/>
      <c r="P25" s="3454"/>
      <c r="Q25" s="1263" t="str">
        <f t="shared" ref="Q25:Q46" si="11">B25</f>
        <v>临街状况</v>
      </c>
      <c r="R25" s="667" t="s">
        <v>14</v>
      </c>
      <c r="S25" s="668">
        <f>F25</f>
        <v>100</v>
      </c>
      <c r="T25" s="667" t="s">
        <v>14</v>
      </c>
      <c r="U25" s="668">
        <f>H25</f>
        <v>100</v>
      </c>
      <c r="V25" s="667" t="s">
        <v>14</v>
      </c>
      <c r="W25" s="668">
        <f>J25</f>
        <v>100</v>
      </c>
      <c r="X25" s="1265"/>
      <c r="Y25" s="3447"/>
      <c r="Z25" s="1264" t="str">
        <f>Q25</f>
        <v>临街状况</v>
      </c>
      <c r="AA25" s="1264">
        <f t="shared" si="3"/>
        <v>1</v>
      </c>
      <c r="AB25" s="1264">
        <f t="shared" si="4"/>
        <v>1</v>
      </c>
      <c r="AC25" s="1264">
        <f t="shared" si="5"/>
        <v>1</v>
      </c>
    </row>
    <row r="26" spans="1:29" ht="15">
      <c r="A26" s="367"/>
      <c r="B26" s="1066" t="s">
        <v>1781</v>
      </c>
      <c r="C26" s="373" t="s">
        <v>3529</v>
      </c>
      <c r="D26" s="374">
        <v>100</v>
      </c>
      <c r="E26" s="373" t="s">
        <v>3529</v>
      </c>
      <c r="F26" s="400">
        <f>SUMIF(88:88,E26,89:89)-SUMIF(88:88,C26,89:89)+100</f>
        <v>100</v>
      </c>
      <c r="G26" s="373" t="s">
        <v>3529</v>
      </c>
      <c r="H26" s="374">
        <f>SUMIF(88:88,G26,89:89)-SUMIF(88:88,C26,89:89)+100</f>
        <v>100</v>
      </c>
      <c r="I26" s="373" t="s">
        <v>3529</v>
      </c>
      <c r="J26" s="374">
        <f>SUMIF(88:88,I26,89:89)-SUMIF(88:88,C26,89:89)+100</f>
        <v>100</v>
      </c>
      <c r="K26" s="539"/>
      <c r="L26" s="2493"/>
      <c r="M26" s="2488"/>
      <c r="N26" s="2488"/>
      <c r="O26" s="2488"/>
      <c r="P26" s="3454"/>
      <c r="Q26" s="1263" t="str">
        <f t="shared" si="11"/>
        <v>平面位置/可视性</v>
      </c>
      <c r="R26" s="667" t="s">
        <v>14</v>
      </c>
      <c r="S26" s="668">
        <f>F26</f>
        <v>100</v>
      </c>
      <c r="T26" s="667" t="s">
        <v>14</v>
      </c>
      <c r="U26" s="668">
        <f>H26</f>
        <v>100</v>
      </c>
      <c r="V26" s="667" t="s">
        <v>14</v>
      </c>
      <c r="W26" s="668">
        <f>J26</f>
        <v>100</v>
      </c>
      <c r="X26" s="1265"/>
      <c r="Y26" s="3447"/>
      <c r="Z26" s="1264" t="str">
        <f>Q26</f>
        <v>平面位置/可视性</v>
      </c>
      <c r="AA26" s="1264">
        <f t="shared" si="3"/>
        <v>1</v>
      </c>
      <c r="AB26" s="1264">
        <f t="shared" si="4"/>
        <v>1</v>
      </c>
      <c r="AC26" s="1264">
        <f t="shared" si="5"/>
        <v>1</v>
      </c>
    </row>
    <row r="27" spans="1:29" s="102" customFormat="1" ht="15.75" thickBot="1">
      <c r="A27" s="370"/>
      <c r="B27" s="390" t="s">
        <v>1782</v>
      </c>
      <c r="C27" s="1807" t="s">
        <v>3548</v>
      </c>
      <c r="D27" s="401">
        <v>100</v>
      </c>
      <c r="E27" s="1807" t="s">
        <v>3548</v>
      </c>
      <c r="F27" s="395">
        <f>SUMIF(90:90,E27,91:91)-SUMIF(90:90,C27,91:91)+100</f>
        <v>100</v>
      </c>
      <c r="G27" s="1807" t="s">
        <v>3530</v>
      </c>
      <c r="H27" s="401">
        <f>SUMIF(90:90,G27,91:91)-SUMIF(90:90,C27,91:91)+100</f>
        <v>97</v>
      </c>
      <c r="I27" s="1807" t="s">
        <v>3530</v>
      </c>
      <c r="J27" s="401">
        <f>SUMIF(90:90,I27,91:91)-SUMIF(90:90,C27,91:91)+100</f>
        <v>97</v>
      </c>
      <c r="K27" s="538">
        <v>3</v>
      </c>
      <c r="L27" s="2489"/>
      <c r="M27" s="2440"/>
      <c r="N27" s="2440"/>
      <c r="O27" s="2440"/>
      <c r="P27" s="3454"/>
      <c r="Q27" s="530" t="str">
        <f t="shared" si="11"/>
        <v>人流量</v>
      </c>
      <c r="R27" s="664" t="s">
        <v>14</v>
      </c>
      <c r="S27" s="665">
        <f>F27</f>
        <v>100</v>
      </c>
      <c r="T27" s="664" t="s">
        <v>14</v>
      </c>
      <c r="U27" s="665">
        <f>H27</f>
        <v>97</v>
      </c>
      <c r="V27" s="664" t="s">
        <v>14</v>
      </c>
      <c r="W27" s="665">
        <f>J27</f>
        <v>97</v>
      </c>
      <c r="X27" s="666"/>
      <c r="Y27" s="3447"/>
      <c r="Z27" s="50" t="str">
        <f>Q27</f>
        <v>人流量</v>
      </c>
      <c r="AA27" s="1264">
        <f>D27/F27</f>
        <v>1</v>
      </c>
      <c r="AB27" s="1264">
        <f>D27/H27</f>
        <v>1.0309278350515463</v>
      </c>
      <c r="AC27" s="1264">
        <f>D27/J27</f>
        <v>1.0309278350515463</v>
      </c>
    </row>
    <row r="28" spans="1:29" ht="15" hidden="1">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3"/>
      <c r="M28" s="2488"/>
      <c r="N28" s="2488"/>
      <c r="O28" s="2488"/>
      <c r="P28" s="3454"/>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47"/>
      <c r="Z28" s="1264" t="str">
        <f t="shared" ref="Z28:Z46" si="15">Q28</f>
        <v>楼层</v>
      </c>
      <c r="AA28" s="1264">
        <f t="shared" si="3"/>
        <v>1</v>
      </c>
      <c r="AB28" s="1264">
        <f t="shared" si="4"/>
        <v>1</v>
      </c>
      <c r="AC28" s="1264">
        <f t="shared" si="5"/>
        <v>1</v>
      </c>
    </row>
    <row r="29" spans="1:29" ht="15" hidden="1">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3"/>
      <c r="M29" s="2488"/>
      <c r="N29" s="2488"/>
      <c r="O29" s="2488"/>
      <c r="P29" s="3454"/>
      <c r="Q29" s="1263">
        <f t="shared" si="11"/>
        <v>111</v>
      </c>
      <c r="R29" s="667" t="s">
        <v>14</v>
      </c>
      <c r="S29" s="668">
        <f t="shared" si="12"/>
        <v>100</v>
      </c>
      <c r="T29" s="667" t="s">
        <v>14</v>
      </c>
      <c r="U29" s="668">
        <f t="shared" si="13"/>
        <v>100</v>
      </c>
      <c r="V29" s="667" t="s">
        <v>14</v>
      </c>
      <c r="W29" s="668">
        <f t="shared" si="14"/>
        <v>100</v>
      </c>
      <c r="X29" s="1265"/>
      <c r="Y29" s="3447"/>
      <c r="Z29" s="1264">
        <f t="shared" si="15"/>
        <v>111</v>
      </c>
      <c r="AA29" s="1264">
        <f t="shared" si="3"/>
        <v>1</v>
      </c>
      <c r="AB29" s="1264">
        <f t="shared" si="4"/>
        <v>1</v>
      </c>
      <c r="AC29" s="1264">
        <f t="shared" si="5"/>
        <v>1</v>
      </c>
    </row>
    <row r="30" spans="1:29" ht="15" hidden="1">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3"/>
      <c r="M30" s="2488"/>
      <c r="N30" s="2488"/>
      <c r="O30" s="2488"/>
      <c r="P30" s="3454"/>
      <c r="Q30" s="1263">
        <f t="shared" si="11"/>
        <v>111</v>
      </c>
      <c r="R30" s="667" t="s">
        <v>14</v>
      </c>
      <c r="S30" s="668">
        <f t="shared" si="12"/>
        <v>100</v>
      </c>
      <c r="T30" s="667" t="s">
        <v>14</v>
      </c>
      <c r="U30" s="668">
        <f t="shared" si="13"/>
        <v>100</v>
      </c>
      <c r="V30" s="667" t="s">
        <v>14</v>
      </c>
      <c r="W30" s="668">
        <f t="shared" si="14"/>
        <v>100</v>
      </c>
      <c r="X30" s="1265"/>
      <c r="Y30" s="3447"/>
      <c r="Z30" s="1264">
        <f t="shared" si="15"/>
        <v>111</v>
      </c>
      <c r="AA30" s="1264">
        <f t="shared" si="3"/>
        <v>1</v>
      </c>
      <c r="AB30" s="1264">
        <f t="shared" si="4"/>
        <v>1</v>
      </c>
      <c r="AC30" s="1264">
        <f t="shared" si="5"/>
        <v>1</v>
      </c>
    </row>
    <row r="31" spans="1:29" ht="15.75" hidden="1"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3"/>
      <c r="M31" s="2488"/>
      <c r="N31" s="2488"/>
      <c r="O31" s="2488"/>
      <c r="P31" s="3454"/>
      <c r="Q31" s="1263">
        <f t="shared" si="11"/>
        <v>111</v>
      </c>
      <c r="R31" s="667" t="s">
        <v>14</v>
      </c>
      <c r="S31" s="668">
        <f t="shared" si="12"/>
        <v>100</v>
      </c>
      <c r="T31" s="667" t="s">
        <v>14</v>
      </c>
      <c r="U31" s="668">
        <f t="shared" si="13"/>
        <v>100</v>
      </c>
      <c r="V31" s="667" t="s">
        <v>14</v>
      </c>
      <c r="W31" s="668">
        <f t="shared" si="14"/>
        <v>100</v>
      </c>
      <c r="X31" s="1265"/>
      <c r="Y31" s="3447"/>
      <c r="Z31" s="1264">
        <f t="shared" si="15"/>
        <v>111</v>
      </c>
      <c r="AA31" s="1264">
        <f t="shared" si="3"/>
        <v>1</v>
      </c>
      <c r="AB31" s="1264">
        <f t="shared" si="4"/>
        <v>1</v>
      </c>
      <c r="AC31" s="1264">
        <f t="shared" si="5"/>
        <v>1</v>
      </c>
    </row>
    <row r="32" spans="1:29" ht="15">
      <c r="A32" s="379" t="s">
        <v>1694</v>
      </c>
      <c r="B32" s="60" t="s">
        <v>1784</v>
      </c>
      <c r="C32" s="1764" t="s">
        <v>3555</v>
      </c>
      <c r="D32" s="405">
        <v>100</v>
      </c>
      <c r="E32" s="1764" t="s">
        <v>3549</v>
      </c>
      <c r="F32" s="400">
        <f>SUMIF(100:100,E32,101:101)-SUMIF(100:100,C32,101:101)+100</f>
        <v>94</v>
      </c>
      <c r="G32" s="1764" t="s">
        <v>3549</v>
      </c>
      <c r="H32" s="374">
        <f>SUMIF(100:100,G32,101:101)-SUMIF(100:100,C32,101:101)+100</f>
        <v>94</v>
      </c>
      <c r="I32" s="1764" t="s">
        <v>3549</v>
      </c>
      <c r="J32" s="405">
        <f>SUMIF(100:100,I32,101:101)-SUMIF(100:100,C32,101:101)+100</f>
        <v>94</v>
      </c>
      <c r="K32" s="538">
        <v>3</v>
      </c>
      <c r="L32" s="2493"/>
      <c r="M32" s="2488"/>
      <c r="N32" s="2488"/>
      <c r="O32" s="2488"/>
      <c r="P32" s="3448" t="s">
        <v>1696</v>
      </c>
      <c r="Q32" s="1263" t="str">
        <f t="shared" si="11"/>
        <v>商业类型</v>
      </c>
      <c r="R32" s="667" t="s">
        <v>14</v>
      </c>
      <c r="S32" s="668">
        <f t="shared" si="12"/>
        <v>94</v>
      </c>
      <c r="T32" s="667" t="s">
        <v>14</v>
      </c>
      <c r="U32" s="668">
        <f t="shared" si="13"/>
        <v>94</v>
      </c>
      <c r="V32" s="667" t="s">
        <v>14</v>
      </c>
      <c r="W32" s="668">
        <f t="shared" si="14"/>
        <v>94</v>
      </c>
      <c r="X32" s="1265"/>
      <c r="Y32" s="3451" t="s">
        <v>1696</v>
      </c>
      <c r="Z32" s="1264" t="str">
        <f t="shared" si="15"/>
        <v>商业类型</v>
      </c>
      <c r="AA32" s="1264">
        <f t="shared" si="3"/>
        <v>1.0638297872340425</v>
      </c>
      <c r="AB32" s="1264">
        <f t="shared" si="4"/>
        <v>1.0638297872340425</v>
      </c>
      <c r="AC32" s="1264">
        <f t="shared" si="5"/>
        <v>1.0638297872340425</v>
      </c>
    </row>
    <row r="33" spans="1:29" s="408" customFormat="1" ht="15">
      <c r="A33" s="406"/>
      <c r="B33" s="364" t="s">
        <v>1697</v>
      </c>
      <c r="C33" s="407">
        <f>'数据-汇总表'!E3</f>
        <v>103889.93000000002</v>
      </c>
      <c r="D33" s="119">
        <v>100</v>
      </c>
      <c r="E33" s="369">
        <v>11530</v>
      </c>
      <c r="F33" s="364">
        <f>LOOKUP(E33,103:103,104:104)-LOOKUP(C33,103:103,104:104)+100</f>
        <v>115</v>
      </c>
      <c r="G33" s="368">
        <v>10575.42</v>
      </c>
      <c r="H33" s="119">
        <f>LOOKUP(G33,103:103,104:104)-LOOKUP(C33,103:103,104:104)+100</f>
        <v>115</v>
      </c>
      <c r="I33" s="368">
        <v>16032</v>
      </c>
      <c r="J33" s="119">
        <f>LOOKUP(I33,103:103,104:104)-LOOKUP(C33,103:103,104:104)+100</f>
        <v>115</v>
      </c>
      <c r="K33" s="539"/>
      <c r="L33" s="2492"/>
      <c r="M33" s="2494"/>
      <c r="N33" s="2494"/>
      <c r="O33" s="2494"/>
      <c r="P33" s="3449"/>
      <c r="Q33" s="531" t="str">
        <f t="shared" si="11"/>
        <v>项目建筑规模</v>
      </c>
      <c r="R33" s="669" t="s">
        <v>14</v>
      </c>
      <c r="S33" s="670">
        <f t="shared" si="12"/>
        <v>115</v>
      </c>
      <c r="T33" s="669" t="s">
        <v>14</v>
      </c>
      <c r="U33" s="670">
        <f t="shared" si="13"/>
        <v>115</v>
      </c>
      <c r="V33" s="669" t="s">
        <v>14</v>
      </c>
      <c r="W33" s="670">
        <f t="shared" si="14"/>
        <v>115</v>
      </c>
      <c r="X33" s="671"/>
      <c r="Y33" s="3451"/>
      <c r="Z33" s="672" t="str">
        <f t="shared" si="15"/>
        <v>项目建筑规模</v>
      </c>
      <c r="AA33" s="1264">
        <f t="shared" si="3"/>
        <v>0.86956521739130432</v>
      </c>
      <c r="AB33" s="1264">
        <f t="shared" si="4"/>
        <v>0.86956521739130432</v>
      </c>
      <c r="AC33" s="1264">
        <f t="shared" si="5"/>
        <v>0.86956521739130432</v>
      </c>
    </row>
    <row r="34" spans="1:29" ht="15">
      <c r="A34" s="409"/>
      <c r="B34" s="364" t="s">
        <v>1698</v>
      </c>
      <c r="C34" s="399" t="s">
        <v>3538</v>
      </c>
      <c r="D34" s="374">
        <v>100</v>
      </c>
      <c r="E34" s="399" t="s">
        <v>3538</v>
      </c>
      <c r="F34" s="400">
        <f>SUMIF(105:105,E34,106:106)-SUMIF(105:105,C34,106:106)+100</f>
        <v>100</v>
      </c>
      <c r="G34" s="399" t="s">
        <v>3538</v>
      </c>
      <c r="H34" s="374">
        <f>SUMIF(105:105,G34,106:106)-SUMIF(105:105,C34,106:106)+100</f>
        <v>100</v>
      </c>
      <c r="I34" s="399" t="s">
        <v>3538</v>
      </c>
      <c r="J34" s="374">
        <f>SUMIF(105:105,I34,106:106)-SUMIF(105:105,C34,106:106)+100</f>
        <v>100</v>
      </c>
      <c r="K34" s="538">
        <v>2</v>
      </c>
      <c r="L34" s="2493"/>
      <c r="M34" s="2488"/>
      <c r="N34" s="2488"/>
      <c r="O34" s="2488"/>
      <c r="P34" s="3449"/>
      <c r="Q34" s="1263" t="str">
        <f t="shared" si="11"/>
        <v>建筑结构</v>
      </c>
      <c r="R34" s="667" t="s">
        <v>14</v>
      </c>
      <c r="S34" s="668">
        <f t="shared" si="12"/>
        <v>100</v>
      </c>
      <c r="T34" s="667" t="s">
        <v>14</v>
      </c>
      <c r="U34" s="668">
        <f t="shared" si="13"/>
        <v>100</v>
      </c>
      <c r="V34" s="667" t="s">
        <v>14</v>
      </c>
      <c r="W34" s="668">
        <f t="shared" si="14"/>
        <v>100</v>
      </c>
      <c r="X34" s="1265"/>
      <c r="Y34" s="3451"/>
      <c r="Z34" s="1264" t="str">
        <f t="shared" si="15"/>
        <v>建筑结构</v>
      </c>
      <c r="AA34" s="1264">
        <f t="shared" si="3"/>
        <v>1</v>
      </c>
      <c r="AB34" s="1264">
        <f t="shared" si="4"/>
        <v>1</v>
      </c>
      <c r="AC34" s="1264">
        <f t="shared" si="5"/>
        <v>1</v>
      </c>
    </row>
    <row r="35" spans="1:29" ht="15">
      <c r="A35" s="409"/>
      <c r="B35" s="364" t="s">
        <v>1785</v>
      </c>
      <c r="C35" s="1760" t="s">
        <v>3550</v>
      </c>
      <c r="D35" s="374">
        <v>100</v>
      </c>
      <c r="E35" s="1760" t="s">
        <v>3550</v>
      </c>
      <c r="F35" s="400">
        <f>SUMIF(107:107,E35,108:108)-SUMIF(107:107,C35,108:108)+100</f>
        <v>100</v>
      </c>
      <c r="G35" s="1760" t="s">
        <v>3550</v>
      </c>
      <c r="H35" s="374">
        <f>SUMIF(107:107,G35,108:108)-SUMIF(107:107,C35,108:108)+100</f>
        <v>100</v>
      </c>
      <c r="I35" s="1760" t="s">
        <v>3550</v>
      </c>
      <c r="J35" s="374">
        <f>SUMIF(107:107,I35,108:108)-SUMIF(107:107,C35,108:108)+100</f>
        <v>100</v>
      </c>
      <c r="K35" s="538">
        <v>2</v>
      </c>
      <c r="L35" s="2493"/>
      <c r="M35" s="2488"/>
      <c r="N35" s="2488"/>
      <c r="O35" s="2488"/>
      <c r="P35" s="3449"/>
      <c r="Q35" s="1263" t="str">
        <f t="shared" si="11"/>
        <v>公共部分装修</v>
      </c>
      <c r="R35" s="667" t="s">
        <v>14</v>
      </c>
      <c r="S35" s="668">
        <f t="shared" si="12"/>
        <v>100</v>
      </c>
      <c r="T35" s="667" t="s">
        <v>14</v>
      </c>
      <c r="U35" s="668">
        <f t="shared" si="13"/>
        <v>100</v>
      </c>
      <c r="V35" s="667" t="s">
        <v>14</v>
      </c>
      <c r="W35" s="668">
        <f t="shared" si="14"/>
        <v>100</v>
      </c>
      <c r="X35" s="1265"/>
      <c r="Y35" s="3451"/>
      <c r="Z35" s="1264" t="str">
        <f t="shared" si="15"/>
        <v>公共部分装修</v>
      </c>
      <c r="AA35" s="1264">
        <f t="shared" si="3"/>
        <v>1</v>
      </c>
      <c r="AB35" s="1264">
        <f t="shared" si="4"/>
        <v>1</v>
      </c>
      <c r="AC35" s="1264">
        <f t="shared" si="5"/>
        <v>1</v>
      </c>
    </row>
    <row r="36" spans="1:29" ht="15">
      <c r="A36" s="409"/>
      <c r="B36" s="364" t="s">
        <v>1786</v>
      </c>
      <c r="C36" s="411">
        <f>'数据-取费表'!N6</f>
        <v>0.87</v>
      </c>
      <c r="D36" s="374">
        <v>100</v>
      </c>
      <c r="E36" s="411">
        <v>0.75</v>
      </c>
      <c r="F36" s="400">
        <f>LOOKUP(E36,110:110,111:111)-LOOKUP(C36,110:110,111:111)+100</f>
        <v>98</v>
      </c>
      <c r="G36" s="411">
        <v>0.95</v>
      </c>
      <c r="H36" s="400">
        <f>LOOKUP(G36,110:110,111:111)-LOOKUP(C36,110:110,111:111)+100</f>
        <v>102</v>
      </c>
      <c r="I36" s="411">
        <v>0.75</v>
      </c>
      <c r="J36" s="374">
        <f>LOOKUP(I36,110:110,111:111)-LOOKUP(C36,110:110,111:111)+100</f>
        <v>98</v>
      </c>
      <c r="K36" s="538">
        <v>2</v>
      </c>
      <c r="L36" s="2493"/>
      <c r="M36" s="2488"/>
      <c r="N36" s="2488"/>
      <c r="O36" s="2488"/>
      <c r="P36" s="3449"/>
      <c r="Q36" s="1263" t="str">
        <f t="shared" si="11"/>
        <v>成新度</v>
      </c>
      <c r="R36" s="667" t="s">
        <v>14</v>
      </c>
      <c r="S36" s="668">
        <f t="shared" si="12"/>
        <v>98</v>
      </c>
      <c r="T36" s="667" t="s">
        <v>14</v>
      </c>
      <c r="U36" s="668">
        <f t="shared" si="13"/>
        <v>102</v>
      </c>
      <c r="V36" s="667" t="s">
        <v>14</v>
      </c>
      <c r="W36" s="668">
        <f t="shared" si="14"/>
        <v>98</v>
      </c>
      <c r="X36" s="1265"/>
      <c r="Y36" s="3451"/>
      <c r="Z36" s="1264" t="str">
        <f t="shared" si="15"/>
        <v>成新度</v>
      </c>
      <c r="AA36" s="1264">
        <f t="shared" si="3"/>
        <v>1.0204081632653061</v>
      </c>
      <c r="AB36" s="1264">
        <f t="shared" si="4"/>
        <v>0.98039215686274506</v>
      </c>
      <c r="AC36" s="1264">
        <f t="shared" si="5"/>
        <v>1.0204081632653061</v>
      </c>
    </row>
    <row r="37" spans="1:29" s="102" customFormat="1" ht="15" hidden="1">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9"/>
      <c r="M37" s="2440"/>
      <c r="N37" s="2440"/>
      <c r="O37" s="2440"/>
      <c r="P37" s="3449"/>
      <c r="Q37" s="530" t="str">
        <f t="shared" si="11"/>
        <v>市政基础设施</v>
      </c>
      <c r="R37" s="664" t="s">
        <v>14</v>
      </c>
      <c r="S37" s="665">
        <f t="shared" si="12"/>
        <v>100</v>
      </c>
      <c r="T37" s="664" t="s">
        <v>14</v>
      </c>
      <c r="U37" s="665">
        <f t="shared" si="13"/>
        <v>100</v>
      </c>
      <c r="V37" s="664" t="s">
        <v>14</v>
      </c>
      <c r="W37" s="665">
        <f t="shared" si="14"/>
        <v>100</v>
      </c>
      <c r="X37" s="666"/>
      <c r="Y37" s="3451"/>
      <c r="Z37" s="50" t="str">
        <f t="shared" si="15"/>
        <v>市政基础设施</v>
      </c>
      <c r="AA37" s="50">
        <f t="shared" si="3"/>
        <v>1</v>
      </c>
      <c r="AB37" s="50">
        <f t="shared" si="4"/>
        <v>1</v>
      </c>
      <c r="AC37" s="50">
        <f t="shared" si="5"/>
        <v>1</v>
      </c>
    </row>
    <row r="38" spans="1:29" ht="15" hidden="1">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3"/>
      <c r="M38" s="2488"/>
      <c r="N38" s="2488"/>
      <c r="O38" s="2488"/>
      <c r="P38" s="3449" t="s">
        <v>1696</v>
      </c>
      <c r="Q38" s="1263" t="str">
        <f t="shared" si="11"/>
        <v>业态</v>
      </c>
      <c r="R38" s="667" t="s">
        <v>14</v>
      </c>
      <c r="S38" s="668">
        <f t="shared" si="12"/>
        <v>100</v>
      </c>
      <c r="T38" s="667" t="s">
        <v>14</v>
      </c>
      <c r="U38" s="668">
        <f t="shared" si="13"/>
        <v>100</v>
      </c>
      <c r="V38" s="667" t="s">
        <v>14</v>
      </c>
      <c r="W38" s="668">
        <f t="shared" si="14"/>
        <v>100</v>
      </c>
      <c r="X38" s="1265"/>
      <c r="Y38" s="3451" t="s">
        <v>1696</v>
      </c>
      <c r="Z38" s="1264" t="str">
        <f t="shared" si="15"/>
        <v>业态</v>
      </c>
      <c r="AA38" s="1264">
        <f t="shared" si="3"/>
        <v>1</v>
      </c>
      <c r="AB38" s="1264">
        <f t="shared" si="4"/>
        <v>1</v>
      </c>
      <c r="AC38" s="1264">
        <f t="shared" si="5"/>
        <v>1</v>
      </c>
    </row>
    <row r="39" spans="1:29" ht="15" hidden="1">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3"/>
      <c r="M39" s="2488"/>
      <c r="N39" s="2488"/>
      <c r="O39" s="2488"/>
      <c r="P39" s="3449"/>
      <c r="Q39" s="1263" t="str">
        <f t="shared" si="11"/>
        <v>层高</v>
      </c>
      <c r="R39" s="667" t="s">
        <v>14</v>
      </c>
      <c r="S39" s="668">
        <f t="shared" si="12"/>
        <v>100</v>
      </c>
      <c r="T39" s="667" t="s">
        <v>14</v>
      </c>
      <c r="U39" s="668">
        <f t="shared" si="13"/>
        <v>100</v>
      </c>
      <c r="V39" s="667" t="s">
        <v>14</v>
      </c>
      <c r="W39" s="668">
        <f t="shared" si="14"/>
        <v>100</v>
      </c>
      <c r="X39" s="1265"/>
      <c r="Y39" s="3451"/>
      <c r="Z39" s="1264" t="str">
        <f t="shared" si="15"/>
        <v>层高</v>
      </c>
      <c r="AA39" s="1264">
        <f t="shared" si="3"/>
        <v>1</v>
      </c>
      <c r="AB39" s="1264">
        <f t="shared" si="4"/>
        <v>1</v>
      </c>
      <c r="AC39" s="1264">
        <f t="shared" si="5"/>
        <v>1</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3"/>
      <c r="M40" s="2488"/>
      <c r="N40" s="2488"/>
      <c r="O40" s="2488"/>
      <c r="P40" s="3449"/>
      <c r="Q40" s="1263" t="str">
        <f t="shared" si="11"/>
        <v>单套建筑面积</v>
      </c>
      <c r="R40" s="667" t="s">
        <v>14</v>
      </c>
      <c r="S40" s="668">
        <f t="shared" si="12"/>
        <v>100</v>
      </c>
      <c r="T40" s="667" t="s">
        <v>14</v>
      </c>
      <c r="U40" s="668">
        <f t="shared" si="13"/>
        <v>100</v>
      </c>
      <c r="V40" s="667" t="s">
        <v>14</v>
      </c>
      <c r="W40" s="668">
        <f t="shared" si="14"/>
        <v>100</v>
      </c>
      <c r="X40" s="1265"/>
      <c r="Y40" s="3451"/>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2"/>
      <c r="M41" s="2494"/>
      <c r="N41" s="2494"/>
      <c r="O41" s="2494"/>
      <c r="P41" s="3449"/>
      <c r="Q41" s="531" t="str">
        <f t="shared" si="11"/>
        <v>进深比</v>
      </c>
      <c r="R41" s="669" t="s">
        <v>14</v>
      </c>
      <c r="S41" s="670">
        <f t="shared" si="12"/>
        <v>100</v>
      </c>
      <c r="T41" s="669" t="s">
        <v>14</v>
      </c>
      <c r="U41" s="670">
        <f t="shared" si="13"/>
        <v>100</v>
      </c>
      <c r="V41" s="669" t="s">
        <v>14</v>
      </c>
      <c r="W41" s="670">
        <f t="shared" si="14"/>
        <v>100</v>
      </c>
      <c r="X41" s="671"/>
      <c r="Y41" s="3451"/>
      <c r="Z41" s="672" t="str">
        <f t="shared" si="15"/>
        <v>进深比</v>
      </c>
      <c r="AA41" s="1264">
        <f t="shared" si="3"/>
        <v>1</v>
      </c>
      <c r="AB41" s="1264">
        <f t="shared" si="4"/>
        <v>1</v>
      </c>
      <c r="AC41" s="1264">
        <f t="shared" si="5"/>
        <v>1</v>
      </c>
    </row>
    <row r="42" spans="1:29" ht="15" hidden="1">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3"/>
      <c r="M42" s="2488"/>
      <c r="N42" s="2488"/>
      <c r="O42" s="2488"/>
      <c r="P42" s="3449"/>
      <c r="Q42" s="1263" t="str">
        <f t="shared" si="11"/>
        <v>内部装修</v>
      </c>
      <c r="R42" s="667" t="s">
        <v>14</v>
      </c>
      <c r="S42" s="668">
        <f t="shared" si="12"/>
        <v>100</v>
      </c>
      <c r="T42" s="667" t="s">
        <v>14</v>
      </c>
      <c r="U42" s="668">
        <f t="shared" si="13"/>
        <v>100</v>
      </c>
      <c r="V42" s="667" t="s">
        <v>14</v>
      </c>
      <c r="W42" s="668">
        <f t="shared" si="14"/>
        <v>100</v>
      </c>
      <c r="X42" s="1265"/>
      <c r="Y42" s="3451"/>
      <c r="Z42" s="1264" t="str">
        <f t="shared" si="15"/>
        <v>内部装修</v>
      </c>
      <c r="AA42" s="1264">
        <f t="shared" si="3"/>
        <v>1</v>
      </c>
      <c r="AB42" s="1264">
        <f t="shared" si="4"/>
        <v>1</v>
      </c>
      <c r="AC42" s="1264">
        <f t="shared" si="5"/>
        <v>1</v>
      </c>
    </row>
    <row r="43" spans="1:29" ht="15">
      <c r="A43" s="409"/>
      <c r="B43" s="364" t="s">
        <v>1707</v>
      </c>
      <c r="C43" s="1760" t="s">
        <v>3529</v>
      </c>
      <c r="D43" s="374">
        <v>100</v>
      </c>
      <c r="E43" s="1760" t="s">
        <v>3529</v>
      </c>
      <c r="F43" s="400">
        <f>SUMIF(124:124,E43,125:125)-SUMIF(124:124,C43,125:125)+100</f>
        <v>100</v>
      </c>
      <c r="G43" s="1760" t="s">
        <v>3529</v>
      </c>
      <c r="H43" s="374">
        <f>SUMIF(124:124,G43,125:125)-SUMIF(124:124,C43,125:125)+100</f>
        <v>100</v>
      </c>
      <c r="I43" s="1760" t="s">
        <v>3529</v>
      </c>
      <c r="J43" s="374">
        <f>SUMIF(124:124,I43,125:125)-SUMIF(124:124,C43,125:125)+100</f>
        <v>100</v>
      </c>
      <c r="K43" s="538">
        <v>2</v>
      </c>
      <c r="L43" s="2493"/>
      <c r="M43" s="2488"/>
      <c r="N43" s="2488"/>
      <c r="O43" s="2488"/>
      <c r="P43" s="3449"/>
      <c r="Q43" s="1263" t="str">
        <f t="shared" si="11"/>
        <v>内部装修维护情况</v>
      </c>
      <c r="R43" s="667" t="s">
        <v>14</v>
      </c>
      <c r="S43" s="668">
        <f t="shared" si="12"/>
        <v>100</v>
      </c>
      <c r="T43" s="667" t="s">
        <v>14</v>
      </c>
      <c r="U43" s="668">
        <f t="shared" si="13"/>
        <v>100</v>
      </c>
      <c r="V43" s="667" t="s">
        <v>14</v>
      </c>
      <c r="W43" s="668">
        <f t="shared" si="14"/>
        <v>100</v>
      </c>
      <c r="X43" s="1265"/>
      <c r="Y43" s="3451"/>
      <c r="Z43" s="1264" t="str">
        <f t="shared" si="15"/>
        <v>内部装修维护情况</v>
      </c>
      <c r="AA43" s="1264">
        <f t="shared" si="3"/>
        <v>1</v>
      </c>
      <c r="AB43" s="1264">
        <f t="shared" si="4"/>
        <v>1</v>
      </c>
      <c r="AC43" s="1264">
        <f t="shared" si="5"/>
        <v>1</v>
      </c>
    </row>
    <row r="44" spans="1:29" s="102" customFormat="1" ht="15">
      <c r="A44" s="410"/>
      <c r="B44" s="3170" t="s">
        <v>3570</v>
      </c>
      <c r="C44" s="407" t="s">
        <v>3569</v>
      </c>
      <c r="D44" s="119">
        <v>100</v>
      </c>
      <c r="E44" s="373" t="s">
        <v>3551</v>
      </c>
      <c r="F44" s="364">
        <f>SUMIF(126:126,E44,127:127)-SUMIF(126:126,C44,127:127)+100</f>
        <v>115</v>
      </c>
      <c r="G44" s="373" t="s">
        <v>3554</v>
      </c>
      <c r="H44" s="119">
        <f>SUMIF(126:126,G44,127:127)-SUMIF(126:126,C44,127:127)+100</f>
        <v>110</v>
      </c>
      <c r="I44" s="373" t="s">
        <v>3554</v>
      </c>
      <c r="J44" s="119">
        <f>SUMIF(126:126,I44,127:127)-SUMIF(126:126,C44,127:127)+100</f>
        <v>110</v>
      </c>
      <c r="K44" s="539"/>
      <c r="L44" s="2489"/>
      <c r="M44" s="2440"/>
      <c r="N44" s="2440"/>
      <c r="O44" s="2440"/>
      <c r="P44" s="3449"/>
      <c r="Q44" s="530" t="str">
        <f t="shared" si="11"/>
        <v>地下占比</v>
      </c>
      <c r="R44" s="664" t="s">
        <v>14</v>
      </c>
      <c r="S44" s="665">
        <f t="shared" si="12"/>
        <v>115</v>
      </c>
      <c r="T44" s="664" t="s">
        <v>14</v>
      </c>
      <c r="U44" s="665">
        <f t="shared" si="13"/>
        <v>110</v>
      </c>
      <c r="V44" s="664" t="s">
        <v>14</v>
      </c>
      <c r="W44" s="665">
        <f t="shared" si="14"/>
        <v>110</v>
      </c>
      <c r="X44" s="666"/>
      <c r="Y44" s="3451"/>
      <c r="Z44" s="50" t="str">
        <f t="shared" si="15"/>
        <v>地下占比</v>
      </c>
      <c r="AA44" s="50">
        <f t="shared" si="3"/>
        <v>0.86956521739130432</v>
      </c>
      <c r="AB44" s="50">
        <f t="shared" si="4"/>
        <v>0.90909090909090906</v>
      </c>
      <c r="AC44" s="50">
        <f t="shared" si="5"/>
        <v>0.90909090909090906</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3"/>
      <c r="M45" s="2488"/>
      <c r="N45" s="2488"/>
      <c r="O45" s="2488"/>
      <c r="P45" s="3449"/>
      <c r="Q45" s="1263">
        <f t="shared" si="11"/>
        <v>111</v>
      </c>
      <c r="R45" s="667" t="s">
        <v>14</v>
      </c>
      <c r="S45" s="668">
        <f t="shared" si="12"/>
        <v>100</v>
      </c>
      <c r="T45" s="667" t="s">
        <v>14</v>
      </c>
      <c r="U45" s="668">
        <f t="shared" si="13"/>
        <v>100</v>
      </c>
      <c r="V45" s="667" t="s">
        <v>14</v>
      </c>
      <c r="W45" s="668">
        <f t="shared" si="14"/>
        <v>100</v>
      </c>
      <c r="X45" s="1265"/>
      <c r="Y45" s="3451"/>
      <c r="Z45" s="1264">
        <f t="shared" si="15"/>
        <v>111</v>
      </c>
      <c r="AA45" s="1264">
        <f t="shared" si="3"/>
        <v>1</v>
      </c>
      <c r="AB45" s="1264">
        <f t="shared" si="4"/>
        <v>1</v>
      </c>
      <c r="AC45" s="1264">
        <f t="shared" si="5"/>
        <v>1</v>
      </c>
    </row>
    <row r="46" spans="1:29" ht="29.25" thickBot="1">
      <c r="A46" s="415"/>
      <c r="B46" s="1749">
        <v>111</v>
      </c>
      <c r="C46" s="376">
        <v>2017</v>
      </c>
      <c r="D46" s="377">
        <v>100</v>
      </c>
      <c r="E46" s="373">
        <v>2011</v>
      </c>
      <c r="F46" s="378">
        <f>SUMIF(130:130,E46,131:131)-SUMIF(130:130,C46,131:131)+100</f>
        <v>100</v>
      </c>
      <c r="G46" s="373">
        <v>2022</v>
      </c>
      <c r="H46" s="377">
        <f>SUMIF(130:130,G46,131:131)-SUMIF(130:130,C46,131:131)+100</f>
        <v>100</v>
      </c>
      <c r="I46" s="373" t="s">
        <v>3556</v>
      </c>
      <c r="J46" s="377">
        <f>SUMIF(130:130,I46,131:131)-SUMIF(130:130,C46,131:131)+100</f>
        <v>100</v>
      </c>
      <c r="K46" s="539"/>
      <c r="L46" s="2493"/>
      <c r="M46" s="2488"/>
      <c r="N46" s="2488"/>
      <c r="O46" s="2488"/>
      <c r="P46" s="3450"/>
      <c r="Q46" s="1263">
        <f t="shared" si="11"/>
        <v>111</v>
      </c>
      <c r="R46" s="667" t="s">
        <v>14</v>
      </c>
      <c r="S46" s="668">
        <f t="shared" si="12"/>
        <v>100</v>
      </c>
      <c r="T46" s="667" t="s">
        <v>14</v>
      </c>
      <c r="U46" s="668">
        <f t="shared" si="13"/>
        <v>100</v>
      </c>
      <c r="V46" s="667" t="s">
        <v>14</v>
      </c>
      <c r="W46" s="668">
        <f t="shared" si="14"/>
        <v>100</v>
      </c>
      <c r="X46" s="1265"/>
      <c r="Y46" s="3452"/>
      <c r="Z46" s="1264">
        <f t="shared" si="15"/>
        <v>111</v>
      </c>
      <c r="AA46" s="1264">
        <f t="shared" si="3"/>
        <v>1</v>
      </c>
      <c r="AB46" s="1264">
        <f t="shared" si="4"/>
        <v>1</v>
      </c>
      <c r="AC46" s="1264">
        <f t="shared" si="5"/>
        <v>1</v>
      </c>
    </row>
    <row r="47" spans="1:29" ht="15">
      <c r="A47" s="416" t="s">
        <v>1708</v>
      </c>
      <c r="B47" s="417"/>
      <c r="C47" s="1081" t="s">
        <v>0</v>
      </c>
      <c r="D47" s="418"/>
      <c r="E47" s="419">
        <v>48569</v>
      </c>
      <c r="F47" s="420"/>
      <c r="G47" s="421">
        <v>44386</v>
      </c>
      <c r="H47" s="422"/>
      <c r="I47" s="419">
        <v>37988</v>
      </c>
      <c r="J47" s="422"/>
      <c r="K47" s="674"/>
      <c r="L47" s="2495"/>
      <c r="M47" s="2488"/>
      <c r="N47" s="2488"/>
      <c r="O47" s="2488"/>
      <c r="P47" s="3444" t="str">
        <f>A47</f>
        <v>成交单价（元/平方米）</v>
      </c>
      <c r="Q47" s="3444"/>
      <c r="R47" s="3445">
        <f>E47</f>
        <v>48569</v>
      </c>
      <c r="S47" s="3445"/>
      <c r="T47" s="3445">
        <f>G47</f>
        <v>44386</v>
      </c>
      <c r="U47" s="3445"/>
      <c r="V47" s="3445">
        <f>I47</f>
        <v>37988</v>
      </c>
      <c r="W47" s="3445"/>
      <c r="X47" s="385"/>
      <c r="Y47" s="673"/>
      <c r="Z47" s="385"/>
      <c r="AA47" s="385"/>
      <c r="AB47" s="385"/>
      <c r="AC47" s="385"/>
    </row>
    <row r="48" spans="1:29" ht="15.75" thickBot="1">
      <c r="A48" s="423" t="s">
        <v>1793</v>
      </c>
      <c r="B48" s="424"/>
      <c r="C48" s="1082">
        <f>R49</f>
        <v>35886</v>
      </c>
      <c r="D48" s="2141" t="s">
        <v>2138</v>
      </c>
      <c r="E48" s="1083">
        <f>R48</f>
        <v>38345</v>
      </c>
      <c r="F48" s="2142"/>
      <c r="G48" s="1082">
        <f>T48</f>
        <v>36988</v>
      </c>
      <c r="H48" s="2142"/>
      <c r="I48" s="1083">
        <f>V48</f>
        <v>32324</v>
      </c>
      <c r="J48" s="2142"/>
      <c r="K48" s="2144">
        <f>F48+H48+J48</f>
        <v>0</v>
      </c>
      <c r="L48" s="2495"/>
      <c r="M48" s="2488"/>
      <c r="N48" s="2488"/>
      <c r="O48" s="2488"/>
      <c r="P48" s="3444" t="str">
        <f>A48</f>
        <v>比较价值（元/平方米）</v>
      </c>
      <c r="Q48" s="3444"/>
      <c r="R48" s="3445">
        <f>IF(F1="售价",ROUND(PRODUCT(R47,AA7:AA46),0),ROUND(PRODUCT(R47,AA7:AA46),1))</f>
        <v>38345</v>
      </c>
      <c r="S48" s="3445"/>
      <c r="T48" s="3445">
        <f>IF(F1="售价",ROUND(PRODUCT(T47,AB7:AB46),0),ROUND(PRODUCT(T47,AB7:AB46),1))</f>
        <v>36988</v>
      </c>
      <c r="U48" s="3445"/>
      <c r="V48" s="3445">
        <f>IF(F1="售价",ROUND(PRODUCT(V47,AC7:AC46),0),ROUND(PRODUCT(V47,AC7:AC46),1))</f>
        <v>32324</v>
      </c>
      <c r="W48" s="3445"/>
      <c r="X48" s="385"/>
      <c r="Y48" s="385"/>
      <c r="Z48" s="385"/>
      <c r="AA48" s="385"/>
      <c r="AB48" s="385"/>
      <c r="AC48" s="385"/>
    </row>
    <row r="49" spans="1:38" ht="15.75" thickBot="1">
      <c r="A49" s="427" t="s">
        <v>1794</v>
      </c>
      <c r="B49" s="428"/>
      <c r="C49" s="351">
        <f>R49</f>
        <v>35886</v>
      </c>
      <c r="D49" s="351"/>
      <c r="E49" s="351"/>
      <c r="F49" s="351"/>
      <c r="G49" s="351"/>
      <c r="H49" s="351"/>
      <c r="I49" s="351"/>
      <c r="J49" s="351"/>
      <c r="K49" s="675"/>
      <c r="L49" s="2495"/>
      <c r="M49" s="2488"/>
      <c r="N49" s="2488"/>
      <c r="O49" s="2488"/>
      <c r="P49" s="3441" t="str">
        <f>A49</f>
        <v>估价对象XX用房的比较价值（楼面单价，元/平方米）</v>
      </c>
      <c r="Q49" s="3442"/>
      <c r="R49" s="3443">
        <f>IF(F1="售价",ROUND(IF(D48="简单平均",AVERAGE(R48:V48),R48*F48+T48*H48+V48*J48),0),ROUND(IF(D48="简单平均",AVERAGE(R48:V48),R48*F48+T48*H48+V48*J48),1))</f>
        <v>35886</v>
      </c>
      <c r="S49" s="3443"/>
      <c r="T49" s="3443"/>
      <c r="U49" s="3443"/>
      <c r="V49" s="3443"/>
      <c r="W49" s="3443"/>
      <c r="X49" s="385"/>
      <c r="Y49" s="385"/>
      <c r="Z49" s="385"/>
      <c r="AA49" s="385"/>
      <c r="AB49" s="385"/>
      <c r="AC49" s="385"/>
    </row>
    <row r="50" spans="1:38">
      <c r="A50" s="2488"/>
      <c r="B50" s="2488"/>
      <c r="C50" s="2488"/>
      <c r="D50" s="2488"/>
      <c r="E50" s="2488"/>
      <c r="F50" s="2488"/>
      <c r="G50" s="2499"/>
      <c r="H50" s="2488"/>
      <c r="I50" s="2488"/>
      <c r="J50" s="2488"/>
      <c r="K50" s="2500"/>
      <c r="L50" s="2496"/>
      <c r="M50" s="2488"/>
      <c r="N50" s="2488"/>
      <c r="O50" s="2488"/>
      <c r="P50" s="2506"/>
      <c r="Q50" s="2488"/>
      <c r="R50" s="2488"/>
      <c r="S50" s="2488"/>
      <c r="T50" s="2488"/>
      <c r="U50" s="2488"/>
      <c r="V50" s="2488"/>
      <c r="W50" s="2488"/>
      <c r="X50" s="2488"/>
      <c r="Y50" s="2488"/>
      <c r="Z50" s="2488"/>
      <c r="AA50" s="2488"/>
      <c r="AB50" s="2488"/>
      <c r="AC50" s="2488"/>
    </row>
    <row r="51" spans="1:38">
      <c r="A51" s="2488"/>
      <c r="B51" s="2488"/>
      <c r="C51" s="2488"/>
      <c r="D51" s="2488"/>
      <c r="E51" s="2488"/>
      <c r="F51" s="2488"/>
      <c r="G51" s="2488"/>
      <c r="H51" s="2488"/>
      <c r="I51" s="2488"/>
      <c r="J51" s="2488"/>
      <c r="K51" s="2500"/>
      <c r="L51" s="2496"/>
      <c r="M51" s="2488"/>
      <c r="N51" s="2488"/>
      <c r="O51" s="2488"/>
      <c r="P51" s="2506"/>
      <c r="Q51" s="2488"/>
      <c r="R51" s="2488"/>
      <c r="S51" s="2488"/>
      <c r="T51" s="2488"/>
      <c r="U51" s="2488"/>
      <c r="V51" s="2488"/>
      <c r="W51" s="2488"/>
      <c r="X51" s="2488"/>
      <c r="Y51" s="2488"/>
      <c r="Z51" s="2488"/>
      <c r="AA51" s="2488"/>
      <c r="AB51" s="2488"/>
      <c r="AC51" s="2488"/>
    </row>
    <row r="52" spans="1:38" ht="13.5" customHeight="1">
      <c r="A52" s="2488"/>
      <c r="B52" s="2488"/>
      <c r="C52" s="432" t="s">
        <v>1795</v>
      </c>
      <c r="D52" s="433"/>
      <c r="E52" s="434">
        <f>IF(E47&lt;E48,E48/E47-1,E47/E48-1)</f>
        <v>0.26663189464076154</v>
      </c>
      <c r="F52" s="435" t="str">
        <f>IF(OR(E52&gt;=0.3,E52&lt;=-0.3),"超过30%","")</f>
        <v/>
      </c>
      <c r="G52" s="434">
        <f>IF(G47&lt;G48,G48/G47-1,G47/G48-1)</f>
        <v>0.20001081431815715</v>
      </c>
      <c r="H52" s="435" t="str">
        <f>IF(OR(G52&gt;=0.3,G52&lt;=-0.3),"超过30%","")</f>
        <v/>
      </c>
      <c r="I52" s="434">
        <f>IF(I47&lt;I48,I48/I47-1,I47/I48-1)</f>
        <v>0.17522583838633832</v>
      </c>
      <c r="J52" s="435" t="str">
        <f>IF(OR(I52&gt;=0.3,I52&lt;=-0.3),"超过30%","")</f>
        <v/>
      </c>
      <c r="K52" s="2500"/>
      <c r="L52" s="2496"/>
      <c r="M52" s="2488"/>
      <c r="N52" s="2488"/>
      <c r="O52" s="2488"/>
      <c r="P52" s="2506"/>
      <c r="Q52" s="2488"/>
      <c r="R52" s="2488"/>
      <c r="S52" s="2488"/>
      <c r="T52" s="2488"/>
      <c r="U52" s="2488"/>
      <c r="V52" s="2488"/>
      <c r="W52" s="2488"/>
      <c r="X52" s="2488"/>
      <c r="Y52" s="2488"/>
      <c r="Z52" s="2488"/>
      <c r="AA52" s="2488"/>
      <c r="AB52" s="2488"/>
      <c r="AC52" s="2488"/>
    </row>
    <row r="53" spans="1:38" ht="13.5" customHeight="1">
      <c r="A53" s="2488"/>
      <c r="B53" s="2488"/>
      <c r="C53" s="432" t="s">
        <v>1796</v>
      </c>
      <c r="D53" s="436"/>
      <c r="E53" s="434">
        <f>IF(E48&lt;G48,G48/E48-1,E48/G48-1)</f>
        <v>3.6687574348437391E-2</v>
      </c>
      <c r="F53" s="435" t="str">
        <f>IF(OR(E53&gt;=0.2,E53&lt;=-0.2),"超过20%","")</f>
        <v/>
      </c>
      <c r="G53" s="434">
        <f>IF(G48&lt;I48,I48/G48-1,G48/I48-1)</f>
        <v>0.144289073134513</v>
      </c>
      <c r="H53" s="435" t="str">
        <f>IF(OR(G53&gt;=0.2,G53&lt;=-0.2),"超过20%","")</f>
        <v/>
      </c>
      <c r="I53" s="434">
        <f>IF(I48&lt;E48,E48/I48-1,I48/E48-1)</f>
        <v>0.18627026358123988</v>
      </c>
      <c r="J53" s="435" t="str">
        <f>IF(OR(I53&gt;=0.2,I53&lt;=-0.2),"超过20%","")</f>
        <v/>
      </c>
      <c r="K53" s="2500"/>
      <c r="L53" s="2496"/>
      <c r="M53" s="2488"/>
      <c r="N53" s="2488"/>
      <c r="O53" s="2488"/>
      <c r="P53" s="2506"/>
      <c r="Q53" s="2488"/>
      <c r="R53" s="2488"/>
      <c r="S53" s="2488"/>
      <c r="T53" s="2488"/>
      <c r="U53" s="2488"/>
      <c r="V53" s="2488"/>
      <c r="W53" s="2488"/>
      <c r="X53" s="2488"/>
      <c r="Y53" s="2488"/>
      <c r="Z53" s="2488"/>
      <c r="AA53" s="2488"/>
      <c r="AB53" s="2488"/>
      <c r="AC53" s="2488"/>
    </row>
    <row r="54" spans="1:38" s="437" customFormat="1" ht="13.5" customHeight="1">
      <c r="A54" s="2498"/>
      <c r="B54" s="2498"/>
      <c r="C54" s="432" t="s">
        <v>1797</v>
      </c>
      <c r="D54" s="436"/>
      <c r="E54" s="434">
        <f>IF(E47&lt;G47,G47/E47-1,E47/G47-1)</f>
        <v>9.4241427477132378E-2</v>
      </c>
      <c r="F54" s="435" t="str">
        <f>IF(OR(E54&gt;=0.3,E54&lt;=-0.3),"超过30%","")</f>
        <v/>
      </c>
      <c r="G54" s="434">
        <f>IF(G47&lt;I47,I47/G47-1,G47/I47-1)</f>
        <v>0.16842160682320739</v>
      </c>
      <c r="H54" s="435" t="str">
        <f>IF(OR(G54&gt;=0.3,G54&lt;=-0.3),"超过30%","")</f>
        <v/>
      </c>
      <c r="I54" s="434">
        <f>IF(I47&lt;E47,E47/I47-1,I47/E47-1)</f>
        <v>0.27853532694535121</v>
      </c>
      <c r="J54" s="435" t="str">
        <f>IF(OR(I54&gt;=0.3,I54&lt;=-0.3),"超过30%","")</f>
        <v/>
      </c>
      <c r="K54" s="2503"/>
      <c r="L54" s="2497"/>
      <c r="M54" s="2498"/>
      <c r="N54" s="2498"/>
      <c r="O54" s="2498"/>
      <c r="P54" s="2507"/>
      <c r="Q54" s="2498"/>
      <c r="R54" s="2498"/>
      <c r="S54" s="2498"/>
      <c r="T54" s="2498"/>
      <c r="U54" s="2498"/>
      <c r="V54" s="2498"/>
      <c r="W54" s="2498"/>
      <c r="X54" s="2498"/>
      <c r="Y54" s="2498"/>
      <c r="Z54" s="2498"/>
      <c r="AA54" s="2498"/>
      <c r="AB54" s="2498"/>
      <c r="AC54" s="2498"/>
    </row>
    <row r="55" spans="1:38" s="437" customFormat="1">
      <c r="A55" s="2498"/>
      <c r="B55" s="2501"/>
      <c r="C55" s="2502"/>
      <c r="D55" s="2498"/>
      <c r="E55" s="2498"/>
      <c r="F55" s="2498"/>
      <c r="G55" s="2498"/>
      <c r="H55" s="2498"/>
      <c r="I55" s="2498"/>
      <c r="J55" s="2498"/>
      <c r="K55" s="2503"/>
      <c r="L55" s="2497"/>
      <c r="M55" s="2498"/>
      <c r="N55" s="2498"/>
      <c r="O55" s="2498"/>
      <c r="P55" s="2507"/>
      <c r="Q55" s="2498"/>
      <c r="R55" s="2498"/>
      <c r="S55" s="2498"/>
      <c r="T55" s="2498"/>
      <c r="U55" s="2498"/>
      <c r="V55" s="2498"/>
      <c r="W55" s="2498"/>
      <c r="X55" s="2498"/>
      <c r="Y55" s="2498"/>
      <c r="Z55" s="2498"/>
      <c r="AA55" s="2498"/>
      <c r="AB55" s="2498"/>
      <c r="AC55" s="2498"/>
    </row>
    <row r="56" spans="1:38">
      <c r="A56" s="2488"/>
      <c r="B56" s="2501"/>
      <c r="C56" s="2502"/>
      <c r="D56" s="2488"/>
      <c r="E56" s="2488"/>
      <c r="F56" s="2488"/>
      <c r="G56" s="2488"/>
      <c r="H56" s="2488"/>
      <c r="I56" s="2488"/>
      <c r="J56" s="2488"/>
      <c r="K56" s="2500"/>
      <c r="L56" s="2496"/>
      <c r="M56" s="2488"/>
      <c r="N56" s="2488"/>
      <c r="O56" s="2488"/>
      <c r="P56" s="2506"/>
      <c r="Q56" s="2488"/>
      <c r="R56" s="2488"/>
      <c r="S56" s="2488"/>
      <c r="T56" s="2488"/>
      <c r="U56" s="2488"/>
      <c r="V56" s="2488"/>
      <c r="W56" s="2488"/>
      <c r="X56" s="2488"/>
      <c r="Y56" s="2488"/>
      <c r="Z56" s="2488"/>
      <c r="AA56" s="2488"/>
      <c r="AB56" s="2488"/>
      <c r="AC56" s="2488"/>
    </row>
    <row r="57" spans="1:38" ht="21.75" thickBot="1">
      <c r="A57" s="658" t="s">
        <v>1798</v>
      </c>
      <c r="B57" s="385"/>
      <c r="C57" s="659"/>
      <c r="D57" s="659"/>
      <c r="E57" s="659"/>
      <c r="F57" s="660"/>
      <c r="G57" s="660"/>
      <c r="H57" s="659"/>
      <c r="I57" s="659"/>
      <c r="J57" s="659"/>
      <c r="K57" s="661"/>
      <c r="L57" s="888"/>
      <c r="M57" s="886"/>
      <c r="N57" s="886"/>
      <c r="O57" s="886"/>
      <c r="P57" s="2508"/>
      <c r="Q57" s="2509"/>
      <c r="R57" s="2488"/>
      <c r="S57" s="2488"/>
      <c r="T57" s="2488"/>
      <c r="U57" s="2488"/>
      <c r="V57" s="2488"/>
      <c r="W57" s="2488"/>
      <c r="X57" s="2488"/>
      <c r="Y57" s="2488"/>
      <c r="Z57" s="2488"/>
      <c r="AA57" s="2488"/>
      <c r="AB57" s="2488"/>
      <c r="AC57" s="2488"/>
    </row>
    <row r="58" spans="1:38" s="442" customFormat="1" ht="15">
      <c r="A58" s="440" t="s">
        <v>1679</v>
      </c>
      <c r="B58" s="441"/>
      <c r="C58" s="1103" t="str">
        <f>YEAR(C7)&amp;"-"&amp;MONTH(C7)</f>
        <v>2025-5</v>
      </c>
      <c r="D58" s="1104">
        <f>EDATE(C58,-1)</f>
        <v>45748</v>
      </c>
      <c r="E58" s="1104">
        <f t="shared" ref="E58:N58" si="16">EDATE(D58,-1)</f>
        <v>45717</v>
      </c>
      <c r="F58" s="1104">
        <f t="shared" si="16"/>
        <v>45689</v>
      </c>
      <c r="G58" s="1104">
        <f t="shared" si="16"/>
        <v>45658</v>
      </c>
      <c r="H58" s="1104">
        <f t="shared" si="16"/>
        <v>45627</v>
      </c>
      <c r="I58" s="1104">
        <f t="shared" si="16"/>
        <v>45597</v>
      </c>
      <c r="J58" s="1104">
        <f t="shared" si="16"/>
        <v>45566</v>
      </c>
      <c r="K58" s="1104">
        <f t="shared" si="16"/>
        <v>45536</v>
      </c>
      <c r="L58" s="1104">
        <f t="shared" si="16"/>
        <v>45505</v>
      </c>
      <c r="M58" s="1104">
        <f t="shared" si="16"/>
        <v>45474</v>
      </c>
      <c r="N58" s="1104">
        <f t="shared" si="16"/>
        <v>45444</v>
      </c>
      <c r="O58" s="1104">
        <f>EDATE(N58,-1)</f>
        <v>45413</v>
      </c>
      <c r="P58" s="3169">
        <f t="shared" ref="P58" si="17">EDATE(O58,-1)</f>
        <v>45383</v>
      </c>
      <c r="Q58" s="3169">
        <f>EDATE(P58,-1)</f>
        <v>45352</v>
      </c>
      <c r="R58" s="3169">
        <f t="shared" ref="R58:AG58" si="18">EDATE(Q58,-1)</f>
        <v>45323</v>
      </c>
      <c r="S58" s="3169">
        <f t="shared" si="18"/>
        <v>45292</v>
      </c>
      <c r="T58" s="3169">
        <f t="shared" si="18"/>
        <v>45261</v>
      </c>
      <c r="U58" s="3169">
        <f t="shared" si="18"/>
        <v>45231</v>
      </c>
      <c r="V58" s="3169">
        <f t="shared" si="18"/>
        <v>45200</v>
      </c>
      <c r="W58" s="3169">
        <f t="shared" si="18"/>
        <v>45170</v>
      </c>
      <c r="X58" s="3169">
        <f t="shared" si="18"/>
        <v>45139</v>
      </c>
      <c r="Y58" s="3169">
        <f t="shared" si="18"/>
        <v>45108</v>
      </c>
      <c r="Z58" s="3169">
        <f t="shared" si="18"/>
        <v>45078</v>
      </c>
      <c r="AA58" s="3169">
        <f t="shared" si="18"/>
        <v>45047</v>
      </c>
      <c r="AB58" s="3169">
        <f t="shared" si="18"/>
        <v>45017</v>
      </c>
      <c r="AC58" s="3169">
        <f t="shared" si="18"/>
        <v>44986</v>
      </c>
      <c r="AD58" s="3169">
        <f t="shared" si="18"/>
        <v>44958</v>
      </c>
      <c r="AE58" s="3169">
        <f t="shared" si="18"/>
        <v>44927</v>
      </c>
      <c r="AF58" s="3169">
        <f t="shared" si="18"/>
        <v>44896</v>
      </c>
      <c r="AG58" s="3169">
        <f t="shared" si="18"/>
        <v>44866</v>
      </c>
      <c r="AH58" s="3169">
        <f>EDATE(AG58,-1)</f>
        <v>44835</v>
      </c>
      <c r="AI58" s="3169">
        <f t="shared" ref="AI58:AL58" si="19">EDATE(AH58,-1)</f>
        <v>44805</v>
      </c>
      <c r="AJ58" s="3169">
        <f t="shared" si="19"/>
        <v>44774</v>
      </c>
      <c r="AK58" s="3169">
        <f t="shared" si="19"/>
        <v>44743</v>
      </c>
      <c r="AL58" s="3169">
        <f t="shared" si="19"/>
        <v>44713</v>
      </c>
    </row>
    <row r="59" spans="1:38" s="102" customFormat="1" ht="15">
      <c r="A59" s="443"/>
      <c r="B59" s="444"/>
      <c r="C59" s="1102">
        <v>100</v>
      </c>
      <c r="D59" s="446">
        <v>100</v>
      </c>
      <c r="E59" s="446">
        <v>100</v>
      </c>
      <c r="F59" s="446">
        <v>100</v>
      </c>
      <c r="G59" s="446">
        <v>100</v>
      </c>
      <c r="H59" s="446">
        <v>100</v>
      </c>
      <c r="I59" s="446">
        <v>100</v>
      </c>
      <c r="J59" s="446">
        <v>100</v>
      </c>
      <c r="K59" s="446">
        <v>100</v>
      </c>
      <c r="L59" s="446">
        <v>100</v>
      </c>
      <c r="M59" s="447">
        <v>100</v>
      </c>
      <c r="N59" s="446">
        <v>100</v>
      </c>
      <c r="O59" s="447">
        <v>100</v>
      </c>
      <c r="P59" s="446">
        <v>100</v>
      </c>
      <c r="Q59" s="446">
        <v>100</v>
      </c>
      <c r="R59" s="446">
        <v>100</v>
      </c>
      <c r="S59" s="446">
        <v>100</v>
      </c>
      <c r="T59" s="446">
        <v>100</v>
      </c>
      <c r="U59" s="446">
        <v>100</v>
      </c>
      <c r="V59" s="446">
        <v>100</v>
      </c>
      <c r="W59" s="446">
        <v>100</v>
      </c>
      <c r="X59" s="446">
        <v>100</v>
      </c>
      <c r="Y59" s="446">
        <v>100</v>
      </c>
      <c r="Z59" s="446">
        <v>100</v>
      </c>
      <c r="AA59" s="446">
        <v>100</v>
      </c>
      <c r="AB59" s="446">
        <v>100</v>
      </c>
      <c r="AC59" s="446">
        <v>100</v>
      </c>
      <c r="AD59" s="446">
        <v>100</v>
      </c>
      <c r="AE59" s="446">
        <v>100</v>
      </c>
      <c r="AF59" s="446">
        <v>100</v>
      </c>
      <c r="AG59" s="446">
        <v>100</v>
      </c>
      <c r="AH59" s="446">
        <v>100</v>
      </c>
      <c r="AI59" s="446">
        <v>100</v>
      </c>
      <c r="AJ59" s="446">
        <v>100</v>
      </c>
      <c r="AK59" s="446">
        <v>100</v>
      </c>
      <c r="AL59" s="446">
        <v>100</v>
      </c>
    </row>
    <row r="60" spans="1:38" s="102" customFormat="1" ht="15.75" thickBot="1">
      <c r="A60" s="449" t="s">
        <v>1716</v>
      </c>
      <c r="B60" s="450"/>
      <c r="C60" s="451"/>
      <c r="D60" s="452"/>
      <c r="E60" s="452"/>
      <c r="F60" s="452"/>
      <c r="G60" s="452"/>
      <c r="H60" s="452"/>
      <c r="I60" s="452"/>
      <c r="J60" s="452"/>
      <c r="K60" s="452"/>
      <c r="L60" s="452"/>
      <c r="M60" s="453"/>
      <c r="N60" s="452"/>
      <c r="O60" s="453"/>
      <c r="P60" s="2511"/>
      <c r="Q60" s="2509"/>
      <c r="R60" s="2440"/>
      <c r="S60" s="2440"/>
      <c r="T60" s="2440"/>
      <c r="U60" s="2440"/>
      <c r="V60" s="2440"/>
      <c r="W60" s="2440"/>
      <c r="X60" s="2440"/>
      <c r="Y60" s="2440"/>
      <c r="Z60" s="2440"/>
      <c r="AA60" s="2440"/>
      <c r="AB60" s="2440"/>
      <c r="AC60" s="2440"/>
    </row>
    <row r="61" spans="1:38" s="102" customFormat="1" ht="15">
      <c r="A61" s="455" t="s">
        <v>1681</v>
      </c>
      <c r="B61" s="444"/>
      <c r="C61" s="456" t="s">
        <v>1776</v>
      </c>
      <c r="D61" s="31"/>
      <c r="E61" s="31"/>
      <c r="F61" s="31"/>
      <c r="G61" s="31"/>
      <c r="H61" s="31"/>
      <c r="I61" s="31"/>
      <c r="J61" s="31"/>
      <c r="K61" s="31"/>
      <c r="L61" s="457"/>
      <c r="M61" s="458"/>
      <c r="N61" s="2520"/>
      <c r="O61" s="2520"/>
      <c r="P61" s="2512"/>
      <c r="Q61" s="2509"/>
      <c r="R61" s="2440"/>
      <c r="S61" s="2440"/>
      <c r="T61" s="2440"/>
      <c r="U61" s="2440"/>
      <c r="V61" s="2440"/>
      <c r="W61" s="2440"/>
      <c r="X61" s="2440"/>
      <c r="Y61" s="2440"/>
      <c r="Z61" s="2440"/>
      <c r="AA61" s="2440"/>
      <c r="AB61" s="2440"/>
      <c r="AC61" s="2440"/>
    </row>
    <row r="62" spans="1:38" s="102" customFormat="1" ht="15.75" thickBot="1">
      <c r="A62" s="455"/>
      <c r="B62" s="444"/>
      <c r="C62" s="445">
        <v>100</v>
      </c>
      <c r="D62" s="446"/>
      <c r="E62" s="446"/>
      <c r="F62" s="446"/>
      <c r="G62" s="446"/>
      <c r="H62" s="446"/>
      <c r="I62" s="446"/>
      <c r="J62" s="446"/>
      <c r="K62" s="446"/>
      <c r="L62" s="446"/>
      <c r="M62" s="448"/>
      <c r="N62" s="2520"/>
      <c r="O62" s="2520"/>
      <c r="P62" s="2511"/>
      <c r="Q62" s="2509"/>
      <c r="R62" s="2440"/>
      <c r="S62" s="2440"/>
      <c r="T62" s="2440"/>
      <c r="U62" s="2440"/>
      <c r="V62" s="2440"/>
      <c r="W62" s="2440"/>
      <c r="X62" s="2440"/>
      <c r="Y62" s="2440"/>
      <c r="Z62" s="2440"/>
      <c r="AA62" s="2440"/>
      <c r="AB62" s="2440"/>
      <c r="AC62" s="2440"/>
    </row>
    <row r="63" spans="1:38">
      <c r="A63" s="379" t="s">
        <v>1719</v>
      </c>
      <c r="B63" s="460" t="s">
        <v>1685</v>
      </c>
      <c r="C63" s="461" t="str">
        <f>C9</f>
        <v>商业</v>
      </c>
      <c r="D63" s="462" t="s">
        <v>3552</v>
      </c>
      <c r="E63" s="462"/>
      <c r="F63" s="462"/>
      <c r="G63" s="462"/>
      <c r="H63" s="462"/>
      <c r="I63" s="462"/>
      <c r="J63" s="462"/>
      <c r="K63" s="463"/>
      <c r="L63" s="464"/>
      <c r="M63" s="465"/>
      <c r="N63" s="2521"/>
      <c r="O63" s="2521"/>
      <c r="P63" s="2513"/>
      <c r="Q63" s="2509"/>
      <c r="R63" s="2488"/>
      <c r="S63" s="2488"/>
      <c r="T63" s="2488"/>
      <c r="U63" s="2488"/>
      <c r="V63" s="2488"/>
      <c r="W63" s="2488"/>
      <c r="X63" s="2488"/>
      <c r="Y63" s="2488"/>
      <c r="Z63" s="2488"/>
      <c r="AA63" s="2488"/>
      <c r="AB63" s="2488"/>
      <c r="AC63" s="2488"/>
    </row>
    <row r="64" spans="1:38" ht="15.75" thickBot="1">
      <c r="A64" s="367"/>
      <c r="B64" s="466"/>
      <c r="C64" s="467">
        <v>100</v>
      </c>
      <c r="D64" s="467">
        <v>100</v>
      </c>
      <c r="E64" s="467"/>
      <c r="F64" s="467"/>
      <c r="G64" s="467"/>
      <c r="H64" s="467"/>
      <c r="I64" s="467"/>
      <c r="J64" s="467"/>
      <c r="K64" s="467"/>
      <c r="L64" s="467"/>
      <c r="M64" s="468"/>
      <c r="N64" s="2522"/>
      <c r="O64" s="2522"/>
      <c r="P64" s="2513"/>
      <c r="Q64" s="2509"/>
      <c r="R64" s="2488"/>
      <c r="S64" s="2488"/>
      <c r="T64" s="2488"/>
      <c r="U64" s="2488"/>
      <c r="V64" s="2488"/>
      <c r="W64" s="2488"/>
      <c r="X64" s="2488"/>
      <c r="Y64" s="2488"/>
      <c r="Z64" s="2488"/>
      <c r="AA64" s="2488"/>
      <c r="AB64" s="2488"/>
      <c r="AC64" s="2488"/>
    </row>
    <row r="65" spans="1:29" ht="27.75" thickTop="1">
      <c r="A65" s="367"/>
      <c r="B65" s="469" t="s">
        <v>1688</v>
      </c>
      <c r="C65" s="513" t="s">
        <v>3544</v>
      </c>
      <c r="D65" s="513" t="s">
        <v>3561</v>
      </c>
      <c r="E65" s="513" t="s">
        <v>3553</v>
      </c>
      <c r="F65" s="513"/>
      <c r="G65" s="513"/>
      <c r="H65" s="513"/>
      <c r="I65" s="513"/>
      <c r="J65" s="513"/>
      <c r="K65" s="514"/>
      <c r="L65" s="515"/>
      <c r="M65" s="516"/>
      <c r="N65" s="2521"/>
      <c r="O65" s="2521"/>
      <c r="P65" s="2513"/>
      <c r="Q65" s="2509"/>
      <c r="R65" s="2488"/>
      <c r="S65" s="2488"/>
      <c r="T65" s="2488"/>
      <c r="U65" s="2488"/>
      <c r="V65" s="2488"/>
      <c r="W65" s="2488"/>
      <c r="X65" s="2488"/>
      <c r="Y65" s="2488"/>
      <c r="Z65" s="2488"/>
      <c r="AA65" s="2488"/>
      <c r="AB65" s="2488"/>
      <c r="AC65" s="2488"/>
    </row>
    <row r="66" spans="1:29" ht="15.75" thickBot="1">
      <c r="A66" s="367"/>
      <c r="B66" s="474"/>
      <c r="C66" s="467">
        <v>100</v>
      </c>
      <c r="D66" s="467">
        <v>102</v>
      </c>
      <c r="E66" s="467">
        <v>104</v>
      </c>
      <c r="F66" s="467"/>
      <c r="G66" s="467"/>
      <c r="H66" s="467"/>
      <c r="I66" s="467"/>
      <c r="J66" s="467"/>
      <c r="K66" s="467"/>
      <c r="L66" s="467"/>
      <c r="M66" s="468"/>
      <c r="N66" s="2522"/>
      <c r="O66" s="2522"/>
      <c r="P66" s="2513"/>
      <c r="Q66" s="2509"/>
      <c r="R66" s="2488"/>
      <c r="S66" s="2488"/>
      <c r="T66" s="2488"/>
      <c r="U66" s="2488"/>
      <c r="V66" s="2488"/>
      <c r="W66" s="2488"/>
      <c r="X66" s="2488"/>
      <c r="Y66" s="2488"/>
      <c r="Z66" s="2488"/>
      <c r="AA66" s="2488"/>
      <c r="AB66" s="2488"/>
      <c r="AC66" s="2488"/>
    </row>
    <row r="67" spans="1:29" ht="15.75" thickTop="1">
      <c r="A67" s="367"/>
      <c r="B67" s="477" t="s">
        <v>1689</v>
      </c>
      <c r="C67" s="478" t="str">
        <f>C68&amp;"（含）"&amp;"-"&amp;D68</f>
        <v>0（含）-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 t="shared" si="20"/>
        <v>（含）-</v>
      </c>
      <c r="L67" s="478" t="str">
        <f t="shared" si="20"/>
        <v>（含）-</v>
      </c>
      <c r="M67" s="387" t="str">
        <f>M68&amp;"（含）"&amp;"-"&amp;P68</f>
        <v>（含）-</v>
      </c>
      <c r="N67" s="2522"/>
      <c r="O67" s="2522"/>
      <c r="P67" s="2513"/>
      <c r="Q67" s="2509"/>
      <c r="R67" s="2488"/>
      <c r="S67" s="2488"/>
      <c r="T67" s="2488"/>
      <c r="U67" s="2488"/>
      <c r="V67" s="2488"/>
      <c r="W67" s="2488"/>
      <c r="X67" s="2488"/>
      <c r="Y67" s="2488"/>
      <c r="Z67" s="2488"/>
      <c r="AA67" s="2488"/>
      <c r="AB67" s="2488"/>
      <c r="AC67" s="2488"/>
    </row>
    <row r="68" spans="1:29" ht="15">
      <c r="A68" s="367"/>
      <c r="B68" s="479"/>
      <c r="C68" s="480">
        <v>0</v>
      </c>
      <c r="D68" s="480"/>
      <c r="E68" s="480"/>
      <c r="F68" s="480"/>
      <c r="G68" s="480"/>
      <c r="H68" s="480"/>
      <c r="I68" s="480"/>
      <c r="J68" s="480"/>
      <c r="K68" s="481"/>
      <c r="L68" s="482"/>
      <c r="M68" s="483"/>
      <c r="N68" s="2521"/>
      <c r="O68" s="2521"/>
      <c r="P68" s="2513"/>
      <c r="Q68" s="2509"/>
      <c r="R68" s="2488"/>
      <c r="S68" s="2488"/>
      <c r="T68" s="2488"/>
      <c r="U68" s="2488"/>
      <c r="V68" s="2488"/>
      <c r="W68" s="2488"/>
      <c r="X68" s="2488"/>
      <c r="Y68" s="2488"/>
      <c r="Z68" s="2488"/>
      <c r="AA68" s="2488"/>
      <c r="AB68" s="2488"/>
      <c r="AC68" s="2488"/>
    </row>
    <row r="69" spans="1:29"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2522"/>
      <c r="O69" s="2522"/>
      <c r="P69" s="2513"/>
      <c r="Q69" s="2509"/>
      <c r="R69" s="2488"/>
      <c r="S69" s="2488"/>
      <c r="T69" s="2488"/>
      <c r="U69" s="2488"/>
      <c r="V69" s="2488"/>
      <c r="W69" s="2488"/>
      <c r="X69" s="2488"/>
      <c r="Y69" s="2488"/>
      <c r="Z69" s="2488"/>
      <c r="AA69" s="2488"/>
      <c r="AB69" s="2488"/>
      <c r="AC69" s="2488"/>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4"/>
      <c r="S70" s="2494"/>
      <c r="T70" s="2494"/>
      <c r="U70" s="2494"/>
      <c r="V70" s="2494"/>
      <c r="W70" s="2494"/>
      <c r="X70" s="2494"/>
      <c r="Y70" s="2494"/>
      <c r="Z70" s="2494"/>
      <c r="AA70" s="2494"/>
      <c r="AB70" s="2494"/>
      <c r="AC70" s="2494"/>
    </row>
    <row r="71" spans="1:29" s="408" customFormat="1" ht="15.75" thickBot="1">
      <c r="A71" s="484"/>
      <c r="B71" s="474"/>
      <c r="C71" s="491"/>
      <c r="D71" s="467"/>
      <c r="E71" s="467"/>
      <c r="F71" s="467"/>
      <c r="G71" s="467"/>
      <c r="H71" s="467"/>
      <c r="I71" s="467"/>
      <c r="J71" s="467"/>
      <c r="K71" s="467"/>
      <c r="L71" s="467"/>
      <c r="M71" s="468"/>
      <c r="N71" s="2522"/>
      <c r="O71" s="2522"/>
      <c r="P71" s="2514"/>
      <c r="Q71" s="2515"/>
      <c r="R71" s="2494"/>
      <c r="S71" s="2494"/>
      <c r="T71" s="2494"/>
      <c r="U71" s="2494"/>
      <c r="V71" s="2494"/>
      <c r="W71" s="2494"/>
      <c r="X71" s="2494"/>
      <c r="Y71" s="2494"/>
      <c r="Z71" s="2494"/>
      <c r="AA71" s="2494"/>
      <c r="AB71" s="2494"/>
      <c r="AC71" s="2494"/>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4"/>
      <c r="S72" s="2494"/>
      <c r="T72" s="2494"/>
      <c r="U72" s="2494"/>
      <c r="V72" s="2494"/>
      <c r="W72" s="2494"/>
      <c r="X72" s="2494"/>
      <c r="Y72" s="2494"/>
      <c r="Z72" s="2494"/>
      <c r="AA72" s="2494"/>
      <c r="AB72" s="2494"/>
      <c r="AC72" s="2494"/>
    </row>
    <row r="73" spans="1:29" s="408" customFormat="1" ht="15.75" thickBot="1">
      <c r="A73" s="484"/>
      <c r="B73" s="474"/>
      <c r="C73" s="491"/>
      <c r="D73" s="467"/>
      <c r="E73" s="467"/>
      <c r="F73" s="467"/>
      <c r="G73" s="491"/>
      <c r="H73" s="493"/>
      <c r="I73" s="493"/>
      <c r="J73" s="493"/>
      <c r="K73" s="493"/>
      <c r="L73" s="493"/>
      <c r="M73" s="494"/>
      <c r="N73" s="2523"/>
      <c r="O73" s="2523"/>
      <c r="P73" s="2514"/>
      <c r="Q73" s="2515"/>
      <c r="R73" s="2494"/>
      <c r="S73" s="2494"/>
      <c r="T73" s="2494"/>
      <c r="U73" s="2494"/>
      <c r="V73" s="2494"/>
      <c r="W73" s="2494"/>
      <c r="X73" s="2494"/>
      <c r="Y73" s="2494"/>
      <c r="Z73" s="2494"/>
      <c r="AA73" s="2494"/>
      <c r="AB73" s="2494"/>
      <c r="AC73" s="2494"/>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4"/>
      <c r="S74" s="2494"/>
      <c r="T74" s="2494"/>
      <c r="U74" s="2494"/>
      <c r="V74" s="2494"/>
      <c r="W74" s="2494"/>
      <c r="X74" s="2494"/>
      <c r="Y74" s="2494"/>
      <c r="Z74" s="2494"/>
      <c r="AA74" s="2494"/>
      <c r="AB74" s="2494"/>
      <c r="AC74" s="2494"/>
    </row>
    <row r="75" spans="1:29" s="408" customFormat="1" ht="15.75" thickBot="1">
      <c r="A75" s="499"/>
      <c r="B75" s="500"/>
      <c r="C75" s="501"/>
      <c r="D75" s="501"/>
      <c r="E75" s="501"/>
      <c r="F75" s="501"/>
      <c r="G75" s="501"/>
      <c r="H75" s="502"/>
      <c r="I75" s="502"/>
      <c r="J75" s="502"/>
      <c r="K75" s="502"/>
      <c r="L75" s="502"/>
      <c r="M75" s="503"/>
      <c r="N75" s="2523"/>
      <c r="O75" s="2523"/>
      <c r="P75" s="2514"/>
      <c r="Q75" s="2515"/>
      <c r="R75" s="2494"/>
      <c r="S75" s="2494"/>
      <c r="T75" s="2494"/>
      <c r="U75" s="2494"/>
      <c r="V75" s="2494"/>
      <c r="W75" s="2494"/>
      <c r="X75" s="2494"/>
      <c r="Y75" s="2494"/>
      <c r="Z75" s="2494"/>
      <c r="AA75" s="2494"/>
      <c r="AB75" s="2494"/>
      <c r="AC75" s="2494"/>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9"/>
      <c r="R76" s="2488"/>
      <c r="S76" s="2488"/>
      <c r="T76" s="2488"/>
      <c r="U76" s="2488"/>
      <c r="V76" s="2488"/>
      <c r="W76" s="2488"/>
      <c r="X76" s="2488"/>
      <c r="Y76" s="2488"/>
      <c r="Z76" s="2488"/>
      <c r="AA76" s="2488"/>
      <c r="AB76" s="2488"/>
      <c r="AC76" s="2488"/>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9"/>
      <c r="R77" s="2488"/>
      <c r="S77" s="2488"/>
      <c r="T77" s="2488"/>
      <c r="U77" s="2488"/>
      <c r="V77" s="2488"/>
      <c r="W77" s="2488"/>
      <c r="X77" s="2488"/>
      <c r="Y77" s="2488"/>
      <c r="Z77" s="2488"/>
      <c r="AA77" s="2488"/>
      <c r="AB77" s="2488"/>
      <c r="AC77" s="2488"/>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9"/>
      <c r="R78" s="2488"/>
      <c r="S78" s="2488"/>
      <c r="T78" s="2488"/>
      <c r="U78" s="2488"/>
      <c r="V78" s="2488"/>
      <c r="W78" s="2488"/>
      <c r="X78" s="2488"/>
      <c r="Y78" s="2488"/>
      <c r="Z78" s="2488"/>
      <c r="AA78" s="2488"/>
      <c r="AB78" s="2488"/>
      <c r="AC78" s="2488"/>
    </row>
    <row r="79" spans="1:29" ht="15.75" thickBot="1">
      <c r="A79" s="367"/>
      <c r="B79" s="474"/>
      <c r="C79" s="475">
        <v>100</v>
      </c>
      <c r="D79" s="475">
        <f>C79-$K17</f>
        <v>97</v>
      </c>
      <c r="E79" s="475">
        <f>D79-$K17</f>
        <v>94</v>
      </c>
      <c r="F79" s="475">
        <f>E79-$K17</f>
        <v>91</v>
      </c>
      <c r="G79" s="475">
        <f>F79-$K17</f>
        <v>88</v>
      </c>
      <c r="H79" s="475"/>
      <c r="I79" s="475"/>
      <c r="J79" s="475"/>
      <c r="K79" s="475"/>
      <c r="L79" s="475"/>
      <c r="M79" s="476"/>
      <c r="N79" s="2522"/>
      <c r="O79" s="2522"/>
      <c r="P79" s="2513"/>
      <c r="Q79" s="2509"/>
      <c r="R79" s="2488"/>
      <c r="S79" s="2488"/>
      <c r="T79" s="2488"/>
      <c r="U79" s="2488"/>
      <c r="V79" s="2488"/>
      <c r="W79" s="2488"/>
      <c r="X79" s="2488"/>
      <c r="Y79" s="2488"/>
      <c r="Z79" s="2488"/>
      <c r="AA79" s="2488"/>
      <c r="AB79" s="2488"/>
      <c r="AC79" s="2488"/>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9"/>
      <c r="R80" s="2488"/>
      <c r="S80" s="2488"/>
      <c r="T80" s="2488"/>
      <c r="U80" s="2488"/>
      <c r="V80" s="2488"/>
      <c r="W80" s="2488"/>
      <c r="X80" s="2488"/>
      <c r="Y80" s="2488"/>
      <c r="Z80" s="2488"/>
      <c r="AA80" s="2488"/>
      <c r="AB80" s="2488"/>
      <c r="AC80" s="2488"/>
    </row>
    <row r="81" spans="1:29" ht="15.75" thickBot="1">
      <c r="A81" s="367"/>
      <c r="B81" s="474"/>
      <c r="C81" s="475">
        <v>100</v>
      </c>
      <c r="D81" s="475">
        <f>C81-$K19</f>
        <v>97</v>
      </c>
      <c r="E81" s="475">
        <f>D81-$K19</f>
        <v>94</v>
      </c>
      <c r="F81" s="475">
        <f>E81-$K19</f>
        <v>91</v>
      </c>
      <c r="G81" s="475">
        <f>F81-$K19</f>
        <v>88</v>
      </c>
      <c r="H81" s="475"/>
      <c r="I81" s="475"/>
      <c r="J81" s="475"/>
      <c r="K81" s="475"/>
      <c r="L81" s="475"/>
      <c r="M81" s="476"/>
      <c r="N81" s="2522"/>
      <c r="O81" s="2522"/>
      <c r="P81" s="2513"/>
      <c r="Q81" s="2509"/>
      <c r="R81" s="2488"/>
      <c r="S81" s="2488"/>
      <c r="T81" s="2488"/>
      <c r="U81" s="2488"/>
      <c r="V81" s="2488"/>
      <c r="W81" s="2488"/>
      <c r="X81" s="2488"/>
      <c r="Y81" s="2488"/>
      <c r="Z81" s="2488"/>
      <c r="AA81" s="2488"/>
      <c r="AB81" s="2488"/>
      <c r="AC81" s="2488"/>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9"/>
      <c r="R82" s="2488"/>
      <c r="S82" s="2488"/>
      <c r="T82" s="2488"/>
      <c r="U82" s="2488"/>
      <c r="V82" s="2488"/>
      <c r="W82" s="2488"/>
      <c r="X82" s="2488"/>
      <c r="Y82" s="2488"/>
      <c r="Z82" s="2488"/>
      <c r="AA82" s="2488"/>
      <c r="AB82" s="2488"/>
      <c r="AC82" s="2488"/>
    </row>
    <row r="83" spans="1:29" ht="15.75" thickBot="1">
      <c r="A83" s="367"/>
      <c r="B83" s="477"/>
      <c r="C83" s="475">
        <v>100</v>
      </c>
      <c r="D83" s="475">
        <f>C83-$K21</f>
        <v>98</v>
      </c>
      <c r="E83" s="475">
        <f t="shared" ref="E83:G83" si="22">D83-$K21</f>
        <v>96</v>
      </c>
      <c r="F83" s="475">
        <f t="shared" si="22"/>
        <v>94</v>
      </c>
      <c r="G83" s="475">
        <f t="shared" si="22"/>
        <v>92</v>
      </c>
      <c r="H83" s="581"/>
      <c r="I83" s="581"/>
      <c r="J83" s="581"/>
      <c r="K83" s="581"/>
      <c r="L83" s="581"/>
      <c r="M83" s="389"/>
      <c r="N83" s="2522"/>
      <c r="O83" s="2522"/>
      <c r="P83" s="2513"/>
      <c r="Q83" s="2509"/>
      <c r="R83" s="2488"/>
      <c r="S83" s="2488"/>
      <c r="T83" s="2488"/>
      <c r="U83" s="2488"/>
      <c r="V83" s="2488"/>
      <c r="W83" s="2488"/>
      <c r="X83" s="2488"/>
      <c r="Y83" s="2488"/>
      <c r="Z83" s="2488"/>
      <c r="AA83" s="2488"/>
      <c r="AB83" s="2488"/>
      <c r="AC83" s="2488"/>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9"/>
      <c r="R84" s="2488"/>
      <c r="S84" s="2488"/>
      <c r="T84" s="2488"/>
      <c r="U84" s="2488"/>
      <c r="V84" s="2488"/>
      <c r="W84" s="2488"/>
      <c r="X84" s="2488"/>
      <c r="Y84" s="2488"/>
      <c r="Z84" s="2488"/>
      <c r="AA84" s="2488"/>
      <c r="AB84" s="2488"/>
      <c r="AC84" s="2488"/>
    </row>
    <row r="85" spans="1:29" ht="15.75" thickBot="1">
      <c r="A85" s="367"/>
      <c r="B85" s="474"/>
      <c r="C85" s="475">
        <v>100</v>
      </c>
      <c r="D85" s="475">
        <f>C85-$K23</f>
        <v>97</v>
      </c>
      <c r="E85" s="475">
        <f>D85-$K23</f>
        <v>94</v>
      </c>
      <c r="F85" s="475">
        <f>E85-$K23</f>
        <v>91</v>
      </c>
      <c r="G85" s="475">
        <f>F85-$K23</f>
        <v>88</v>
      </c>
      <c r="H85" s="475"/>
      <c r="I85" s="475"/>
      <c r="J85" s="475"/>
      <c r="K85" s="475"/>
      <c r="L85" s="475"/>
      <c r="M85" s="476"/>
      <c r="N85" s="2522"/>
      <c r="O85" s="2522"/>
      <c r="P85" s="2513"/>
      <c r="Q85" s="2509"/>
      <c r="R85" s="2488"/>
      <c r="S85" s="2488"/>
      <c r="T85" s="2488"/>
      <c r="U85" s="2488"/>
      <c r="V85" s="2488"/>
      <c r="W85" s="2488"/>
      <c r="X85" s="2488"/>
      <c r="Y85" s="2488"/>
      <c r="Z85" s="2488"/>
      <c r="AA85" s="2488"/>
      <c r="AB85" s="2488"/>
      <c r="AC85" s="2488"/>
    </row>
    <row r="86" spans="1:29" s="102" customFormat="1" ht="15.75" thickTop="1">
      <c r="A86" s="370"/>
      <c r="B86" s="469" t="s">
        <v>1804</v>
      </c>
      <c r="C86" s="485"/>
      <c r="D86" s="485"/>
      <c r="E86" s="485"/>
      <c r="F86" s="485"/>
      <c r="G86" s="485"/>
      <c r="H86" s="485"/>
      <c r="I86" s="485"/>
      <c r="J86" s="485"/>
      <c r="K86" s="485"/>
      <c r="L86" s="510"/>
      <c r="M86" s="511"/>
      <c r="N86" s="2520"/>
      <c r="O86" s="2520"/>
      <c r="P86" s="2513"/>
      <c r="Q86" s="2509"/>
      <c r="R86" s="2440"/>
      <c r="S86" s="2440"/>
      <c r="T86" s="2440"/>
      <c r="U86" s="2440"/>
      <c r="V86" s="2440"/>
      <c r="W86" s="2440"/>
      <c r="X86" s="2440"/>
      <c r="Y86" s="2440"/>
      <c r="Z86" s="2440"/>
      <c r="AA86" s="2440"/>
      <c r="AB86" s="2440"/>
      <c r="AC86" s="2440"/>
    </row>
    <row r="87" spans="1:29" s="102" customFormat="1" ht="15.75" thickBot="1">
      <c r="A87" s="370"/>
      <c r="B87" s="474"/>
      <c r="C87" s="512">
        <v>100</v>
      </c>
      <c r="D87" s="475">
        <f t="shared" ref="D87:M87" si="23">C87-$K25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2522"/>
      <c r="O87" s="2522"/>
      <c r="P87" s="2513"/>
      <c r="Q87" s="2509"/>
      <c r="R87" s="2440"/>
      <c r="S87" s="2440"/>
      <c r="T87" s="2440"/>
      <c r="U87" s="2440"/>
      <c r="V87" s="2440"/>
      <c r="W87" s="2440"/>
      <c r="X87" s="2440"/>
      <c r="Y87" s="2440"/>
      <c r="Z87" s="2440"/>
      <c r="AA87" s="2440"/>
      <c r="AB87" s="2440"/>
      <c r="AC87" s="2440"/>
    </row>
    <row r="88" spans="1:29" s="102" customFormat="1" ht="15.75" thickTop="1">
      <c r="A88" s="370"/>
      <c r="B88" s="469" t="str">
        <f>B26</f>
        <v>平面位置/可视性</v>
      </c>
      <c r="C88" s="485"/>
      <c r="D88" s="485"/>
      <c r="E88" s="485"/>
      <c r="F88" s="1780"/>
      <c r="G88" s="485"/>
      <c r="H88" s="485"/>
      <c r="I88" s="485"/>
      <c r="J88" s="485"/>
      <c r="K88" s="485"/>
      <c r="L88" s="485"/>
      <c r="M88" s="511"/>
      <c r="N88" s="2520"/>
      <c r="O88" s="2520"/>
      <c r="P88" s="2513"/>
      <c r="Q88" s="2509"/>
      <c r="R88" s="2440"/>
      <c r="S88" s="2440"/>
      <c r="T88" s="2440"/>
      <c r="U88" s="2440"/>
      <c r="V88" s="2440"/>
      <c r="W88" s="2440"/>
      <c r="X88" s="2440"/>
      <c r="Y88" s="2440"/>
      <c r="Z88" s="2440"/>
      <c r="AA88" s="2440"/>
      <c r="AB88" s="2440"/>
      <c r="AC88" s="2440"/>
    </row>
    <row r="89" spans="1:29" s="102" customFormat="1" ht="15.75" thickBot="1">
      <c r="A89" s="370"/>
      <c r="B89" s="474"/>
      <c r="C89" s="491"/>
      <c r="D89" s="467"/>
      <c r="E89" s="467"/>
      <c r="F89" s="467"/>
      <c r="G89" s="467"/>
      <c r="H89" s="467"/>
      <c r="I89" s="467"/>
      <c r="J89" s="467"/>
      <c r="K89" s="467"/>
      <c r="L89" s="467"/>
      <c r="M89" s="467"/>
      <c r="N89" s="2522"/>
      <c r="O89" s="2522"/>
      <c r="P89" s="2513"/>
      <c r="Q89" s="2509"/>
      <c r="R89" s="2440"/>
      <c r="S89" s="2440"/>
      <c r="T89" s="2440"/>
      <c r="U89" s="2440"/>
      <c r="V89" s="2440"/>
      <c r="W89" s="2440"/>
      <c r="X89" s="2440"/>
      <c r="Y89" s="2440"/>
      <c r="Z89" s="2440"/>
      <c r="AA89" s="2440"/>
      <c r="AB89" s="2440"/>
      <c r="AC89" s="2440"/>
    </row>
    <row r="90" spans="1:29" s="408" customFormat="1" ht="15.75" thickTop="1">
      <c r="A90" s="484"/>
      <c r="B90" s="469" t="str">
        <f>B27</f>
        <v>人流量</v>
      </c>
      <c r="C90" s="485" t="s">
        <v>3564</v>
      </c>
      <c r="D90" s="485" t="s">
        <v>3548</v>
      </c>
      <c r="E90" s="485" t="s">
        <v>3530</v>
      </c>
      <c r="F90" s="485" t="s">
        <v>3565</v>
      </c>
      <c r="G90" s="485" t="s">
        <v>3566</v>
      </c>
      <c r="H90" s="486"/>
      <c r="I90" s="486"/>
      <c r="J90" s="486"/>
      <c r="K90" s="486"/>
      <c r="L90" s="487"/>
      <c r="M90" s="488"/>
      <c r="N90" s="2523"/>
      <c r="O90" s="2523"/>
      <c r="P90" s="2514"/>
      <c r="Q90" s="2515"/>
      <c r="R90" s="2494"/>
      <c r="S90" s="2494"/>
      <c r="T90" s="2494"/>
      <c r="U90" s="2494"/>
      <c r="V90" s="2494"/>
      <c r="W90" s="2494"/>
      <c r="X90" s="2494"/>
      <c r="Y90" s="2494"/>
      <c r="Z90" s="2494"/>
      <c r="AA90" s="2494"/>
      <c r="AB90" s="2494"/>
      <c r="AC90" s="2494"/>
    </row>
    <row r="91" spans="1:29" s="408" customFormat="1" ht="15.75" thickBot="1">
      <c r="A91" s="484"/>
      <c r="B91" s="474"/>
      <c r="C91" s="512">
        <v>100</v>
      </c>
      <c r="D91" s="475">
        <f>C91-$K27</f>
        <v>97</v>
      </c>
      <c r="E91" s="475">
        <f t="shared" ref="E91:M91" si="24">D91-$K27</f>
        <v>94</v>
      </c>
      <c r="F91" s="475">
        <f t="shared" si="24"/>
        <v>91</v>
      </c>
      <c r="G91" s="475">
        <f t="shared" si="24"/>
        <v>88</v>
      </c>
      <c r="H91" s="475">
        <f t="shared" si="24"/>
        <v>85</v>
      </c>
      <c r="I91" s="475">
        <f t="shared" si="24"/>
        <v>82</v>
      </c>
      <c r="J91" s="475">
        <f t="shared" si="24"/>
        <v>79</v>
      </c>
      <c r="K91" s="475">
        <f t="shared" si="24"/>
        <v>76</v>
      </c>
      <c r="L91" s="475">
        <f t="shared" si="24"/>
        <v>73</v>
      </c>
      <c r="M91" s="475">
        <f t="shared" si="24"/>
        <v>70</v>
      </c>
      <c r="N91" s="2523"/>
      <c r="O91" s="2523"/>
      <c r="P91" s="2514"/>
      <c r="Q91" s="2515"/>
      <c r="R91" s="2494"/>
      <c r="S91" s="2494"/>
      <c r="T91" s="2494"/>
      <c r="U91" s="2494"/>
      <c r="V91" s="2494"/>
      <c r="W91" s="2494"/>
      <c r="X91" s="2494"/>
      <c r="Y91" s="2494"/>
      <c r="Z91" s="2494"/>
      <c r="AA91" s="2494"/>
      <c r="AB91" s="2494"/>
      <c r="AC91" s="2494"/>
    </row>
    <row r="92" spans="1:29" ht="15.75" thickTop="1">
      <c r="A92" s="367"/>
      <c r="B92" s="469" t="str">
        <f>B28</f>
        <v>楼层</v>
      </c>
      <c r="C92" s="485"/>
      <c r="D92" s="485"/>
      <c r="E92" s="485"/>
      <c r="F92" s="485"/>
      <c r="G92" s="485"/>
      <c r="H92" s="485"/>
      <c r="I92" s="485"/>
      <c r="J92" s="485"/>
      <c r="K92" s="485"/>
      <c r="L92" s="510"/>
      <c r="M92" s="511"/>
      <c r="N92" s="2521"/>
      <c r="O92" s="2521"/>
      <c r="P92" s="2513"/>
      <c r="Q92" s="2509"/>
      <c r="R92" s="2488"/>
      <c r="S92" s="2488"/>
      <c r="T92" s="2488"/>
      <c r="U92" s="2488"/>
      <c r="V92" s="2488"/>
      <c r="W92" s="2488"/>
      <c r="X92" s="2488"/>
      <c r="Y92" s="2488"/>
      <c r="Z92" s="2488"/>
      <c r="AA92" s="2488"/>
      <c r="AB92" s="2488"/>
      <c r="AC92" s="2488"/>
    </row>
    <row r="93" spans="1:29" ht="15.75" thickBot="1">
      <c r="A93" s="367"/>
      <c r="B93" s="474"/>
      <c r="C93" s="467"/>
      <c r="D93" s="467"/>
      <c r="E93" s="467"/>
      <c r="F93" s="467"/>
      <c r="G93" s="467"/>
      <c r="H93" s="467"/>
      <c r="I93" s="467"/>
      <c r="J93" s="467"/>
      <c r="K93" s="467"/>
      <c r="L93" s="467"/>
      <c r="M93" s="468"/>
      <c r="N93" s="2522"/>
      <c r="O93" s="2522"/>
      <c r="P93" s="2513"/>
      <c r="Q93" s="2509"/>
      <c r="R93" s="2488"/>
      <c r="S93" s="2488"/>
      <c r="T93" s="2488"/>
      <c r="U93" s="2488"/>
      <c r="V93" s="2488"/>
      <c r="W93" s="2488"/>
      <c r="X93" s="2488"/>
      <c r="Y93" s="2488"/>
      <c r="Z93" s="2488"/>
      <c r="AA93" s="2488"/>
      <c r="AB93" s="2488"/>
      <c r="AC93" s="2488"/>
    </row>
    <row r="94" spans="1:29" ht="15.75" thickTop="1">
      <c r="A94" s="367"/>
      <c r="B94" s="469">
        <f>B29</f>
        <v>111</v>
      </c>
      <c r="C94" s="485"/>
      <c r="D94" s="485"/>
      <c r="E94" s="485"/>
      <c r="F94" s="485"/>
      <c r="G94" s="513"/>
      <c r="H94" s="513"/>
      <c r="I94" s="513"/>
      <c r="J94" s="513"/>
      <c r="K94" s="514"/>
      <c r="L94" s="515"/>
      <c r="M94" s="516"/>
      <c r="N94" s="2521"/>
      <c r="O94" s="2521"/>
      <c r="P94" s="2513"/>
      <c r="Q94" s="2509"/>
      <c r="R94" s="2488"/>
      <c r="S94" s="2488"/>
      <c r="T94" s="2488"/>
      <c r="U94" s="2488"/>
      <c r="V94" s="2488"/>
      <c r="W94" s="2488"/>
      <c r="X94" s="2488"/>
      <c r="Y94" s="2488"/>
      <c r="Z94" s="2488"/>
      <c r="AA94" s="2488"/>
      <c r="AB94" s="2488"/>
      <c r="AC94" s="2488"/>
    </row>
    <row r="95" spans="1:29" ht="15.75" thickBot="1">
      <c r="A95" s="367"/>
      <c r="B95" s="474"/>
      <c r="C95" s="491"/>
      <c r="D95" s="467"/>
      <c r="E95" s="467"/>
      <c r="F95" s="467"/>
      <c r="G95" s="467"/>
      <c r="H95" s="467"/>
      <c r="I95" s="467"/>
      <c r="J95" s="467"/>
      <c r="K95" s="467"/>
      <c r="L95" s="467"/>
      <c r="M95" s="468"/>
      <c r="N95" s="2522"/>
      <c r="O95" s="2522"/>
      <c r="P95" s="2513"/>
      <c r="Q95" s="2509"/>
      <c r="R95" s="2488"/>
      <c r="S95" s="2488"/>
      <c r="T95" s="2488"/>
      <c r="U95" s="2488"/>
      <c r="V95" s="2488"/>
      <c r="W95" s="2488"/>
      <c r="X95" s="2488"/>
      <c r="Y95" s="2488"/>
      <c r="Z95" s="2488"/>
      <c r="AA95" s="2488"/>
      <c r="AB95" s="2488"/>
      <c r="AC95" s="2488"/>
    </row>
    <row r="96" spans="1:29" ht="15.75" thickTop="1">
      <c r="A96" s="367"/>
      <c r="B96" s="469">
        <f>B30</f>
        <v>111</v>
      </c>
      <c r="C96" s="485"/>
      <c r="D96" s="485"/>
      <c r="E96" s="485"/>
      <c r="F96" s="485"/>
      <c r="G96" s="513"/>
      <c r="H96" s="513"/>
      <c r="I96" s="513"/>
      <c r="J96" s="513"/>
      <c r="K96" s="514"/>
      <c r="L96" s="515"/>
      <c r="M96" s="516"/>
      <c r="N96" s="2521"/>
      <c r="O96" s="2521"/>
      <c r="P96" s="2513"/>
      <c r="Q96" s="2509"/>
      <c r="R96" s="2488"/>
      <c r="S96" s="2488"/>
      <c r="T96" s="2488"/>
      <c r="U96" s="2488"/>
      <c r="V96" s="2488"/>
      <c r="W96" s="2488"/>
      <c r="X96" s="2488"/>
      <c r="Y96" s="2488"/>
      <c r="Z96" s="2488"/>
      <c r="AA96" s="2488"/>
      <c r="AB96" s="2488"/>
      <c r="AC96" s="2488"/>
    </row>
    <row r="97" spans="1:29" ht="15.75" thickBot="1">
      <c r="A97" s="367"/>
      <c r="B97" s="474"/>
      <c r="C97" s="491"/>
      <c r="D97" s="467"/>
      <c r="E97" s="467"/>
      <c r="F97" s="467"/>
      <c r="G97" s="467"/>
      <c r="H97" s="467"/>
      <c r="I97" s="467"/>
      <c r="J97" s="467"/>
      <c r="K97" s="467"/>
      <c r="L97" s="467"/>
      <c r="M97" s="468"/>
      <c r="N97" s="2522"/>
      <c r="O97" s="2522"/>
      <c r="P97" s="2513"/>
      <c r="Q97" s="2509"/>
      <c r="R97" s="2488"/>
      <c r="S97" s="2488"/>
      <c r="T97" s="2488"/>
      <c r="U97" s="2488"/>
      <c r="V97" s="2488"/>
      <c r="W97" s="2488"/>
      <c r="X97" s="2488"/>
      <c r="Y97" s="2488"/>
      <c r="Z97" s="2488"/>
      <c r="AA97" s="2488"/>
      <c r="AB97" s="2488"/>
      <c r="AC97" s="2488"/>
    </row>
    <row r="98" spans="1:29" ht="15.75" thickTop="1">
      <c r="A98" s="367"/>
      <c r="B98" s="477">
        <f>B31</f>
        <v>111</v>
      </c>
      <c r="C98" s="485"/>
      <c r="D98" s="485"/>
      <c r="E98" s="485"/>
      <c r="F98" s="485"/>
      <c r="G98" s="517"/>
      <c r="H98" s="517"/>
      <c r="I98" s="517"/>
      <c r="J98" s="517"/>
      <c r="K98" s="518"/>
      <c r="L98" s="519"/>
      <c r="M98" s="520"/>
      <c r="N98" s="2521"/>
      <c r="O98" s="2521"/>
      <c r="P98" s="2513"/>
      <c r="Q98" s="2509"/>
      <c r="R98" s="2488"/>
      <c r="S98" s="2488"/>
      <c r="T98" s="2488"/>
      <c r="U98" s="2488"/>
      <c r="V98" s="2488"/>
      <c r="W98" s="2488"/>
      <c r="X98" s="2488"/>
      <c r="Y98" s="2488"/>
      <c r="Z98" s="2488"/>
      <c r="AA98" s="2488"/>
      <c r="AB98" s="2488"/>
      <c r="AC98" s="2488"/>
    </row>
    <row r="99" spans="1:29" ht="15.75" thickBot="1">
      <c r="A99" s="375"/>
      <c r="B99" s="500"/>
      <c r="C99" s="501"/>
      <c r="D99" s="501"/>
      <c r="E99" s="501"/>
      <c r="F99" s="501"/>
      <c r="G99" s="521"/>
      <c r="H99" s="521"/>
      <c r="I99" s="521"/>
      <c r="J99" s="521"/>
      <c r="K99" s="521"/>
      <c r="L99" s="521"/>
      <c r="M99" s="522"/>
      <c r="N99" s="2522"/>
      <c r="O99" s="2522"/>
      <c r="P99" s="2513"/>
      <c r="Q99" s="2509"/>
      <c r="R99" s="2488"/>
      <c r="S99" s="2488"/>
      <c r="T99" s="2488"/>
      <c r="U99" s="2488"/>
      <c r="V99" s="2488"/>
      <c r="W99" s="2488"/>
      <c r="X99" s="2488"/>
      <c r="Y99" s="2488"/>
      <c r="Z99" s="2488"/>
      <c r="AA99" s="2488"/>
      <c r="AB99" s="2488"/>
      <c r="AC99" s="2488"/>
    </row>
    <row r="100" spans="1:29">
      <c r="A100" s="379" t="s">
        <v>1694</v>
      </c>
      <c r="B100" s="460" t="s">
        <v>1805</v>
      </c>
      <c r="C100" s="462" t="s">
        <v>3555</v>
      </c>
      <c r="D100" s="462" t="s">
        <v>3567</v>
      </c>
      <c r="E100" s="462" t="s">
        <v>3549</v>
      </c>
      <c r="F100" s="462"/>
      <c r="G100" s="462"/>
      <c r="H100" s="462"/>
      <c r="I100" s="462"/>
      <c r="J100" s="462"/>
      <c r="K100" s="463"/>
      <c r="L100" s="464"/>
      <c r="M100" s="465"/>
      <c r="N100" s="2521"/>
      <c r="O100" s="2521"/>
      <c r="P100" s="2513"/>
      <c r="Q100" s="2509"/>
      <c r="R100" s="2488"/>
      <c r="S100" s="2488"/>
      <c r="T100" s="2488"/>
      <c r="U100" s="2488"/>
      <c r="V100" s="2488"/>
      <c r="W100" s="2488"/>
      <c r="X100" s="2488"/>
      <c r="Y100" s="2488"/>
      <c r="Z100" s="2488"/>
      <c r="AA100" s="2488"/>
      <c r="AB100" s="2488"/>
      <c r="AC100" s="2488"/>
    </row>
    <row r="101" spans="1:29" ht="15.75" thickBot="1">
      <c r="A101" s="367"/>
      <c r="B101" s="474"/>
      <c r="C101" s="475">
        <v>100</v>
      </c>
      <c r="D101" s="475">
        <f t="shared" ref="D101:M101" si="25">C101-$K32</f>
        <v>97</v>
      </c>
      <c r="E101" s="475">
        <f t="shared" si="25"/>
        <v>94</v>
      </c>
      <c r="F101" s="475">
        <f t="shared" si="25"/>
        <v>91</v>
      </c>
      <c r="G101" s="475">
        <f t="shared" si="25"/>
        <v>88</v>
      </c>
      <c r="H101" s="475">
        <f t="shared" si="25"/>
        <v>85</v>
      </c>
      <c r="I101" s="475">
        <f t="shared" si="25"/>
        <v>82</v>
      </c>
      <c r="J101" s="475">
        <f t="shared" si="25"/>
        <v>79</v>
      </c>
      <c r="K101" s="475">
        <f t="shared" si="25"/>
        <v>76</v>
      </c>
      <c r="L101" s="475">
        <f t="shared" si="25"/>
        <v>73</v>
      </c>
      <c r="M101" s="476">
        <f t="shared" si="25"/>
        <v>70</v>
      </c>
      <c r="N101" s="2522"/>
      <c r="O101" s="2522"/>
      <c r="P101" s="2513"/>
      <c r="Q101" s="2509"/>
      <c r="R101" s="2488"/>
      <c r="S101" s="2488"/>
      <c r="T101" s="2488"/>
      <c r="U101" s="2488"/>
      <c r="V101" s="2488"/>
      <c r="W101" s="2488"/>
      <c r="X101" s="2488"/>
      <c r="Y101" s="2488"/>
      <c r="Z101" s="2488"/>
      <c r="AA101" s="2488"/>
      <c r="AB101" s="2488"/>
      <c r="AC101" s="2488"/>
    </row>
    <row r="102" spans="1:29" ht="29.25" thickTop="1">
      <c r="A102" s="367"/>
      <c r="B102" s="469" t="s">
        <v>1737</v>
      </c>
      <c r="C102" s="509" t="str">
        <f>C103&amp;"(含)"&amp;"-"&amp;D103</f>
        <v>0(含)-10000</v>
      </c>
      <c r="D102" s="509" t="str">
        <f t="shared" ref="D102:L102" si="26">D103&amp;"(含)"&amp;"-"&amp;E103</f>
        <v>10000(含)-20000</v>
      </c>
      <c r="E102" s="509" t="str">
        <f t="shared" si="26"/>
        <v>20000(含)-50000</v>
      </c>
      <c r="F102" s="509" t="str">
        <f t="shared" si="26"/>
        <v>50000(含)-100000</v>
      </c>
      <c r="G102" s="509" t="str">
        <f t="shared" si="26"/>
        <v>100000(含)-</v>
      </c>
      <c r="H102" s="509" t="str">
        <f t="shared" si="26"/>
        <v>(含)-</v>
      </c>
      <c r="I102" s="509" t="str">
        <f t="shared" si="26"/>
        <v>(含)-</v>
      </c>
      <c r="J102" s="509" t="str">
        <f t="shared" si="26"/>
        <v>(含)-</v>
      </c>
      <c r="K102" s="509" t="str">
        <f t="shared" si="26"/>
        <v>(含)-</v>
      </c>
      <c r="L102" s="509" t="str">
        <f t="shared" si="26"/>
        <v>(含)-</v>
      </c>
      <c r="M102" s="547" t="str">
        <f>M103&amp;"(含)"&amp;"-"&amp;P103</f>
        <v>(含)-</v>
      </c>
      <c r="N102" s="2520"/>
      <c r="O102" s="2520"/>
      <c r="P102" s="2513"/>
      <c r="Q102" s="2509"/>
      <c r="R102" s="2488"/>
      <c r="S102" s="2488"/>
      <c r="T102" s="2488"/>
      <c r="U102" s="2488"/>
      <c r="V102" s="2488"/>
      <c r="W102" s="2488"/>
      <c r="X102" s="2488"/>
      <c r="Y102" s="2488"/>
      <c r="Z102" s="2488"/>
      <c r="AA102" s="2488"/>
      <c r="AB102" s="2488"/>
      <c r="AC102" s="2488"/>
    </row>
    <row r="103" spans="1:29" s="408" customFormat="1">
      <c r="A103" s="406"/>
      <c r="B103" s="523"/>
      <c r="C103" s="6">
        <v>0</v>
      </c>
      <c r="D103" s="6">
        <v>10000</v>
      </c>
      <c r="E103" s="6">
        <v>20000</v>
      </c>
      <c r="F103" s="6">
        <v>50000</v>
      </c>
      <c r="G103" s="6">
        <v>100000</v>
      </c>
      <c r="H103" s="6"/>
      <c r="I103" s="6"/>
      <c r="J103" s="524"/>
      <c r="K103" s="524"/>
      <c r="L103" s="525"/>
      <c r="M103" s="526"/>
      <c r="N103" s="2523"/>
      <c r="O103" s="2523"/>
      <c r="P103" s="2514"/>
      <c r="Q103" s="2515"/>
      <c r="R103" s="2494"/>
      <c r="S103" s="2494"/>
      <c r="T103" s="2494"/>
      <c r="U103" s="2494"/>
      <c r="V103" s="2494"/>
      <c r="W103" s="2494"/>
      <c r="X103" s="2494"/>
      <c r="Y103" s="2494"/>
      <c r="Z103" s="2494"/>
      <c r="AA103" s="2494"/>
      <c r="AB103" s="2494"/>
      <c r="AC103" s="2494"/>
    </row>
    <row r="104" spans="1:29" s="408" customFormat="1" ht="15.75" thickBot="1">
      <c r="A104" s="484"/>
      <c r="B104" s="474"/>
      <c r="C104" s="491">
        <v>100</v>
      </c>
      <c r="D104" s="467">
        <v>95</v>
      </c>
      <c r="E104" s="467">
        <v>90</v>
      </c>
      <c r="F104" s="467">
        <v>85</v>
      </c>
      <c r="G104" s="467">
        <v>80</v>
      </c>
      <c r="H104" s="467"/>
      <c r="I104" s="467"/>
      <c r="J104" s="467"/>
      <c r="K104" s="467"/>
      <c r="L104" s="467"/>
      <c r="M104" s="468"/>
      <c r="N104" s="2522"/>
      <c r="O104" s="2522"/>
      <c r="P104" s="2514"/>
      <c r="Q104" s="2515"/>
      <c r="R104" s="2494"/>
      <c r="S104" s="2494"/>
      <c r="T104" s="2494"/>
      <c r="U104" s="2494"/>
      <c r="V104" s="2494"/>
      <c r="W104" s="2494"/>
      <c r="X104" s="2494"/>
      <c r="Y104" s="2494"/>
      <c r="Z104" s="2494"/>
      <c r="AA104" s="2494"/>
      <c r="AB104" s="2494"/>
      <c r="AC104" s="2494"/>
    </row>
    <row r="105" spans="1:29" ht="15" thickTop="1">
      <c r="A105" s="409"/>
      <c r="B105" s="469" t="s">
        <v>1738</v>
      </c>
      <c r="C105" s="485"/>
      <c r="D105" s="485"/>
      <c r="E105" s="513"/>
      <c r="F105" s="513"/>
      <c r="G105" s="513"/>
      <c r="H105" s="513"/>
      <c r="I105" s="513"/>
      <c r="J105" s="513"/>
      <c r="K105" s="514"/>
      <c r="L105" s="515"/>
      <c r="M105" s="516"/>
      <c r="N105" s="2521"/>
      <c r="O105" s="2521"/>
      <c r="P105" s="2513"/>
      <c r="Q105" s="2509"/>
      <c r="R105" s="2488"/>
      <c r="S105" s="2488"/>
      <c r="T105" s="2488"/>
      <c r="U105" s="2488"/>
      <c r="V105" s="2488"/>
      <c r="W105" s="2488"/>
      <c r="X105" s="2488"/>
      <c r="Y105" s="2488"/>
      <c r="Z105" s="2488"/>
      <c r="AA105" s="2488"/>
      <c r="AB105" s="2488"/>
      <c r="AC105" s="2488"/>
    </row>
    <row r="106" spans="1:29" ht="15.75" thickBot="1">
      <c r="A106" s="367"/>
      <c r="B106" s="474"/>
      <c r="C106" s="475">
        <v>100</v>
      </c>
      <c r="D106" s="475">
        <f t="shared" ref="D106:M106" si="27">C106-$K34</f>
        <v>98</v>
      </c>
      <c r="E106" s="475">
        <f t="shared" si="27"/>
        <v>96</v>
      </c>
      <c r="F106" s="475">
        <f t="shared" si="27"/>
        <v>94</v>
      </c>
      <c r="G106" s="475">
        <f t="shared" si="27"/>
        <v>92</v>
      </c>
      <c r="H106" s="475">
        <f t="shared" si="27"/>
        <v>90</v>
      </c>
      <c r="I106" s="475">
        <f t="shared" si="27"/>
        <v>88</v>
      </c>
      <c r="J106" s="475">
        <f t="shared" si="27"/>
        <v>86</v>
      </c>
      <c r="K106" s="475">
        <f t="shared" si="27"/>
        <v>84</v>
      </c>
      <c r="L106" s="475">
        <f t="shared" si="27"/>
        <v>82</v>
      </c>
      <c r="M106" s="476">
        <f t="shared" si="27"/>
        <v>80</v>
      </c>
      <c r="N106" s="2522"/>
      <c r="O106" s="2522"/>
      <c r="P106" s="2513"/>
      <c r="Q106" s="2509"/>
      <c r="R106" s="2488"/>
      <c r="S106" s="2488"/>
      <c r="T106" s="2488"/>
      <c r="U106" s="2488"/>
      <c r="V106" s="2488"/>
      <c r="W106" s="2488"/>
      <c r="X106" s="2488"/>
      <c r="Y106" s="2488"/>
      <c r="Z106" s="2488"/>
      <c r="AA106" s="2488"/>
      <c r="AB106" s="2488"/>
      <c r="AC106" s="2488"/>
    </row>
    <row r="107" spans="1:29" ht="15" thickTop="1">
      <c r="A107" s="409"/>
      <c r="B107" s="469" t="s">
        <v>1740</v>
      </c>
      <c r="C107" s="485"/>
      <c r="D107" s="485"/>
      <c r="E107" s="485"/>
      <c r="F107" s="513"/>
      <c r="G107" s="513"/>
      <c r="H107" s="513"/>
      <c r="I107" s="513"/>
      <c r="J107" s="513"/>
      <c r="K107" s="514"/>
      <c r="L107" s="515"/>
      <c r="M107" s="516"/>
      <c r="N107" s="2521"/>
      <c r="O107" s="2521"/>
      <c r="P107" s="2513"/>
      <c r="Q107" s="2509"/>
      <c r="R107" s="2488"/>
      <c r="S107" s="2488"/>
      <c r="T107" s="2488"/>
      <c r="U107" s="2488"/>
      <c r="V107" s="2488"/>
      <c r="W107" s="2488"/>
      <c r="X107" s="2488"/>
      <c r="Y107" s="2488"/>
      <c r="Z107" s="2488"/>
      <c r="AA107" s="2488"/>
      <c r="AB107" s="2488"/>
      <c r="AC107" s="2488"/>
    </row>
    <row r="108" spans="1:29" ht="15.75" thickBot="1">
      <c r="A108" s="367"/>
      <c r="B108" s="474"/>
      <c r="C108" s="475">
        <v>100</v>
      </c>
      <c r="D108" s="475">
        <f t="shared" ref="D108:M108" si="28">C108-$K35</f>
        <v>98</v>
      </c>
      <c r="E108" s="475">
        <f t="shared" si="28"/>
        <v>96</v>
      </c>
      <c r="F108" s="475">
        <f t="shared" si="28"/>
        <v>94</v>
      </c>
      <c r="G108" s="475">
        <f t="shared" si="28"/>
        <v>92</v>
      </c>
      <c r="H108" s="475">
        <f t="shared" si="28"/>
        <v>90</v>
      </c>
      <c r="I108" s="475">
        <f t="shared" si="28"/>
        <v>88</v>
      </c>
      <c r="J108" s="475">
        <f t="shared" si="28"/>
        <v>86</v>
      </c>
      <c r="K108" s="475">
        <f t="shared" si="28"/>
        <v>84</v>
      </c>
      <c r="L108" s="475">
        <f t="shared" si="28"/>
        <v>82</v>
      </c>
      <c r="M108" s="476">
        <f t="shared" si="28"/>
        <v>80</v>
      </c>
      <c r="N108" s="2522"/>
      <c r="O108" s="2522"/>
      <c r="P108" s="2513"/>
      <c r="Q108" s="2509"/>
      <c r="R108" s="2488"/>
      <c r="S108" s="2488"/>
      <c r="T108" s="2488"/>
      <c r="U108" s="2488"/>
      <c r="V108" s="2488"/>
      <c r="W108" s="2488"/>
      <c r="X108" s="2488"/>
      <c r="Y108" s="2488"/>
      <c r="Z108" s="2488"/>
      <c r="AA108" s="2488"/>
      <c r="AB108" s="2488"/>
      <c r="AC108" s="2488"/>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9"/>
      <c r="R109" s="2488"/>
      <c r="S109" s="2488"/>
      <c r="T109" s="2488"/>
      <c r="U109" s="2488"/>
      <c r="V109" s="2488"/>
      <c r="W109" s="2488"/>
      <c r="X109" s="2488"/>
      <c r="Y109" s="2488"/>
      <c r="Z109" s="2488"/>
      <c r="AA109" s="2488"/>
      <c r="AB109" s="2488"/>
      <c r="AC109" s="2488"/>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9"/>
      <c r="R110" s="2488"/>
      <c r="S110" s="2488"/>
      <c r="T110" s="2488"/>
      <c r="U110" s="2488"/>
      <c r="V110" s="2488"/>
      <c r="W110" s="2488"/>
      <c r="X110" s="2488"/>
      <c r="Y110" s="2488"/>
      <c r="Z110" s="2488"/>
      <c r="AA110" s="2488"/>
      <c r="AB110" s="2488"/>
      <c r="AC110" s="2488"/>
    </row>
    <row r="111" spans="1:29" ht="15.75" thickBot="1">
      <c r="A111" s="367"/>
      <c r="B111" s="474"/>
      <c r="C111" s="512">
        <v>100</v>
      </c>
      <c r="D111" s="475">
        <f>C111+$K36</f>
        <v>102</v>
      </c>
      <c r="E111" s="475">
        <f t="shared" ref="E111:M111" si="29">D111+$K36</f>
        <v>104</v>
      </c>
      <c r="F111" s="475">
        <f t="shared" si="29"/>
        <v>106</v>
      </c>
      <c r="G111" s="475">
        <f t="shared" si="29"/>
        <v>108</v>
      </c>
      <c r="H111" s="475">
        <f t="shared" si="29"/>
        <v>110</v>
      </c>
      <c r="I111" s="475">
        <f t="shared" si="29"/>
        <v>112</v>
      </c>
      <c r="J111" s="475">
        <f t="shared" si="29"/>
        <v>114</v>
      </c>
      <c r="K111" s="475">
        <f t="shared" si="29"/>
        <v>116</v>
      </c>
      <c r="L111" s="475">
        <f t="shared" si="29"/>
        <v>118</v>
      </c>
      <c r="M111" s="475">
        <f t="shared" si="29"/>
        <v>120</v>
      </c>
      <c r="N111" s="2522"/>
      <c r="O111" s="2522"/>
      <c r="P111" s="2513"/>
      <c r="Q111" s="2509"/>
      <c r="R111" s="2488"/>
      <c r="S111" s="2488"/>
      <c r="T111" s="2488"/>
      <c r="U111" s="2488"/>
      <c r="V111" s="2488"/>
      <c r="W111" s="2488"/>
      <c r="X111" s="2488"/>
      <c r="Y111" s="2488"/>
      <c r="Z111" s="2488"/>
      <c r="AA111" s="2488"/>
      <c r="AB111" s="2488"/>
      <c r="AC111" s="2488"/>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4"/>
      <c r="S112" s="2494"/>
      <c r="T112" s="2494"/>
      <c r="U112" s="2494"/>
      <c r="V112" s="2494"/>
      <c r="W112" s="2494"/>
      <c r="X112" s="2494"/>
      <c r="Y112" s="2494"/>
      <c r="Z112" s="2494"/>
      <c r="AA112" s="2494"/>
      <c r="AB112" s="2494"/>
      <c r="AC112" s="2494"/>
    </row>
    <row r="113" spans="1:29" s="408" customFormat="1" ht="15.75" thickBot="1">
      <c r="A113" s="484"/>
      <c r="B113" s="474"/>
      <c r="C113" s="475">
        <v>100</v>
      </c>
      <c r="D113" s="475">
        <f>C113-$K37</f>
        <v>100</v>
      </c>
      <c r="E113" s="475">
        <f t="shared" ref="E113:M113" si="30">D113-$K37</f>
        <v>100</v>
      </c>
      <c r="F113" s="475">
        <f t="shared" si="30"/>
        <v>100</v>
      </c>
      <c r="G113" s="475">
        <f t="shared" si="30"/>
        <v>100</v>
      </c>
      <c r="H113" s="475">
        <f t="shared" si="30"/>
        <v>100</v>
      </c>
      <c r="I113" s="475">
        <f t="shared" si="30"/>
        <v>100</v>
      </c>
      <c r="J113" s="475">
        <f t="shared" si="30"/>
        <v>100</v>
      </c>
      <c r="K113" s="475">
        <f t="shared" si="30"/>
        <v>100</v>
      </c>
      <c r="L113" s="475">
        <f t="shared" si="30"/>
        <v>100</v>
      </c>
      <c r="M113" s="475">
        <f t="shared" si="30"/>
        <v>100</v>
      </c>
      <c r="N113" s="2523"/>
      <c r="O113" s="2523"/>
      <c r="P113" s="2514"/>
      <c r="Q113" s="2515"/>
      <c r="R113" s="2494"/>
      <c r="S113" s="2494"/>
      <c r="T113" s="2494"/>
      <c r="U113" s="2494"/>
      <c r="V113" s="2494"/>
      <c r="W113" s="2494"/>
      <c r="X113" s="2494"/>
      <c r="Y113" s="2494"/>
      <c r="Z113" s="2494"/>
      <c r="AA113" s="2494"/>
      <c r="AB113" s="2494"/>
      <c r="AC113" s="2494"/>
    </row>
    <row r="114" spans="1:29" ht="15" thickTop="1">
      <c r="A114" s="409"/>
      <c r="B114" s="469" t="s">
        <v>1806</v>
      </c>
      <c r="C114" s="485"/>
      <c r="D114" s="485"/>
      <c r="E114" s="513"/>
      <c r="F114" s="513"/>
      <c r="G114" s="513"/>
      <c r="H114" s="513"/>
      <c r="I114" s="513"/>
      <c r="J114" s="513"/>
      <c r="K114" s="514"/>
      <c r="L114" s="515"/>
      <c r="M114" s="516"/>
      <c r="N114" s="2521"/>
      <c r="O114" s="2521"/>
      <c r="P114" s="2513"/>
      <c r="Q114" s="2509"/>
      <c r="R114" s="2488"/>
      <c r="S114" s="2488"/>
      <c r="T114" s="2488"/>
      <c r="U114" s="2488"/>
      <c r="V114" s="2488"/>
      <c r="W114" s="2488"/>
      <c r="X114" s="2488"/>
      <c r="Y114" s="2488"/>
      <c r="Z114" s="2488"/>
      <c r="AA114" s="2488"/>
      <c r="AB114" s="2488"/>
      <c r="AC114" s="2488"/>
    </row>
    <row r="115" spans="1:29" ht="15.75" thickBot="1">
      <c r="A115" s="367"/>
      <c r="B115" s="474"/>
      <c r="C115" s="475">
        <v>100</v>
      </c>
      <c r="D115" s="475">
        <f t="shared" ref="D115:M115" si="31">C115-$K38</f>
        <v>100</v>
      </c>
      <c r="E115" s="475">
        <f t="shared" si="31"/>
        <v>100</v>
      </c>
      <c r="F115" s="475">
        <f t="shared" si="31"/>
        <v>100</v>
      </c>
      <c r="G115" s="475">
        <f t="shared" si="31"/>
        <v>100</v>
      </c>
      <c r="H115" s="475">
        <f t="shared" si="31"/>
        <v>100</v>
      </c>
      <c r="I115" s="475">
        <f t="shared" si="31"/>
        <v>100</v>
      </c>
      <c r="J115" s="475">
        <f t="shared" si="31"/>
        <v>100</v>
      </c>
      <c r="K115" s="475">
        <f t="shared" si="31"/>
        <v>100</v>
      </c>
      <c r="L115" s="475">
        <f t="shared" si="31"/>
        <v>100</v>
      </c>
      <c r="M115" s="476">
        <f t="shared" si="31"/>
        <v>100</v>
      </c>
      <c r="N115" s="2522"/>
      <c r="O115" s="2522"/>
      <c r="P115" s="2513"/>
      <c r="Q115" s="2509"/>
      <c r="R115" s="2488"/>
      <c r="S115" s="2488"/>
      <c r="T115" s="2488"/>
      <c r="U115" s="2488"/>
      <c r="V115" s="2488"/>
      <c r="W115" s="2488"/>
      <c r="X115" s="2488"/>
      <c r="Y115" s="2488"/>
      <c r="Z115" s="2488"/>
      <c r="AA115" s="2488"/>
      <c r="AB115" s="2488"/>
      <c r="AC115" s="2488"/>
    </row>
    <row r="116" spans="1:29" ht="15" thickTop="1">
      <c r="A116" s="409"/>
      <c r="B116" s="469" t="s">
        <v>1807</v>
      </c>
      <c r="C116" s="485"/>
      <c r="D116" s="485"/>
      <c r="E116" s="485"/>
      <c r="F116" s="485"/>
      <c r="G116" s="485"/>
      <c r="H116" s="513"/>
      <c r="I116" s="513"/>
      <c r="J116" s="513"/>
      <c r="K116" s="514"/>
      <c r="L116" s="515"/>
      <c r="M116" s="516"/>
      <c r="N116" s="2521"/>
      <c r="O116" s="2521"/>
      <c r="P116" s="2513"/>
      <c r="Q116" s="2509"/>
      <c r="R116" s="2488"/>
      <c r="S116" s="2488"/>
      <c r="T116" s="2488"/>
      <c r="U116" s="2488"/>
      <c r="V116" s="2488"/>
      <c r="W116" s="2488"/>
      <c r="X116" s="2488"/>
      <c r="Y116" s="2488"/>
      <c r="Z116" s="2488"/>
      <c r="AA116" s="2488"/>
      <c r="AB116" s="2488"/>
      <c r="AC116" s="2488"/>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2"/>
      <c r="O117" s="2522"/>
      <c r="P117" s="2513"/>
      <c r="Q117" s="2509"/>
      <c r="R117" s="2488"/>
      <c r="S117" s="2488"/>
      <c r="T117" s="2488"/>
      <c r="U117" s="2488"/>
      <c r="V117" s="2488"/>
      <c r="W117" s="2488"/>
      <c r="X117" s="2488"/>
      <c r="Y117" s="2488"/>
      <c r="Z117" s="2488"/>
      <c r="AA117" s="2488"/>
      <c r="AB117" s="2488"/>
      <c r="AC117" s="2488"/>
    </row>
    <row r="118" spans="1:29" ht="15" thickTop="1">
      <c r="A118" s="409"/>
      <c r="B118" s="469" t="s">
        <v>1808</v>
      </c>
      <c r="C118" s="552"/>
      <c r="D118" s="552"/>
      <c r="E118" s="552"/>
      <c r="F118" s="552"/>
      <c r="G118" s="552"/>
      <c r="H118" s="486"/>
      <c r="I118" s="486"/>
      <c r="J118" s="486"/>
      <c r="K118" s="486"/>
      <c r="L118" s="487"/>
      <c r="M118" s="488"/>
      <c r="N118" s="2521"/>
      <c r="O118" s="2521"/>
      <c r="P118" s="2513"/>
      <c r="Q118" s="2509"/>
      <c r="R118" s="2488"/>
      <c r="S118" s="2488"/>
      <c r="T118" s="2488"/>
      <c r="U118" s="2488"/>
      <c r="V118" s="2488"/>
      <c r="W118" s="2488"/>
      <c r="X118" s="2488"/>
      <c r="Y118" s="2488"/>
      <c r="Z118" s="2488"/>
      <c r="AA118" s="2488"/>
      <c r="AB118" s="2488"/>
      <c r="AC118" s="2488"/>
    </row>
    <row r="119" spans="1:29" ht="15.75" thickBot="1">
      <c r="A119" s="367"/>
      <c r="B119" s="474"/>
      <c r="C119" s="491"/>
      <c r="D119" s="467"/>
      <c r="E119" s="467"/>
      <c r="F119" s="467"/>
      <c r="G119" s="467"/>
      <c r="H119" s="467"/>
      <c r="I119" s="467"/>
      <c r="J119" s="467"/>
      <c r="K119" s="467"/>
      <c r="L119" s="467"/>
      <c r="M119" s="468"/>
      <c r="N119" s="2522"/>
      <c r="O119" s="2522"/>
      <c r="P119" s="2513"/>
      <c r="Q119" s="2509"/>
      <c r="R119" s="2488"/>
      <c r="S119" s="2488"/>
      <c r="T119" s="2488"/>
      <c r="U119" s="2488"/>
      <c r="V119" s="2488"/>
      <c r="W119" s="2488"/>
      <c r="X119" s="2488"/>
      <c r="Y119" s="2488"/>
      <c r="Z119" s="2488"/>
      <c r="AA119" s="2488"/>
      <c r="AB119" s="2488"/>
      <c r="AC119" s="2488"/>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4"/>
      <c r="S120" s="2494"/>
      <c r="T120" s="2494"/>
      <c r="U120" s="2494"/>
      <c r="V120" s="2494"/>
      <c r="W120" s="2494"/>
      <c r="X120" s="2494"/>
      <c r="Y120" s="2494"/>
      <c r="Z120" s="2494"/>
      <c r="AA120" s="2494"/>
      <c r="AB120" s="2494"/>
      <c r="AC120" s="2494"/>
    </row>
    <row r="121" spans="1:29" s="408" customFormat="1" ht="15.75" thickBot="1">
      <c r="A121" s="484"/>
      <c r="B121" s="466"/>
      <c r="C121" s="512">
        <v>100</v>
      </c>
      <c r="D121" s="475">
        <f>C121-$K41</f>
        <v>100</v>
      </c>
      <c r="E121" s="475">
        <f t="shared" ref="E121:M121" si="32">D121-$K41</f>
        <v>100</v>
      </c>
      <c r="F121" s="475">
        <f t="shared" si="32"/>
        <v>100</v>
      </c>
      <c r="G121" s="475">
        <f t="shared" si="32"/>
        <v>100</v>
      </c>
      <c r="H121" s="475">
        <f t="shared" si="32"/>
        <v>100</v>
      </c>
      <c r="I121" s="475">
        <f t="shared" si="32"/>
        <v>100</v>
      </c>
      <c r="J121" s="475">
        <f t="shared" si="32"/>
        <v>100</v>
      </c>
      <c r="K121" s="475">
        <f t="shared" si="32"/>
        <v>100</v>
      </c>
      <c r="L121" s="475">
        <f t="shared" si="32"/>
        <v>100</v>
      </c>
      <c r="M121" s="476">
        <f t="shared" si="32"/>
        <v>100</v>
      </c>
      <c r="N121" s="2523"/>
      <c r="O121" s="2523"/>
      <c r="P121" s="2514"/>
      <c r="Q121" s="2515"/>
      <c r="R121" s="2494"/>
      <c r="S121" s="2494"/>
      <c r="T121" s="2494"/>
      <c r="U121" s="2494"/>
      <c r="V121" s="2494"/>
      <c r="W121" s="2494"/>
      <c r="X121" s="2494"/>
      <c r="Y121" s="2494"/>
      <c r="Z121" s="2494"/>
      <c r="AA121" s="2494"/>
      <c r="AB121" s="2494"/>
      <c r="AC121" s="2494"/>
    </row>
    <row r="122" spans="1:29" ht="15" thickTop="1">
      <c r="A122" s="409"/>
      <c r="B122" s="469" t="s">
        <v>1744</v>
      </c>
      <c r="C122" s="485"/>
      <c r="D122" s="485"/>
      <c r="E122" s="485"/>
      <c r="F122" s="513"/>
      <c r="G122" s="513"/>
      <c r="H122" s="513"/>
      <c r="I122" s="513"/>
      <c r="J122" s="513"/>
      <c r="K122" s="514"/>
      <c r="L122" s="515"/>
      <c r="M122" s="516"/>
      <c r="N122" s="2521"/>
      <c r="O122" s="2521"/>
      <c r="P122" s="2513"/>
      <c r="Q122" s="2509"/>
      <c r="R122" s="2488"/>
      <c r="S122" s="2488"/>
      <c r="T122" s="2488"/>
      <c r="U122" s="2488"/>
      <c r="V122" s="2488"/>
      <c r="W122" s="2488"/>
      <c r="X122" s="2488"/>
      <c r="Y122" s="2488"/>
      <c r="Z122" s="2488"/>
      <c r="AA122" s="2488"/>
      <c r="AB122" s="2488"/>
      <c r="AC122" s="2488"/>
    </row>
    <row r="123" spans="1:29" ht="15.75" thickBot="1">
      <c r="A123" s="367"/>
      <c r="B123" s="474"/>
      <c r="C123" s="475">
        <v>100</v>
      </c>
      <c r="D123" s="475">
        <f t="shared" ref="D123:M123" si="33">C123-$K42</f>
        <v>100</v>
      </c>
      <c r="E123" s="475">
        <f t="shared" si="33"/>
        <v>100</v>
      </c>
      <c r="F123" s="475">
        <f t="shared" si="33"/>
        <v>100</v>
      </c>
      <c r="G123" s="475">
        <f t="shared" si="33"/>
        <v>100</v>
      </c>
      <c r="H123" s="475">
        <f t="shared" si="33"/>
        <v>100</v>
      </c>
      <c r="I123" s="475">
        <f t="shared" si="33"/>
        <v>100</v>
      </c>
      <c r="J123" s="475">
        <f t="shared" si="33"/>
        <v>100</v>
      </c>
      <c r="K123" s="475">
        <f t="shared" si="33"/>
        <v>100</v>
      </c>
      <c r="L123" s="475">
        <f t="shared" si="33"/>
        <v>100</v>
      </c>
      <c r="M123" s="476">
        <f t="shared" si="33"/>
        <v>100</v>
      </c>
      <c r="N123" s="2522"/>
      <c r="O123" s="2522"/>
      <c r="P123" s="2513"/>
      <c r="Q123" s="2509"/>
      <c r="R123" s="2488"/>
      <c r="S123" s="2488"/>
      <c r="T123" s="2488"/>
      <c r="U123" s="2488"/>
      <c r="V123" s="2488"/>
      <c r="W123" s="2488"/>
      <c r="X123" s="2488"/>
      <c r="Y123" s="2488"/>
      <c r="Z123" s="2488"/>
      <c r="AA123" s="2488"/>
      <c r="AB123" s="2488"/>
      <c r="AC123" s="2488"/>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9"/>
      <c r="R124" s="2488"/>
      <c r="S124" s="2488"/>
      <c r="T124" s="2488"/>
      <c r="U124" s="2488"/>
      <c r="V124" s="2488"/>
      <c r="W124" s="2488"/>
      <c r="X124" s="2488"/>
      <c r="Y124" s="2488"/>
      <c r="Z124" s="2488"/>
      <c r="AA124" s="2488"/>
      <c r="AB124" s="2488"/>
      <c r="AC124" s="2488"/>
    </row>
    <row r="125" spans="1:29" ht="15.75" thickBot="1">
      <c r="A125" s="367"/>
      <c r="B125" s="474"/>
      <c r="C125" s="475">
        <v>100</v>
      </c>
      <c r="D125" s="475">
        <f>C125-$K43</f>
        <v>98</v>
      </c>
      <c r="E125" s="475">
        <f>D125-$K43</f>
        <v>96</v>
      </c>
      <c r="F125" s="475">
        <f>E125-$K43</f>
        <v>94</v>
      </c>
      <c r="G125" s="475">
        <f>F125-$K43</f>
        <v>92</v>
      </c>
      <c r="H125" s="475"/>
      <c r="I125" s="475"/>
      <c r="J125" s="475"/>
      <c r="K125" s="475"/>
      <c r="L125" s="475"/>
      <c r="M125" s="476"/>
      <c r="N125" s="2522"/>
      <c r="O125" s="2522"/>
      <c r="P125" s="2513"/>
      <c r="Q125" s="2509"/>
      <c r="R125" s="2488"/>
      <c r="S125" s="2488"/>
      <c r="T125" s="2488"/>
      <c r="U125" s="2488"/>
      <c r="V125" s="2488"/>
      <c r="W125" s="2488"/>
      <c r="X125" s="2488"/>
      <c r="Y125" s="2488"/>
      <c r="Z125" s="2488"/>
      <c r="AA125" s="2488"/>
      <c r="AB125" s="2488"/>
      <c r="AC125" s="2488"/>
    </row>
    <row r="126" spans="1:29" s="408" customFormat="1" ht="15" thickTop="1">
      <c r="A126" s="406"/>
      <c r="B126" s="469" t="str">
        <f>B44</f>
        <v>地下占比</v>
      </c>
      <c r="C126" s="485" t="s">
        <v>3551</v>
      </c>
      <c r="D126" s="485" t="s">
        <v>3554</v>
      </c>
      <c r="E126" s="485" t="s">
        <v>3568</v>
      </c>
      <c r="F126" s="485" t="s">
        <v>3569</v>
      </c>
      <c r="G126" s="485"/>
      <c r="H126" s="486"/>
      <c r="I126" s="486"/>
      <c r="J126" s="486"/>
      <c r="K126" s="486"/>
      <c r="L126" s="487"/>
      <c r="M126" s="488"/>
      <c r="N126" s="2523"/>
      <c r="O126" s="2523"/>
      <c r="P126" s="2514"/>
      <c r="Q126" s="2515"/>
      <c r="R126" s="2494"/>
      <c r="S126" s="2494"/>
      <c r="T126" s="2494"/>
      <c r="U126" s="2494"/>
      <c r="V126" s="2494"/>
      <c r="W126" s="2494"/>
      <c r="X126" s="2494"/>
      <c r="Y126" s="2494"/>
      <c r="Z126" s="2494"/>
      <c r="AA126" s="2494"/>
      <c r="AB126" s="2494"/>
      <c r="AC126" s="2494"/>
    </row>
    <row r="127" spans="1:29" s="408" customFormat="1" ht="15.75" thickBot="1">
      <c r="A127" s="484"/>
      <c r="B127" s="474"/>
      <c r="C127" s="491">
        <v>100</v>
      </c>
      <c r="D127" s="467">
        <v>95</v>
      </c>
      <c r="E127" s="467">
        <v>90</v>
      </c>
      <c r="F127" s="467">
        <v>85</v>
      </c>
      <c r="G127" s="491"/>
      <c r="H127" s="493"/>
      <c r="I127" s="493"/>
      <c r="J127" s="493"/>
      <c r="K127" s="493"/>
      <c r="L127" s="493"/>
      <c r="M127" s="494"/>
      <c r="N127" s="2523"/>
      <c r="O127" s="2523"/>
      <c r="P127" s="2514"/>
      <c r="Q127" s="2515"/>
      <c r="R127" s="2494"/>
      <c r="S127" s="2494"/>
      <c r="T127" s="2494"/>
      <c r="U127" s="2494"/>
      <c r="V127" s="2494"/>
      <c r="W127" s="2494"/>
      <c r="X127" s="2494"/>
      <c r="Y127" s="2494"/>
      <c r="Z127" s="2494"/>
      <c r="AA127" s="2494"/>
      <c r="AB127" s="2494"/>
      <c r="AC127" s="2494"/>
    </row>
    <row r="128" spans="1:29" ht="15" thickTop="1">
      <c r="A128" s="409"/>
      <c r="B128" s="469">
        <f>B45</f>
        <v>111</v>
      </c>
      <c r="C128" s="485"/>
      <c r="D128" s="485"/>
      <c r="E128" s="485"/>
      <c r="F128" s="485"/>
      <c r="G128" s="513"/>
      <c r="H128" s="513"/>
      <c r="I128" s="513"/>
      <c r="J128" s="513"/>
      <c r="K128" s="514"/>
      <c r="L128" s="515"/>
      <c r="M128" s="516"/>
      <c r="N128" s="2521"/>
      <c r="O128" s="2521"/>
      <c r="P128" s="2513"/>
      <c r="Q128" s="2509"/>
      <c r="R128" s="2488"/>
      <c r="S128" s="2488"/>
      <c r="T128" s="2488"/>
      <c r="U128" s="2488"/>
      <c r="V128" s="2488"/>
      <c r="W128" s="2488"/>
      <c r="X128" s="2488"/>
      <c r="Y128" s="2488"/>
      <c r="Z128" s="2488"/>
      <c r="AA128" s="2488"/>
      <c r="AB128" s="2488"/>
      <c r="AC128" s="2488"/>
    </row>
    <row r="129" spans="1:29" ht="15.75" thickBot="1">
      <c r="A129" s="367"/>
      <c r="B129" s="474"/>
      <c r="C129" s="491"/>
      <c r="D129" s="467"/>
      <c r="E129" s="467"/>
      <c r="F129" s="467"/>
      <c r="G129" s="467"/>
      <c r="H129" s="467"/>
      <c r="I129" s="467"/>
      <c r="J129" s="467"/>
      <c r="K129" s="467"/>
      <c r="L129" s="467"/>
      <c r="M129" s="468"/>
      <c r="N129" s="2522"/>
      <c r="O129" s="2522"/>
      <c r="P129" s="2513"/>
      <c r="Q129" s="2509"/>
      <c r="R129" s="2488"/>
      <c r="S129" s="2488"/>
      <c r="T129" s="2488"/>
      <c r="U129" s="2488"/>
      <c r="V129" s="2488"/>
      <c r="W129" s="2488"/>
      <c r="X129" s="2488"/>
      <c r="Y129" s="2488"/>
      <c r="Z129" s="2488"/>
      <c r="AA129" s="2488"/>
      <c r="AB129" s="2488"/>
      <c r="AC129" s="2488"/>
    </row>
    <row r="130" spans="1:29" ht="15" thickTop="1">
      <c r="A130" s="409"/>
      <c r="B130" s="477">
        <f>B46</f>
        <v>111</v>
      </c>
      <c r="C130" s="485"/>
      <c r="D130" s="485"/>
      <c r="E130" s="485"/>
      <c r="F130" s="485"/>
      <c r="G130" s="517"/>
      <c r="H130" s="517"/>
      <c r="I130" s="517"/>
      <c r="J130" s="517"/>
      <c r="K130" s="31"/>
      <c r="L130" s="457"/>
      <c r="M130" s="520"/>
      <c r="N130" s="2521"/>
      <c r="O130" s="2521"/>
      <c r="P130" s="2513"/>
      <c r="Q130" s="2509"/>
      <c r="R130" s="2488"/>
      <c r="S130" s="2488"/>
      <c r="T130" s="2488"/>
      <c r="U130" s="2488"/>
      <c r="V130" s="2488"/>
      <c r="W130" s="2488"/>
      <c r="X130" s="2488"/>
      <c r="Y130" s="2488"/>
      <c r="Z130" s="2488"/>
      <c r="AA130" s="2488"/>
      <c r="AB130" s="2488"/>
      <c r="AC130" s="2488"/>
    </row>
    <row r="131" spans="1:29" ht="15.75" thickBot="1">
      <c r="A131" s="375"/>
      <c r="B131" s="500"/>
      <c r="C131" s="501"/>
      <c r="D131" s="501"/>
      <c r="E131" s="501"/>
      <c r="F131" s="501"/>
      <c r="G131" s="521"/>
      <c r="H131" s="521"/>
      <c r="I131" s="521"/>
      <c r="J131" s="521"/>
      <c r="K131" s="521"/>
      <c r="L131" s="521"/>
      <c r="M131" s="522"/>
      <c r="N131" s="2522"/>
      <c r="O131" s="2522"/>
      <c r="P131" s="2513"/>
      <c r="Q131" s="2509"/>
      <c r="R131" s="2488"/>
      <c r="S131" s="2488"/>
      <c r="T131" s="2488"/>
      <c r="U131" s="2488"/>
      <c r="V131" s="2488"/>
      <c r="W131" s="2488"/>
      <c r="X131" s="2488"/>
      <c r="Y131" s="2488"/>
      <c r="Z131" s="2488"/>
      <c r="AA131" s="2488"/>
      <c r="AB131" s="2488"/>
      <c r="AC131" s="248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30" priority="16" stopIfTrue="1">
      <formula>$F$52="超过30%"</formula>
    </cfRule>
  </conditionalFormatting>
  <conditionalFormatting sqref="E53">
    <cfRule type="expression" dxfId="29" priority="15" stopIfTrue="1">
      <formula>$F$53="超过20%"</formula>
    </cfRule>
  </conditionalFormatting>
  <conditionalFormatting sqref="E54">
    <cfRule type="expression" dxfId="28" priority="14" stopIfTrue="1">
      <formula>$F$54="超过30%"</formula>
    </cfRule>
  </conditionalFormatting>
  <conditionalFormatting sqref="F7:F46 H7:H46 J7:J46">
    <cfRule type="cellIs" dxfId="27" priority="1" operator="notEqual">
      <formula>100</formula>
    </cfRule>
  </conditionalFormatting>
  <conditionalFormatting sqref="F48">
    <cfRule type="expression" dxfId="26" priority="4">
      <formula>$D$48="简单平均"</formula>
    </cfRule>
  </conditionalFormatting>
  <conditionalFormatting sqref="F52:F54 H52:H54">
    <cfRule type="containsText" dxfId="25" priority="17" stopIfTrue="1" operator="containsText" text="超过">
      <formula>NOT(ISERROR(SEARCH("超过",F52)))</formula>
    </cfRule>
  </conditionalFormatting>
  <conditionalFormatting sqref="G52">
    <cfRule type="expression" dxfId="24" priority="12" stopIfTrue="1">
      <formula>$H$52="超过30%"</formula>
    </cfRule>
  </conditionalFormatting>
  <conditionalFormatting sqref="G53">
    <cfRule type="expression" dxfId="23" priority="11" stopIfTrue="1">
      <formula>$H$53="超过20%"</formula>
    </cfRule>
  </conditionalFormatting>
  <conditionalFormatting sqref="G54">
    <cfRule type="expression" dxfId="22" priority="13" stopIfTrue="1">
      <formula>$H$54="超过30%"</formula>
    </cfRule>
  </conditionalFormatting>
  <conditionalFormatting sqref="H48">
    <cfRule type="expression" dxfId="21" priority="3">
      <formula>$D$48="简单平均"</formula>
    </cfRule>
  </conditionalFormatting>
  <conditionalFormatting sqref="I52">
    <cfRule type="expression" dxfId="20" priority="7" stopIfTrue="1">
      <formula>$J$52="超过30%"</formula>
    </cfRule>
  </conditionalFormatting>
  <conditionalFormatting sqref="I53">
    <cfRule type="expression" dxfId="19" priority="6" stopIfTrue="1">
      <formula>$J$53="超过20%"</formula>
    </cfRule>
  </conditionalFormatting>
  <conditionalFormatting sqref="I54">
    <cfRule type="expression" dxfId="18" priority="5" stopIfTrue="1">
      <formula>$J$54="超过30%"</formula>
    </cfRule>
  </conditionalFormatting>
  <conditionalFormatting sqref="J48">
    <cfRule type="expression" dxfId="17" priority="2">
      <formula>$D$48="简单平均"</formula>
    </cfRule>
  </conditionalFormatting>
  <conditionalFormatting sqref="J52:J54">
    <cfRule type="containsText" dxfId="16"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E14:I18"/>
  <sheetViews>
    <sheetView workbookViewId="0">
      <selection activeCell="L17" sqref="L17"/>
    </sheetView>
  </sheetViews>
  <sheetFormatPr defaultRowHeight="13.5"/>
  <sheetData>
    <row r="14" spans="5:6">
      <c r="E14" s="1405" t="s">
        <v>4306</v>
      </c>
      <c r="F14">
        <v>151750</v>
      </c>
    </row>
    <row r="15" spans="5:6">
      <c r="E15" s="1405" t="s">
        <v>4305</v>
      </c>
      <c r="F15">
        <v>158814</v>
      </c>
    </row>
    <row r="16" spans="5:6">
      <c r="E16" s="1405" t="s">
        <v>4304</v>
      </c>
      <c r="F16">
        <v>1.56</v>
      </c>
    </row>
    <row r="17" spans="5:9">
      <c r="E17" s="1405" t="s">
        <v>4307</v>
      </c>
      <c r="F17">
        <f>AVERAGE(F14:F16)</f>
        <v>103521.85333333333</v>
      </c>
    </row>
    <row r="18" spans="5:9" ht="14.25">
      <c r="I18" s="1451"/>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N4"/>
  <sheetViews>
    <sheetView topLeftCell="B1" workbookViewId="0">
      <selection activeCell="N10" sqref="N10"/>
    </sheetView>
  </sheetViews>
  <sheetFormatPr defaultColWidth="8.875" defaultRowHeight="13.5"/>
  <cols>
    <col min="1" max="1" width="22.25" style="3173" bestFit="1" customWidth="1"/>
    <col min="2" max="13" width="12.125" style="3173" customWidth="1"/>
    <col min="14" max="14" width="13.875" style="3173" customWidth="1"/>
    <col min="15" max="16384" width="8.875" style="3173"/>
  </cols>
  <sheetData>
    <row r="1" spans="1:14" ht="22.5">
      <c r="A1" s="3508" t="s">
        <v>3665</v>
      </c>
      <c r="B1" s="3508"/>
      <c r="C1" s="3508"/>
      <c r="D1" s="3508"/>
      <c r="E1" s="3508"/>
      <c r="F1" s="3508"/>
      <c r="G1" s="3508"/>
      <c r="H1" s="3508"/>
      <c r="I1" s="3508"/>
      <c r="J1" s="3508"/>
      <c r="K1" s="3508"/>
      <c r="L1" s="3508"/>
      <c r="M1" s="3508"/>
      <c r="N1" s="3508"/>
    </row>
    <row r="2" spans="1:14" ht="16.5">
      <c r="A2" s="3174" t="s">
        <v>3666</v>
      </c>
      <c r="B2" s="3174" t="s">
        <v>3667</v>
      </c>
      <c r="C2" s="3174" t="s">
        <v>3668</v>
      </c>
      <c r="D2" s="3174" t="s">
        <v>3669</v>
      </c>
      <c r="E2" s="3174" t="s">
        <v>3670</v>
      </c>
      <c r="F2" s="3174" t="s">
        <v>3671</v>
      </c>
      <c r="G2" s="3174" t="s">
        <v>3672</v>
      </c>
      <c r="H2" s="3174" t="s">
        <v>3673</v>
      </c>
      <c r="I2" s="3174" t="s">
        <v>3674</v>
      </c>
      <c r="J2" s="3174" t="s">
        <v>3675</v>
      </c>
      <c r="K2" s="3174" t="s">
        <v>3676</v>
      </c>
      <c r="L2" s="3174" t="s">
        <v>3677</v>
      </c>
      <c r="M2" s="3174" t="s">
        <v>3678</v>
      </c>
      <c r="N2" s="3175" t="s">
        <v>3679</v>
      </c>
    </row>
    <row r="3" spans="1:14" ht="16.5">
      <c r="A3" s="3176" t="s">
        <v>3680</v>
      </c>
      <c r="B3" s="3177">
        <v>0.99020647541748519</v>
      </c>
      <c r="C3" s="3177">
        <v>0.98566929962886485</v>
      </c>
      <c r="D3" s="3177">
        <v>0.98499008271185795</v>
      </c>
      <c r="E3" s="3177">
        <v>0.95770744480494774</v>
      </c>
      <c r="F3" s="3177">
        <v>0.96896688616769966</v>
      </c>
      <c r="G3" s="3177">
        <v>0.95684716537732173</v>
      </c>
      <c r="H3" s="3177">
        <v>0.95614862656993771</v>
      </c>
      <c r="I3" s="3177">
        <v>0.9654574224706457</v>
      </c>
      <c r="J3" s="3177">
        <v>0.97095205532950968</v>
      </c>
      <c r="K3" s="3177">
        <v>0.97550677415136899</v>
      </c>
      <c r="L3" s="3177">
        <v>0.96124623951406418</v>
      </c>
      <c r="M3" s="3177">
        <v>0.98637304341268817</v>
      </c>
      <c r="N3" s="3177">
        <v>0.97167468253005407</v>
      </c>
    </row>
    <row r="4" spans="1:14" ht="16.5">
      <c r="A4" s="3176" t="s">
        <v>3681</v>
      </c>
      <c r="B4" s="3178">
        <v>8220.0074499999992</v>
      </c>
      <c r="C4" s="3178">
        <v>7593.6131889999997</v>
      </c>
      <c r="D4" s="3178">
        <v>7540.6482480000032</v>
      </c>
      <c r="E4" s="3178">
        <v>7110.6866179999997</v>
      </c>
      <c r="F4" s="3178">
        <v>7437.2986560000027</v>
      </c>
      <c r="G4" s="3178">
        <v>7427.0991050000011</v>
      </c>
      <c r="H4" s="3178">
        <v>7744.3719769999952</v>
      </c>
      <c r="I4" s="3178">
        <v>8078.3142359999983</v>
      </c>
      <c r="J4" s="3178">
        <v>7733.9062709999998</v>
      </c>
      <c r="K4" s="3178">
        <v>8034.1427279999916</v>
      </c>
      <c r="L4" s="3178">
        <v>7767.5163770000072</v>
      </c>
      <c r="M4" s="3178">
        <v>10612.65879300001</v>
      </c>
      <c r="N4" s="3178">
        <v>95300.263647999993</v>
      </c>
    </row>
  </sheetData>
  <mergeCells count="1">
    <mergeCell ref="A1:N1"/>
  </mergeCells>
  <phoneticPr fontId="134" type="noConversion"/>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F379"/>
  <sheetViews>
    <sheetView topLeftCell="A375" workbookViewId="0">
      <selection activeCell="J378" sqref="J378"/>
    </sheetView>
  </sheetViews>
  <sheetFormatPr defaultColWidth="8.875" defaultRowHeight="16.5"/>
  <cols>
    <col min="1" max="1" width="8.875" style="3179"/>
    <col min="2" max="2" width="19.875" style="3179" customWidth="1"/>
    <col min="3" max="3" width="21.125" style="3179" customWidth="1"/>
    <col min="4" max="4" width="15.75" style="3179" customWidth="1"/>
    <col min="5" max="5" width="14.25" style="3179" customWidth="1"/>
    <col min="6" max="6" width="15" style="3179" customWidth="1"/>
    <col min="7" max="16384" width="8.875" style="3179"/>
  </cols>
  <sheetData>
    <row r="1" spans="1:6" ht="21">
      <c r="A1" s="3509" t="s">
        <v>3682</v>
      </c>
      <c r="B1" s="3509"/>
      <c r="C1" s="3509"/>
      <c r="D1" s="3509"/>
      <c r="E1" s="3509"/>
      <c r="F1" s="3509"/>
    </row>
    <row r="2" spans="1:6">
      <c r="A2" s="3180" t="s">
        <v>3683</v>
      </c>
      <c r="B2" s="3180" t="s">
        <v>3684</v>
      </c>
      <c r="C2" s="3181" t="s">
        <v>3685</v>
      </c>
      <c r="D2" s="3181" t="s">
        <v>3686</v>
      </c>
      <c r="E2" s="3182" t="s">
        <v>3687</v>
      </c>
      <c r="F2" s="3182" t="s">
        <v>3688</v>
      </c>
    </row>
    <row r="3" spans="1:6">
      <c r="A3" s="3183">
        <v>1</v>
      </c>
      <c r="B3" s="3184" t="s">
        <v>3689</v>
      </c>
      <c r="C3" s="3184" t="s">
        <v>3690</v>
      </c>
      <c r="D3" s="3184">
        <v>5039.9799999999996</v>
      </c>
      <c r="E3" s="3185">
        <v>44126</v>
      </c>
      <c r="F3" s="3185">
        <v>49780</v>
      </c>
    </row>
    <row r="4" spans="1:6">
      <c r="A4" s="3183">
        <v>2</v>
      </c>
      <c r="B4" s="3184" t="s">
        <v>3689</v>
      </c>
      <c r="C4" s="3184" t="s">
        <v>3691</v>
      </c>
      <c r="D4" s="3184">
        <v>1956.3</v>
      </c>
      <c r="E4" s="3185">
        <v>44289</v>
      </c>
      <c r="F4" s="3185">
        <v>49780</v>
      </c>
    </row>
    <row r="5" spans="1:6">
      <c r="A5" s="3183">
        <v>3</v>
      </c>
      <c r="B5" s="3184" t="s">
        <v>3692</v>
      </c>
      <c r="C5" s="3184" t="s">
        <v>3693</v>
      </c>
      <c r="D5" s="3184">
        <v>1381.27</v>
      </c>
      <c r="E5" s="3185">
        <v>44162</v>
      </c>
      <c r="F5" s="3185">
        <v>47953</v>
      </c>
    </row>
    <row r="6" spans="1:6">
      <c r="A6" s="3183">
        <v>4</v>
      </c>
      <c r="B6" s="3184" t="s">
        <v>3692</v>
      </c>
      <c r="C6" s="3184" t="s">
        <v>3694</v>
      </c>
      <c r="D6" s="3184">
        <v>1187.68</v>
      </c>
      <c r="E6" s="3185">
        <v>45465</v>
      </c>
      <c r="F6" s="3185">
        <v>49190</v>
      </c>
    </row>
    <row r="7" spans="1:6">
      <c r="A7" s="3183">
        <v>5</v>
      </c>
      <c r="B7" s="3184" t="s">
        <v>3695</v>
      </c>
      <c r="C7" s="3184" t="s">
        <v>3696</v>
      </c>
      <c r="D7" s="3184">
        <v>998.64</v>
      </c>
      <c r="E7" s="3185">
        <v>45020</v>
      </c>
      <c r="F7" s="3185">
        <v>47177</v>
      </c>
    </row>
    <row r="8" spans="1:6">
      <c r="A8" s="3183">
        <v>6</v>
      </c>
      <c r="B8" s="3184" t="s">
        <v>3695</v>
      </c>
      <c r="C8" s="3184" t="s">
        <v>3697</v>
      </c>
      <c r="D8" s="3184">
        <v>951.9</v>
      </c>
      <c r="E8" s="3185">
        <v>45658</v>
      </c>
      <c r="F8" s="3185">
        <v>45716</v>
      </c>
    </row>
    <row r="9" spans="1:6">
      <c r="A9" s="3183">
        <v>7</v>
      </c>
      <c r="B9" s="3184" t="s">
        <v>3695</v>
      </c>
      <c r="C9" s="3184" t="s">
        <v>3697</v>
      </c>
      <c r="D9" s="3184">
        <v>951.9</v>
      </c>
      <c r="E9" s="3185">
        <v>45717</v>
      </c>
      <c r="F9" s="3185">
        <v>45736</v>
      </c>
    </row>
    <row r="10" spans="1:6">
      <c r="A10" s="3183">
        <v>8</v>
      </c>
      <c r="B10" s="3184" t="s">
        <v>3695</v>
      </c>
      <c r="C10" s="3184" t="s">
        <v>3698</v>
      </c>
      <c r="D10" s="3184">
        <v>951.9</v>
      </c>
      <c r="E10" s="3185">
        <v>45748</v>
      </c>
      <c r="F10" s="3185">
        <v>47938</v>
      </c>
    </row>
    <row r="11" spans="1:6">
      <c r="A11" s="3183">
        <v>9</v>
      </c>
      <c r="B11" s="3184" t="s">
        <v>3695</v>
      </c>
      <c r="C11" s="3184" t="s">
        <v>3699</v>
      </c>
      <c r="D11" s="3184">
        <v>883.45</v>
      </c>
      <c r="E11" s="3185">
        <v>44788</v>
      </c>
      <c r="F11" s="3185">
        <v>48457</v>
      </c>
    </row>
    <row r="12" spans="1:6">
      <c r="A12" s="3183">
        <v>10</v>
      </c>
      <c r="B12" s="3184" t="s">
        <v>3695</v>
      </c>
      <c r="C12" s="3184" t="s">
        <v>3700</v>
      </c>
      <c r="D12" s="3184">
        <v>741.66</v>
      </c>
      <c r="E12" s="3185">
        <v>44162</v>
      </c>
      <c r="F12" s="3185">
        <v>46477</v>
      </c>
    </row>
    <row r="13" spans="1:6">
      <c r="A13" s="3183">
        <v>11</v>
      </c>
      <c r="B13" s="3184" t="s">
        <v>3695</v>
      </c>
      <c r="C13" s="3184" t="s">
        <v>3701</v>
      </c>
      <c r="D13" s="3184">
        <v>709.31</v>
      </c>
      <c r="E13" s="3185">
        <v>44191</v>
      </c>
      <c r="F13" s="3185">
        <v>46477</v>
      </c>
    </row>
    <row r="14" spans="1:6">
      <c r="A14" s="3183">
        <v>12</v>
      </c>
      <c r="B14" s="3184" t="s">
        <v>3695</v>
      </c>
      <c r="C14" s="3184" t="s">
        <v>3702</v>
      </c>
      <c r="D14" s="3184">
        <v>693.94</v>
      </c>
      <c r="E14" s="3185">
        <v>44159</v>
      </c>
      <c r="F14" s="3185">
        <v>46477</v>
      </c>
    </row>
    <row r="15" spans="1:6">
      <c r="A15" s="3183">
        <v>13</v>
      </c>
      <c r="B15" s="3184" t="s">
        <v>3695</v>
      </c>
      <c r="C15" s="3184" t="s">
        <v>3703</v>
      </c>
      <c r="D15" s="3184">
        <v>653.79999999999995</v>
      </c>
      <c r="E15" s="3185">
        <v>44152</v>
      </c>
      <c r="F15" s="3185">
        <v>47953</v>
      </c>
    </row>
    <row r="16" spans="1:6">
      <c r="A16" s="3183">
        <v>14</v>
      </c>
      <c r="B16" s="3184" t="s">
        <v>3695</v>
      </c>
      <c r="C16" s="3184" t="s">
        <v>3704</v>
      </c>
      <c r="D16" s="3184">
        <v>622.80999999999995</v>
      </c>
      <c r="E16" s="3185">
        <v>44154</v>
      </c>
      <c r="F16" s="3185">
        <v>46477</v>
      </c>
    </row>
    <row r="17" spans="1:6">
      <c r="A17" s="3183">
        <v>15</v>
      </c>
      <c r="B17" s="3184" t="s">
        <v>3695</v>
      </c>
      <c r="C17" s="3184" t="s">
        <v>3705</v>
      </c>
      <c r="D17" s="3184">
        <v>529.83000000000004</v>
      </c>
      <c r="E17" s="3185">
        <v>45644</v>
      </c>
      <c r="F17" s="3185">
        <v>47391</v>
      </c>
    </row>
    <row r="18" spans="1:6">
      <c r="A18" s="3183">
        <v>16</v>
      </c>
      <c r="B18" s="3184" t="s">
        <v>3695</v>
      </c>
      <c r="C18" s="3184" t="s">
        <v>3706</v>
      </c>
      <c r="D18" s="3184">
        <v>508.23</v>
      </c>
      <c r="E18" s="3185">
        <v>44186</v>
      </c>
      <c r="F18" s="3185">
        <v>46477</v>
      </c>
    </row>
    <row r="19" spans="1:6">
      <c r="A19" s="3183">
        <v>17</v>
      </c>
      <c r="B19" s="3184" t="s">
        <v>3695</v>
      </c>
      <c r="C19" s="3184" t="s">
        <v>3707</v>
      </c>
      <c r="D19" s="3184">
        <v>501.82</v>
      </c>
      <c r="E19" s="3185">
        <v>45674</v>
      </c>
      <c r="F19" s="3185">
        <v>47806</v>
      </c>
    </row>
    <row r="20" spans="1:6">
      <c r="A20" s="3183">
        <v>18</v>
      </c>
      <c r="B20" s="3184" t="s">
        <v>3695</v>
      </c>
      <c r="C20" s="3184" t="s">
        <v>3708</v>
      </c>
      <c r="D20" s="3184">
        <v>498.22</v>
      </c>
      <c r="E20" s="3185">
        <v>45600</v>
      </c>
      <c r="F20" s="3185">
        <v>47452</v>
      </c>
    </row>
    <row r="21" spans="1:6">
      <c r="A21" s="3183">
        <v>19</v>
      </c>
      <c r="B21" s="3184" t="s">
        <v>3695</v>
      </c>
      <c r="C21" s="3184" t="s">
        <v>3709</v>
      </c>
      <c r="D21" s="3184">
        <v>472.93</v>
      </c>
      <c r="E21" s="3185">
        <v>44729</v>
      </c>
      <c r="F21" s="3185">
        <v>46872</v>
      </c>
    </row>
    <row r="22" spans="1:6">
      <c r="A22" s="3183">
        <v>20</v>
      </c>
      <c r="B22" s="3184" t="s">
        <v>3695</v>
      </c>
      <c r="C22" s="3184" t="s">
        <v>3710</v>
      </c>
      <c r="D22" s="3184">
        <v>437.26</v>
      </c>
      <c r="E22" s="3185">
        <v>44122</v>
      </c>
      <c r="F22" s="3185">
        <v>47223</v>
      </c>
    </row>
    <row r="23" spans="1:6">
      <c r="A23" s="3183">
        <v>21</v>
      </c>
      <c r="B23" s="3184" t="s">
        <v>3695</v>
      </c>
      <c r="C23" s="3184" t="s">
        <v>3711</v>
      </c>
      <c r="D23" s="3184">
        <v>433.12</v>
      </c>
      <c r="E23" s="3185">
        <v>44251</v>
      </c>
      <c r="F23" s="3185">
        <v>46127</v>
      </c>
    </row>
    <row r="24" spans="1:6">
      <c r="A24" s="3183">
        <v>22</v>
      </c>
      <c r="B24" s="3184" t="s">
        <v>3695</v>
      </c>
      <c r="C24" s="3184" t="s">
        <v>3712</v>
      </c>
      <c r="D24" s="3184">
        <v>424.95</v>
      </c>
      <c r="E24" s="3185">
        <v>44207</v>
      </c>
      <c r="F24" s="3185">
        <v>46112</v>
      </c>
    </row>
    <row r="25" spans="1:6">
      <c r="A25" s="3183">
        <v>23</v>
      </c>
      <c r="B25" s="3184" t="s">
        <v>3695</v>
      </c>
      <c r="C25" s="3184" t="s">
        <v>3713</v>
      </c>
      <c r="D25" s="3184">
        <v>395.35</v>
      </c>
      <c r="E25" s="3185">
        <v>44182</v>
      </c>
      <c r="F25" s="3185">
        <v>46492</v>
      </c>
    </row>
    <row r="26" spans="1:6">
      <c r="A26" s="3183">
        <v>24</v>
      </c>
      <c r="B26" s="3184" t="s">
        <v>3695</v>
      </c>
      <c r="C26" s="3184" t="s">
        <v>3714</v>
      </c>
      <c r="D26" s="3184">
        <v>390.03</v>
      </c>
      <c r="E26" s="3185">
        <v>45468</v>
      </c>
      <c r="F26" s="3185">
        <v>46538</v>
      </c>
    </row>
    <row r="27" spans="1:6">
      <c r="A27" s="3183">
        <v>25</v>
      </c>
      <c r="B27" s="3184" t="s">
        <v>3695</v>
      </c>
      <c r="C27" s="3184" t="s">
        <v>3715</v>
      </c>
      <c r="D27" s="3184">
        <v>381.66</v>
      </c>
      <c r="E27" s="3185">
        <v>45407</v>
      </c>
      <c r="F27" s="3185">
        <v>47191</v>
      </c>
    </row>
    <row r="28" spans="1:6">
      <c r="A28" s="3183">
        <v>26</v>
      </c>
      <c r="B28" s="3184" t="s">
        <v>3695</v>
      </c>
      <c r="C28" s="3184" t="s">
        <v>3716</v>
      </c>
      <c r="D28" s="3184">
        <v>380.48</v>
      </c>
      <c r="E28" s="3185">
        <v>44147</v>
      </c>
      <c r="F28" s="3185">
        <v>46477</v>
      </c>
    </row>
    <row r="29" spans="1:6">
      <c r="A29" s="3183">
        <v>27</v>
      </c>
      <c r="B29" s="3184" t="s">
        <v>3695</v>
      </c>
      <c r="C29" s="3184" t="s">
        <v>3717</v>
      </c>
      <c r="D29" s="3184">
        <v>379.21</v>
      </c>
      <c r="E29" s="3185">
        <v>45754</v>
      </c>
      <c r="F29" s="3185">
        <v>47579</v>
      </c>
    </row>
    <row r="30" spans="1:6">
      <c r="A30" s="3183">
        <v>28</v>
      </c>
      <c r="B30" s="3184" t="s">
        <v>3695</v>
      </c>
      <c r="C30" s="3184" t="s">
        <v>3718</v>
      </c>
      <c r="D30" s="3184">
        <v>376.04</v>
      </c>
      <c r="E30" s="3185">
        <v>44154</v>
      </c>
      <c r="F30" s="3185">
        <v>47208</v>
      </c>
    </row>
    <row r="31" spans="1:6">
      <c r="A31" s="3183">
        <v>29</v>
      </c>
      <c r="B31" s="3184" t="s">
        <v>3695</v>
      </c>
      <c r="C31" s="3184" t="s">
        <v>3719</v>
      </c>
      <c r="D31" s="3184">
        <v>370.6</v>
      </c>
      <c r="E31" s="3185">
        <v>44190</v>
      </c>
      <c r="F31" s="3185">
        <v>46477</v>
      </c>
    </row>
    <row r="32" spans="1:6">
      <c r="A32" s="3183">
        <v>30</v>
      </c>
      <c r="B32" s="3184" t="s">
        <v>3695</v>
      </c>
      <c r="C32" s="3184" t="s">
        <v>3720</v>
      </c>
      <c r="D32" s="3184">
        <v>347.52</v>
      </c>
      <c r="E32" s="3185">
        <v>45674</v>
      </c>
      <c r="F32" s="3185">
        <v>47441</v>
      </c>
    </row>
    <row r="33" spans="1:6">
      <c r="A33" s="3183">
        <v>31</v>
      </c>
      <c r="B33" s="3184" t="s">
        <v>3695</v>
      </c>
      <c r="C33" s="3184" t="s">
        <v>3721</v>
      </c>
      <c r="D33" s="3184">
        <v>344.27</v>
      </c>
      <c r="E33" s="3185">
        <v>45015</v>
      </c>
      <c r="F33" s="3185">
        <v>46112</v>
      </c>
    </row>
    <row r="34" spans="1:6">
      <c r="A34" s="3183">
        <v>32</v>
      </c>
      <c r="B34" s="3184" t="s">
        <v>3695</v>
      </c>
      <c r="C34" s="3184" t="s">
        <v>3722</v>
      </c>
      <c r="D34" s="3184">
        <v>331.78</v>
      </c>
      <c r="E34" s="3185">
        <v>44270</v>
      </c>
      <c r="F34" s="3185">
        <v>47223</v>
      </c>
    </row>
    <row r="35" spans="1:6">
      <c r="A35" s="3183">
        <v>33</v>
      </c>
      <c r="B35" s="3184" t="s">
        <v>3695</v>
      </c>
      <c r="C35" s="3184" t="s">
        <v>3723</v>
      </c>
      <c r="D35" s="3184">
        <v>314.08999999999997</v>
      </c>
      <c r="E35" s="3185">
        <v>44162</v>
      </c>
      <c r="F35" s="3185">
        <v>46112</v>
      </c>
    </row>
    <row r="36" spans="1:6">
      <c r="A36" s="3183">
        <v>34</v>
      </c>
      <c r="B36" s="3184" t="s">
        <v>3695</v>
      </c>
      <c r="C36" s="3184" t="s">
        <v>3724</v>
      </c>
      <c r="D36" s="3184">
        <v>310.37</v>
      </c>
      <c r="E36" s="3185">
        <v>44994</v>
      </c>
      <c r="F36" s="3185">
        <v>46081</v>
      </c>
    </row>
    <row r="37" spans="1:6">
      <c r="A37" s="3183">
        <v>35</v>
      </c>
      <c r="B37" s="3184" t="s">
        <v>3695</v>
      </c>
      <c r="C37" s="3184" t="s">
        <v>3725</v>
      </c>
      <c r="D37" s="3184">
        <v>305.12</v>
      </c>
      <c r="E37" s="3185">
        <v>44186</v>
      </c>
      <c r="F37" s="3185">
        <v>47223</v>
      </c>
    </row>
    <row r="38" spans="1:6">
      <c r="A38" s="3183">
        <v>36</v>
      </c>
      <c r="B38" s="3184" t="s">
        <v>3695</v>
      </c>
      <c r="C38" s="3184" t="s">
        <v>3726</v>
      </c>
      <c r="D38" s="3184">
        <v>297.37</v>
      </c>
      <c r="E38" s="3185">
        <v>44988</v>
      </c>
      <c r="F38" s="3185">
        <v>46812</v>
      </c>
    </row>
    <row r="39" spans="1:6">
      <c r="A39" s="3183">
        <v>37</v>
      </c>
      <c r="B39" s="3184" t="s">
        <v>3695</v>
      </c>
      <c r="C39" s="3184" t="s">
        <v>3727</v>
      </c>
      <c r="D39" s="3184">
        <v>296.48</v>
      </c>
      <c r="E39" s="3185">
        <v>44189</v>
      </c>
      <c r="F39" s="3185">
        <v>46112</v>
      </c>
    </row>
    <row r="40" spans="1:6">
      <c r="A40" s="3183">
        <v>38</v>
      </c>
      <c r="B40" s="3184" t="s">
        <v>3695</v>
      </c>
      <c r="C40" s="3184" t="s">
        <v>3728</v>
      </c>
      <c r="D40" s="3184">
        <v>289.76</v>
      </c>
      <c r="E40" s="3185">
        <v>45378</v>
      </c>
      <c r="F40" s="3185">
        <v>46836</v>
      </c>
    </row>
    <row r="41" spans="1:6">
      <c r="A41" s="3183">
        <v>39</v>
      </c>
      <c r="B41" s="3184" t="s">
        <v>3695</v>
      </c>
      <c r="C41" s="3184" t="s">
        <v>3729</v>
      </c>
      <c r="D41" s="3184">
        <v>280.93</v>
      </c>
      <c r="E41" s="3185">
        <v>45769</v>
      </c>
      <c r="F41" s="3185">
        <v>47573</v>
      </c>
    </row>
    <row r="42" spans="1:6">
      <c r="A42" s="3183">
        <v>40</v>
      </c>
      <c r="B42" s="3184" t="s">
        <v>3695</v>
      </c>
      <c r="C42" s="3184" t="s">
        <v>3730</v>
      </c>
      <c r="D42" s="3184">
        <v>271.37</v>
      </c>
      <c r="E42" s="3185">
        <v>44193</v>
      </c>
      <c r="F42" s="3185">
        <v>45762</v>
      </c>
    </row>
    <row r="43" spans="1:6">
      <c r="A43" s="3183">
        <v>41</v>
      </c>
      <c r="B43" s="3184" t="s">
        <v>3695</v>
      </c>
      <c r="C43" s="3184" t="s">
        <v>3730</v>
      </c>
      <c r="D43" s="3184">
        <v>271.37</v>
      </c>
      <c r="E43" s="3185">
        <v>45763</v>
      </c>
      <c r="F43" s="3185">
        <v>45853</v>
      </c>
    </row>
    <row r="44" spans="1:6">
      <c r="A44" s="3183">
        <v>42</v>
      </c>
      <c r="B44" s="3184" t="s">
        <v>3695</v>
      </c>
      <c r="C44" s="3184" t="s">
        <v>3731</v>
      </c>
      <c r="D44" s="3184">
        <v>259.14999999999998</v>
      </c>
      <c r="E44" s="3185">
        <v>44180</v>
      </c>
      <c r="F44" s="3185">
        <v>47953</v>
      </c>
    </row>
    <row r="45" spans="1:6">
      <c r="A45" s="3183">
        <v>43</v>
      </c>
      <c r="B45" s="3184" t="s">
        <v>3695</v>
      </c>
      <c r="C45" s="3184" t="s">
        <v>3732</v>
      </c>
      <c r="D45" s="3184">
        <v>248</v>
      </c>
      <c r="E45" s="3185">
        <v>44152</v>
      </c>
      <c r="F45" s="3185">
        <v>47953</v>
      </c>
    </row>
    <row r="46" spans="1:6">
      <c r="A46" s="3183">
        <v>44</v>
      </c>
      <c r="B46" s="3184" t="s">
        <v>3695</v>
      </c>
      <c r="C46" s="3184" t="s">
        <v>3733</v>
      </c>
      <c r="D46" s="3184">
        <v>243.32</v>
      </c>
      <c r="E46" s="3185">
        <v>45418</v>
      </c>
      <c r="F46" s="3185">
        <v>46538</v>
      </c>
    </row>
    <row r="47" spans="1:6">
      <c r="A47" s="3183">
        <v>45</v>
      </c>
      <c r="B47" s="3184" t="s">
        <v>3695</v>
      </c>
      <c r="C47" s="3184" t="s">
        <v>3734</v>
      </c>
      <c r="D47" s="3184">
        <v>241.58</v>
      </c>
      <c r="E47" s="3185">
        <v>44214</v>
      </c>
      <c r="F47" s="3185">
        <v>45747</v>
      </c>
    </row>
    <row r="48" spans="1:6">
      <c r="A48" s="3183">
        <v>46</v>
      </c>
      <c r="B48" s="3184" t="s">
        <v>3695</v>
      </c>
      <c r="C48" s="3184" t="s">
        <v>3734</v>
      </c>
      <c r="D48" s="3184">
        <v>241.58</v>
      </c>
      <c r="E48" s="3185">
        <v>45748</v>
      </c>
      <c r="F48" s="3185">
        <v>45777</v>
      </c>
    </row>
    <row r="49" spans="1:6">
      <c r="A49" s="3183">
        <v>47</v>
      </c>
      <c r="B49" s="3184" t="s">
        <v>3695</v>
      </c>
      <c r="C49" s="3184" t="s">
        <v>3735</v>
      </c>
      <c r="D49" s="3184">
        <v>238.17</v>
      </c>
      <c r="E49" s="3185">
        <v>44179</v>
      </c>
      <c r="F49" s="3185">
        <v>48684</v>
      </c>
    </row>
    <row r="50" spans="1:6">
      <c r="A50" s="3183">
        <v>48</v>
      </c>
      <c r="B50" s="3184" t="s">
        <v>3695</v>
      </c>
      <c r="C50" s="3184" t="s">
        <v>3736</v>
      </c>
      <c r="D50" s="3184">
        <v>234.99</v>
      </c>
      <c r="E50" s="3185">
        <v>44174</v>
      </c>
      <c r="F50" s="3185">
        <v>46112</v>
      </c>
    </row>
    <row r="51" spans="1:6">
      <c r="A51" s="3183">
        <v>49</v>
      </c>
      <c r="B51" s="3184" t="s">
        <v>3695</v>
      </c>
      <c r="C51" s="3184" t="s">
        <v>3737</v>
      </c>
      <c r="D51" s="3184">
        <v>233.73</v>
      </c>
      <c r="E51" s="3185">
        <v>44144</v>
      </c>
      <c r="F51" s="3185">
        <v>45761</v>
      </c>
    </row>
    <row r="52" spans="1:6">
      <c r="A52" s="3183">
        <v>50</v>
      </c>
      <c r="B52" s="3184" t="s">
        <v>3695</v>
      </c>
      <c r="C52" s="3184" t="s">
        <v>3738</v>
      </c>
      <c r="D52" s="3184">
        <v>228.81</v>
      </c>
      <c r="E52" s="3185">
        <v>44270</v>
      </c>
      <c r="F52" s="3185">
        <v>46492</v>
      </c>
    </row>
    <row r="53" spans="1:6">
      <c r="A53" s="3183">
        <v>51</v>
      </c>
      <c r="B53" s="3184" t="s">
        <v>3695</v>
      </c>
      <c r="C53" s="3184" t="s">
        <v>3737</v>
      </c>
      <c r="D53" s="3184">
        <v>228.37</v>
      </c>
      <c r="E53" s="3185">
        <v>45762</v>
      </c>
      <c r="F53" s="3185">
        <v>46843</v>
      </c>
    </row>
    <row r="54" spans="1:6">
      <c r="A54" s="3183">
        <v>52</v>
      </c>
      <c r="B54" s="3184" t="s">
        <v>3695</v>
      </c>
      <c r="C54" s="3184" t="s">
        <v>3739</v>
      </c>
      <c r="D54" s="3184">
        <v>224.33</v>
      </c>
      <c r="E54" s="3185">
        <v>45542</v>
      </c>
      <c r="F54" s="3185">
        <v>47330</v>
      </c>
    </row>
    <row r="55" spans="1:6">
      <c r="A55" s="3183">
        <v>53</v>
      </c>
      <c r="B55" s="3184" t="s">
        <v>3695</v>
      </c>
      <c r="C55" s="3184" t="s">
        <v>3740</v>
      </c>
      <c r="D55" s="3184">
        <v>223.17</v>
      </c>
      <c r="E55" s="3185">
        <v>45584</v>
      </c>
      <c r="F55" s="3185">
        <v>47057</v>
      </c>
    </row>
    <row r="56" spans="1:6">
      <c r="A56" s="3183">
        <v>54</v>
      </c>
      <c r="B56" s="3184" t="s">
        <v>3695</v>
      </c>
      <c r="C56" s="3184" t="s">
        <v>3741</v>
      </c>
      <c r="D56" s="3184">
        <v>218.26</v>
      </c>
      <c r="E56" s="3185">
        <v>44791</v>
      </c>
      <c r="F56" s="3185">
        <v>46251</v>
      </c>
    </row>
    <row r="57" spans="1:6">
      <c r="A57" s="3183">
        <v>55</v>
      </c>
      <c r="B57" s="3184" t="s">
        <v>3695</v>
      </c>
      <c r="C57" s="3184" t="s">
        <v>3742</v>
      </c>
      <c r="D57" s="3184">
        <v>217.2</v>
      </c>
      <c r="E57" s="3185">
        <v>44161</v>
      </c>
      <c r="F57" s="3185">
        <v>45747</v>
      </c>
    </row>
    <row r="58" spans="1:6">
      <c r="A58" s="3183">
        <v>56</v>
      </c>
      <c r="B58" s="3184" t="s">
        <v>3695</v>
      </c>
      <c r="C58" s="3184" t="s">
        <v>3743</v>
      </c>
      <c r="D58" s="3184">
        <v>202.8</v>
      </c>
      <c r="E58" s="3185">
        <v>45744</v>
      </c>
      <c r="F58" s="3185">
        <v>47550</v>
      </c>
    </row>
    <row r="59" spans="1:6">
      <c r="A59" s="3183">
        <v>57</v>
      </c>
      <c r="B59" s="3184" t="s">
        <v>3695</v>
      </c>
      <c r="C59" s="3184" t="s">
        <v>3744</v>
      </c>
      <c r="D59" s="3184">
        <v>202.09</v>
      </c>
      <c r="E59" s="3185">
        <v>44160</v>
      </c>
      <c r="F59" s="3185">
        <v>45719</v>
      </c>
    </row>
    <row r="60" spans="1:6">
      <c r="A60" s="3183">
        <v>58</v>
      </c>
      <c r="B60" s="3184" t="s">
        <v>3695</v>
      </c>
      <c r="C60" s="3184" t="s">
        <v>3745</v>
      </c>
      <c r="D60" s="3184">
        <v>202.06</v>
      </c>
      <c r="E60" s="3185">
        <v>44140</v>
      </c>
      <c r="F60" s="3185">
        <v>46112</v>
      </c>
    </row>
    <row r="61" spans="1:6">
      <c r="A61" s="3183">
        <v>59</v>
      </c>
      <c r="B61" s="3184" t="s">
        <v>3695</v>
      </c>
      <c r="C61" s="3184" t="s">
        <v>3746</v>
      </c>
      <c r="D61" s="3184">
        <v>199.32</v>
      </c>
      <c r="E61" s="3185">
        <v>44866</v>
      </c>
      <c r="F61" s="3185">
        <v>45961</v>
      </c>
    </row>
    <row r="62" spans="1:6">
      <c r="A62" s="3183">
        <v>60</v>
      </c>
      <c r="B62" s="3184" t="s">
        <v>3695</v>
      </c>
      <c r="C62" s="3184" t="s">
        <v>3747</v>
      </c>
      <c r="D62" s="3184">
        <v>198.96</v>
      </c>
      <c r="E62" s="3185">
        <v>44280</v>
      </c>
      <c r="F62" s="3185">
        <v>46112</v>
      </c>
    </row>
    <row r="63" spans="1:6">
      <c r="A63" s="3183">
        <v>61</v>
      </c>
      <c r="B63" s="3184" t="s">
        <v>3695</v>
      </c>
      <c r="C63" s="3184" t="s">
        <v>3748</v>
      </c>
      <c r="D63" s="3184">
        <v>190</v>
      </c>
      <c r="E63" s="3185">
        <v>45595</v>
      </c>
      <c r="F63" s="3185">
        <v>47391</v>
      </c>
    </row>
    <row r="64" spans="1:6">
      <c r="A64" s="3183">
        <v>62</v>
      </c>
      <c r="B64" s="3184" t="s">
        <v>3695</v>
      </c>
      <c r="C64" s="3184" t="s">
        <v>3749</v>
      </c>
      <c r="D64" s="3184">
        <v>188.56</v>
      </c>
      <c r="E64" s="3185">
        <v>44861</v>
      </c>
      <c r="F64" s="3185">
        <v>46326</v>
      </c>
    </row>
    <row r="65" spans="1:6">
      <c r="A65" s="3183">
        <v>63</v>
      </c>
      <c r="B65" s="3184" t="s">
        <v>3695</v>
      </c>
      <c r="C65" s="3184" t="s">
        <v>3750</v>
      </c>
      <c r="D65" s="3184">
        <v>187.62</v>
      </c>
      <c r="E65" s="3185">
        <v>45499</v>
      </c>
      <c r="F65" s="3185">
        <v>46953</v>
      </c>
    </row>
    <row r="66" spans="1:6">
      <c r="A66" s="3183">
        <v>64</v>
      </c>
      <c r="B66" s="3184" t="s">
        <v>3695</v>
      </c>
      <c r="C66" s="3184" t="s">
        <v>3751</v>
      </c>
      <c r="D66" s="3184">
        <v>186.25</v>
      </c>
      <c r="E66" s="3185">
        <v>45455</v>
      </c>
      <c r="F66" s="3185">
        <v>47269</v>
      </c>
    </row>
    <row r="67" spans="1:6">
      <c r="A67" s="3183">
        <v>65</v>
      </c>
      <c r="B67" s="3184" t="s">
        <v>3695</v>
      </c>
      <c r="C67" s="3184" t="s">
        <v>3752</v>
      </c>
      <c r="D67" s="3184">
        <v>185.95</v>
      </c>
      <c r="E67" s="3185">
        <v>45384</v>
      </c>
      <c r="F67" s="3185">
        <v>46112</v>
      </c>
    </row>
    <row r="68" spans="1:6">
      <c r="A68" s="3183">
        <v>66</v>
      </c>
      <c r="B68" s="3184" t="s">
        <v>3695</v>
      </c>
      <c r="C68" s="3184" t="s">
        <v>3753</v>
      </c>
      <c r="D68" s="3184">
        <v>183.36</v>
      </c>
      <c r="E68" s="3185">
        <v>45474</v>
      </c>
      <c r="F68" s="3185">
        <v>45838</v>
      </c>
    </row>
    <row r="69" spans="1:6">
      <c r="A69" s="3183">
        <v>67</v>
      </c>
      <c r="B69" s="3184" t="s">
        <v>3695</v>
      </c>
      <c r="C69" s="3184" t="s">
        <v>3754</v>
      </c>
      <c r="D69" s="3184">
        <v>182.32</v>
      </c>
      <c r="E69" s="3185">
        <v>44144</v>
      </c>
      <c r="F69" s="3185">
        <v>45747</v>
      </c>
    </row>
    <row r="70" spans="1:6">
      <c r="A70" s="3183">
        <v>68</v>
      </c>
      <c r="B70" s="3184" t="s">
        <v>3695</v>
      </c>
      <c r="C70" s="3184" t="s">
        <v>3755</v>
      </c>
      <c r="D70" s="3184">
        <v>179.99</v>
      </c>
      <c r="E70" s="3185">
        <v>44225</v>
      </c>
      <c r="F70" s="3185">
        <v>46112</v>
      </c>
    </row>
    <row r="71" spans="1:6">
      <c r="A71" s="3183">
        <v>69</v>
      </c>
      <c r="B71" s="3184" t="s">
        <v>3695</v>
      </c>
      <c r="C71" s="3184" t="s">
        <v>3756</v>
      </c>
      <c r="D71" s="3184">
        <v>175.8</v>
      </c>
      <c r="E71" s="3185">
        <v>45120</v>
      </c>
      <c r="F71" s="3185">
        <v>46217</v>
      </c>
    </row>
    <row r="72" spans="1:6">
      <c r="A72" s="3183">
        <v>70</v>
      </c>
      <c r="B72" s="3184" t="s">
        <v>3695</v>
      </c>
      <c r="C72" s="3184" t="s">
        <v>3757</v>
      </c>
      <c r="D72" s="3184">
        <v>169.76</v>
      </c>
      <c r="E72" s="3185">
        <v>44195</v>
      </c>
      <c r="F72" s="3185">
        <v>45747</v>
      </c>
    </row>
    <row r="73" spans="1:6">
      <c r="A73" s="3183">
        <v>71</v>
      </c>
      <c r="B73" s="3184" t="s">
        <v>3695</v>
      </c>
      <c r="C73" s="3184" t="s">
        <v>3757</v>
      </c>
      <c r="D73" s="3184">
        <v>169.76</v>
      </c>
      <c r="E73" s="3185">
        <v>45748</v>
      </c>
      <c r="F73" s="3185">
        <v>46112</v>
      </c>
    </row>
    <row r="74" spans="1:6">
      <c r="A74" s="3183">
        <v>72</v>
      </c>
      <c r="B74" s="3184" t="s">
        <v>3695</v>
      </c>
      <c r="C74" s="3184" t="s">
        <v>3758</v>
      </c>
      <c r="D74" s="3184">
        <v>166.95</v>
      </c>
      <c r="E74" s="3185">
        <v>45658</v>
      </c>
      <c r="F74" s="3185">
        <v>47116</v>
      </c>
    </row>
    <row r="75" spans="1:6">
      <c r="A75" s="3183">
        <v>73</v>
      </c>
      <c r="B75" s="3184" t="s">
        <v>3695</v>
      </c>
      <c r="C75" s="3184" t="s">
        <v>3759</v>
      </c>
      <c r="D75" s="3184">
        <v>166.78</v>
      </c>
      <c r="E75" s="3185">
        <v>44833</v>
      </c>
      <c r="F75" s="3185">
        <v>45904</v>
      </c>
    </row>
    <row r="76" spans="1:6">
      <c r="A76" s="3183">
        <v>74</v>
      </c>
      <c r="B76" s="3184" t="s">
        <v>3695</v>
      </c>
      <c r="C76" s="3184" t="s">
        <v>3760</v>
      </c>
      <c r="D76" s="3184">
        <v>161.56</v>
      </c>
      <c r="E76" s="3185">
        <v>45493</v>
      </c>
      <c r="F76" s="3185">
        <v>45940</v>
      </c>
    </row>
    <row r="77" spans="1:6">
      <c r="A77" s="3183">
        <v>75</v>
      </c>
      <c r="B77" s="3184" t="s">
        <v>3695</v>
      </c>
      <c r="C77" s="3184" t="s">
        <v>3761</v>
      </c>
      <c r="D77" s="3184">
        <v>161.13999999999999</v>
      </c>
      <c r="E77" s="3185">
        <v>44190</v>
      </c>
      <c r="F77" s="3185">
        <v>46127</v>
      </c>
    </row>
    <row r="78" spans="1:6">
      <c r="A78" s="3183">
        <v>76</v>
      </c>
      <c r="B78" s="3184" t="s">
        <v>3695</v>
      </c>
      <c r="C78" s="3184" t="s">
        <v>3762</v>
      </c>
      <c r="D78" s="3184">
        <v>157.27000000000001</v>
      </c>
      <c r="E78" s="3185">
        <v>45384</v>
      </c>
      <c r="F78" s="3185">
        <v>46477</v>
      </c>
    </row>
    <row r="79" spans="1:6">
      <c r="A79" s="3183">
        <v>77</v>
      </c>
      <c r="B79" s="3184" t="s">
        <v>3695</v>
      </c>
      <c r="C79" s="3184" t="s">
        <v>3763</v>
      </c>
      <c r="D79" s="3184">
        <v>156.62</v>
      </c>
      <c r="E79" s="3185">
        <v>45666</v>
      </c>
      <c r="F79" s="3185">
        <v>46721</v>
      </c>
    </row>
    <row r="80" spans="1:6">
      <c r="A80" s="3183">
        <v>78</v>
      </c>
      <c r="B80" s="3184" t="s">
        <v>3695</v>
      </c>
      <c r="C80" s="3184" t="s">
        <v>3764</v>
      </c>
      <c r="D80" s="3184">
        <v>156.55000000000001</v>
      </c>
      <c r="E80" s="3185">
        <v>45276</v>
      </c>
      <c r="F80" s="3185">
        <v>46371</v>
      </c>
    </row>
    <row r="81" spans="1:6">
      <c r="A81" s="3183">
        <v>79</v>
      </c>
      <c r="B81" s="3184" t="s">
        <v>3695</v>
      </c>
      <c r="C81" s="3184" t="s">
        <v>3765</v>
      </c>
      <c r="D81" s="3184">
        <v>156.31</v>
      </c>
      <c r="E81" s="3185">
        <v>45598</v>
      </c>
      <c r="F81" s="3185">
        <v>46691</v>
      </c>
    </row>
    <row r="82" spans="1:6">
      <c r="A82" s="3183">
        <v>80</v>
      </c>
      <c r="B82" s="3184" t="s">
        <v>3695</v>
      </c>
      <c r="C82" s="3184" t="s">
        <v>3766</v>
      </c>
      <c r="D82" s="3184">
        <v>155.47999999999999</v>
      </c>
      <c r="E82" s="3185">
        <v>44222</v>
      </c>
      <c r="F82" s="3185">
        <v>46127</v>
      </c>
    </row>
    <row r="83" spans="1:6">
      <c r="A83" s="3183">
        <v>81</v>
      </c>
      <c r="B83" s="3184" t="s">
        <v>3695</v>
      </c>
      <c r="C83" s="3184" t="s">
        <v>3767</v>
      </c>
      <c r="D83" s="3184">
        <v>153.4</v>
      </c>
      <c r="E83" s="3185">
        <v>45184</v>
      </c>
      <c r="F83" s="3185">
        <v>46630</v>
      </c>
    </row>
    <row r="84" spans="1:6">
      <c r="A84" s="3183">
        <v>82</v>
      </c>
      <c r="B84" s="3184" t="s">
        <v>3695</v>
      </c>
      <c r="C84" s="3184" t="s">
        <v>3768</v>
      </c>
      <c r="D84" s="3184">
        <v>152.75</v>
      </c>
      <c r="E84" s="3185">
        <v>44191</v>
      </c>
      <c r="F84" s="3185">
        <v>45747</v>
      </c>
    </row>
    <row r="85" spans="1:6">
      <c r="A85" s="3183">
        <v>83</v>
      </c>
      <c r="B85" s="3184" t="s">
        <v>3695</v>
      </c>
      <c r="C85" s="3184" t="s">
        <v>3768</v>
      </c>
      <c r="D85" s="3184">
        <v>152.75</v>
      </c>
      <c r="E85" s="3185">
        <v>45748</v>
      </c>
      <c r="F85" s="3185">
        <v>45930</v>
      </c>
    </row>
    <row r="86" spans="1:6">
      <c r="A86" s="3183">
        <v>84</v>
      </c>
      <c r="B86" s="3184" t="s">
        <v>3695</v>
      </c>
      <c r="C86" s="3184" t="s">
        <v>3769</v>
      </c>
      <c r="D86" s="3184">
        <v>148.72999999999999</v>
      </c>
      <c r="E86" s="3185">
        <v>45566</v>
      </c>
      <c r="F86" s="3185">
        <v>45747</v>
      </c>
    </row>
    <row r="87" spans="1:6">
      <c r="A87" s="3183">
        <v>85</v>
      </c>
      <c r="B87" s="3184" t="s">
        <v>3695</v>
      </c>
      <c r="C87" s="3184" t="s">
        <v>3770</v>
      </c>
      <c r="D87" s="3184">
        <v>148.18</v>
      </c>
      <c r="E87" s="3185">
        <v>45597</v>
      </c>
      <c r="F87" s="3185">
        <v>46691</v>
      </c>
    </row>
    <row r="88" spans="1:6">
      <c r="A88" s="3183">
        <v>86</v>
      </c>
      <c r="B88" s="3184" t="s">
        <v>3695</v>
      </c>
      <c r="C88" s="3184" t="s">
        <v>3771</v>
      </c>
      <c r="D88" s="3184">
        <v>146.22999999999999</v>
      </c>
      <c r="E88" s="3185">
        <v>45383</v>
      </c>
      <c r="F88" s="3185">
        <v>45747</v>
      </c>
    </row>
    <row r="89" spans="1:6">
      <c r="A89" s="3183">
        <v>87</v>
      </c>
      <c r="B89" s="3184" t="s">
        <v>3695</v>
      </c>
      <c r="C89" s="3184" t="s">
        <v>3771</v>
      </c>
      <c r="D89" s="3184">
        <v>146.22999999999999</v>
      </c>
      <c r="E89" s="3185">
        <v>45748</v>
      </c>
      <c r="F89" s="3185">
        <v>46112</v>
      </c>
    </row>
    <row r="90" spans="1:6">
      <c r="A90" s="3183">
        <v>88</v>
      </c>
      <c r="B90" s="3184" t="s">
        <v>3695</v>
      </c>
      <c r="C90" s="3184" t="s">
        <v>3772</v>
      </c>
      <c r="D90" s="3184">
        <v>146.04</v>
      </c>
      <c r="E90" s="3185">
        <v>45440</v>
      </c>
      <c r="F90" s="3185">
        <v>46512</v>
      </c>
    </row>
    <row r="91" spans="1:6">
      <c r="A91" s="3183">
        <v>89</v>
      </c>
      <c r="B91" s="3184" t="s">
        <v>3695</v>
      </c>
      <c r="C91" s="3184" t="s">
        <v>3773</v>
      </c>
      <c r="D91" s="3184">
        <v>146</v>
      </c>
      <c r="E91" s="3185">
        <v>44805</v>
      </c>
      <c r="F91" s="3185">
        <v>45900</v>
      </c>
    </row>
    <row r="92" spans="1:6">
      <c r="A92" s="3183">
        <v>90</v>
      </c>
      <c r="B92" s="3184" t="s">
        <v>3695</v>
      </c>
      <c r="C92" s="3184" t="s">
        <v>3774</v>
      </c>
      <c r="D92" s="3184">
        <v>145.02000000000001</v>
      </c>
      <c r="E92" s="3185">
        <v>45659</v>
      </c>
      <c r="F92" s="3185">
        <v>46735</v>
      </c>
    </row>
    <row r="93" spans="1:6">
      <c r="A93" s="3183">
        <v>91</v>
      </c>
      <c r="B93" s="3184" t="s">
        <v>3695</v>
      </c>
      <c r="C93" s="3184" t="s">
        <v>3775</v>
      </c>
      <c r="D93" s="3184">
        <v>143.09</v>
      </c>
      <c r="E93" s="3185">
        <v>44222</v>
      </c>
      <c r="F93" s="3185">
        <v>46127</v>
      </c>
    </row>
    <row r="94" spans="1:6">
      <c r="A94" s="3183">
        <v>92</v>
      </c>
      <c r="B94" s="3184" t="s">
        <v>3695</v>
      </c>
      <c r="C94" s="3184" t="s">
        <v>3776</v>
      </c>
      <c r="D94" s="3184">
        <v>141.47999999999999</v>
      </c>
      <c r="E94" s="3185">
        <v>45383</v>
      </c>
      <c r="F94" s="3185">
        <v>45747</v>
      </c>
    </row>
    <row r="95" spans="1:6">
      <c r="A95" s="3183">
        <v>93</v>
      </c>
      <c r="B95" s="3184" t="s">
        <v>3695</v>
      </c>
      <c r="C95" s="3184" t="s">
        <v>3776</v>
      </c>
      <c r="D95" s="3184">
        <v>141.47999999999999</v>
      </c>
      <c r="E95" s="3185">
        <v>45748</v>
      </c>
      <c r="F95" s="3185">
        <v>46112</v>
      </c>
    </row>
    <row r="96" spans="1:6">
      <c r="A96" s="3183">
        <v>94</v>
      </c>
      <c r="B96" s="3184" t="s">
        <v>3695</v>
      </c>
      <c r="C96" s="3184" t="s">
        <v>3777</v>
      </c>
      <c r="D96" s="3184">
        <v>139.55000000000001</v>
      </c>
      <c r="E96" s="3185">
        <v>45511</v>
      </c>
      <c r="F96" s="3185">
        <v>47361</v>
      </c>
    </row>
    <row r="97" spans="1:6">
      <c r="A97" s="3183">
        <v>95</v>
      </c>
      <c r="B97" s="3184" t="s">
        <v>3695</v>
      </c>
      <c r="C97" s="3184" t="s">
        <v>3720</v>
      </c>
      <c r="D97" s="3184">
        <v>138.44</v>
      </c>
      <c r="E97" s="3185">
        <v>44196</v>
      </c>
      <c r="F97" s="3185">
        <v>45707</v>
      </c>
    </row>
    <row r="98" spans="1:6">
      <c r="A98" s="3183">
        <v>96</v>
      </c>
      <c r="B98" s="3184" t="s">
        <v>3695</v>
      </c>
      <c r="C98" s="3184" t="s">
        <v>3778</v>
      </c>
      <c r="D98" s="3184">
        <v>138.43</v>
      </c>
      <c r="E98" s="3185">
        <v>45722</v>
      </c>
      <c r="F98" s="3185">
        <v>46802</v>
      </c>
    </row>
    <row r="99" spans="1:6">
      <c r="A99" s="3183">
        <v>97</v>
      </c>
      <c r="B99" s="3184" t="s">
        <v>3695</v>
      </c>
      <c r="C99" s="3184" t="s">
        <v>3779</v>
      </c>
      <c r="D99" s="3184">
        <v>138.41999999999999</v>
      </c>
      <c r="E99" s="3185">
        <v>45383</v>
      </c>
      <c r="F99" s="3185">
        <v>45747</v>
      </c>
    </row>
    <row r="100" spans="1:6">
      <c r="A100" s="3183">
        <v>98</v>
      </c>
      <c r="B100" s="3184" t="s">
        <v>3695</v>
      </c>
      <c r="C100" s="3184" t="s">
        <v>3780</v>
      </c>
      <c r="D100" s="3184">
        <v>138.34</v>
      </c>
      <c r="E100" s="3185">
        <v>45756</v>
      </c>
      <c r="F100" s="3185">
        <v>46843</v>
      </c>
    </row>
    <row r="101" spans="1:6">
      <c r="A101" s="3183">
        <v>99</v>
      </c>
      <c r="B101" s="3184" t="s">
        <v>3695</v>
      </c>
      <c r="C101" s="3184" t="s">
        <v>3781</v>
      </c>
      <c r="D101" s="3184">
        <v>137.21</v>
      </c>
      <c r="E101" s="3185">
        <v>45749</v>
      </c>
      <c r="F101" s="3185">
        <v>46843</v>
      </c>
    </row>
    <row r="102" spans="1:6">
      <c r="A102" s="3183">
        <v>100</v>
      </c>
      <c r="B102" s="3184" t="s">
        <v>3695</v>
      </c>
      <c r="C102" s="3184" t="s">
        <v>3782</v>
      </c>
      <c r="D102" s="3184">
        <v>137.16</v>
      </c>
      <c r="E102" s="3185">
        <v>44218</v>
      </c>
      <c r="F102" s="3185">
        <v>45747</v>
      </c>
    </row>
    <row r="103" spans="1:6">
      <c r="A103" s="3183">
        <v>101</v>
      </c>
      <c r="B103" s="3184" t="s">
        <v>3695</v>
      </c>
      <c r="C103" s="3184" t="s">
        <v>3783</v>
      </c>
      <c r="D103" s="3184">
        <v>132.59</v>
      </c>
      <c r="E103" s="3185">
        <v>44958</v>
      </c>
      <c r="F103" s="3185">
        <v>45961</v>
      </c>
    </row>
    <row r="104" spans="1:6">
      <c r="A104" s="3183">
        <v>102</v>
      </c>
      <c r="B104" s="3184" t="s">
        <v>3695</v>
      </c>
      <c r="C104" s="3184" t="s">
        <v>3784</v>
      </c>
      <c r="D104" s="3184">
        <v>130.82</v>
      </c>
      <c r="E104" s="3185">
        <v>44195</v>
      </c>
      <c r="F104" s="3185">
        <v>45747</v>
      </c>
    </row>
    <row r="105" spans="1:6">
      <c r="A105" s="3183">
        <v>103</v>
      </c>
      <c r="B105" s="3184" t="s">
        <v>3695</v>
      </c>
      <c r="C105" s="3184" t="s">
        <v>3785</v>
      </c>
      <c r="D105" s="3184">
        <v>130.22999999999999</v>
      </c>
      <c r="E105" s="3185">
        <v>45538</v>
      </c>
      <c r="F105" s="3185">
        <v>46599</v>
      </c>
    </row>
    <row r="106" spans="1:6">
      <c r="A106" s="3183">
        <v>104</v>
      </c>
      <c r="B106" s="3184" t="s">
        <v>3695</v>
      </c>
      <c r="C106" s="3184" t="s">
        <v>3786</v>
      </c>
      <c r="D106" s="3184">
        <v>130.16999999999999</v>
      </c>
      <c r="E106" s="3185">
        <v>44182</v>
      </c>
      <c r="F106" s="3185">
        <v>46477</v>
      </c>
    </row>
    <row r="107" spans="1:6">
      <c r="A107" s="3183">
        <v>105</v>
      </c>
      <c r="B107" s="3184" t="s">
        <v>3695</v>
      </c>
      <c r="C107" s="3184" t="s">
        <v>3787</v>
      </c>
      <c r="D107" s="3184">
        <v>129.72999999999999</v>
      </c>
      <c r="E107" s="3185">
        <v>44175</v>
      </c>
      <c r="F107" s="3185">
        <v>45747</v>
      </c>
    </row>
    <row r="108" spans="1:6">
      <c r="A108" s="3183">
        <v>106</v>
      </c>
      <c r="B108" s="3184" t="s">
        <v>3695</v>
      </c>
      <c r="C108" s="3184" t="s">
        <v>3787</v>
      </c>
      <c r="D108" s="3184">
        <v>129.72999999999999</v>
      </c>
      <c r="E108" s="3185">
        <v>45748</v>
      </c>
      <c r="F108" s="3185">
        <v>46843</v>
      </c>
    </row>
    <row r="109" spans="1:6">
      <c r="A109" s="3183">
        <v>107</v>
      </c>
      <c r="B109" s="3184" t="s">
        <v>3695</v>
      </c>
      <c r="C109" s="3184" t="s">
        <v>3788</v>
      </c>
      <c r="D109" s="3184">
        <v>127.01</v>
      </c>
      <c r="E109" s="3185">
        <v>45497</v>
      </c>
      <c r="F109" s="3185">
        <v>46568</v>
      </c>
    </row>
    <row r="110" spans="1:6">
      <c r="A110" s="3183">
        <v>108</v>
      </c>
      <c r="B110" s="3184" t="s">
        <v>3695</v>
      </c>
      <c r="C110" s="3184" t="s">
        <v>3789</v>
      </c>
      <c r="D110" s="3184">
        <v>125.75</v>
      </c>
      <c r="E110" s="3185">
        <v>44792</v>
      </c>
      <c r="F110" s="3185">
        <v>45960</v>
      </c>
    </row>
    <row r="111" spans="1:6">
      <c r="A111" s="3183">
        <v>109</v>
      </c>
      <c r="B111" s="3184" t="s">
        <v>3695</v>
      </c>
      <c r="C111" s="3184" t="s">
        <v>3790</v>
      </c>
      <c r="D111" s="3184">
        <v>122.48</v>
      </c>
      <c r="E111" s="3185">
        <v>45604</v>
      </c>
      <c r="F111" s="3185">
        <v>46675</v>
      </c>
    </row>
    <row r="112" spans="1:6">
      <c r="A112" s="3183">
        <v>110</v>
      </c>
      <c r="B112" s="3184" t="s">
        <v>3695</v>
      </c>
      <c r="C112" s="3184" t="s">
        <v>3791</v>
      </c>
      <c r="D112" s="3184">
        <v>120.81</v>
      </c>
      <c r="E112" s="3185">
        <v>45488</v>
      </c>
      <c r="F112" s="3185">
        <v>46582</v>
      </c>
    </row>
    <row r="113" spans="1:6">
      <c r="A113" s="3183">
        <v>111</v>
      </c>
      <c r="B113" s="3184" t="s">
        <v>3695</v>
      </c>
      <c r="C113" s="3184" t="s">
        <v>3792</v>
      </c>
      <c r="D113" s="3184">
        <v>120.28</v>
      </c>
      <c r="E113" s="3185">
        <v>45743</v>
      </c>
      <c r="F113" s="3185">
        <v>47149</v>
      </c>
    </row>
    <row r="114" spans="1:6">
      <c r="A114" s="3183">
        <v>112</v>
      </c>
      <c r="B114" s="3184" t="s">
        <v>3793</v>
      </c>
      <c r="C114" s="3184" t="s">
        <v>3794</v>
      </c>
      <c r="D114" s="3184">
        <v>120.08</v>
      </c>
      <c r="E114" s="3185">
        <v>45594</v>
      </c>
      <c r="F114" s="3185">
        <v>45686</v>
      </c>
    </row>
    <row r="115" spans="1:6">
      <c r="A115" s="3183">
        <v>113</v>
      </c>
      <c r="B115" s="3184" t="s">
        <v>3793</v>
      </c>
      <c r="C115" s="3184" t="s">
        <v>3794</v>
      </c>
      <c r="D115" s="3184">
        <v>120.08</v>
      </c>
      <c r="E115" s="3185">
        <v>45686</v>
      </c>
      <c r="F115" s="3185">
        <v>45704</v>
      </c>
    </row>
    <row r="116" spans="1:6">
      <c r="A116" s="3183">
        <v>114</v>
      </c>
      <c r="B116" s="3184" t="s">
        <v>3695</v>
      </c>
      <c r="C116" s="3184" t="s">
        <v>3795</v>
      </c>
      <c r="D116" s="3184">
        <v>119.87</v>
      </c>
      <c r="E116" s="3185">
        <v>45398</v>
      </c>
      <c r="F116" s="3185">
        <v>45762</v>
      </c>
    </row>
    <row r="117" spans="1:6">
      <c r="A117" s="3183">
        <v>115</v>
      </c>
      <c r="B117" s="3184" t="s">
        <v>3695</v>
      </c>
      <c r="C117" s="3184" t="s">
        <v>3796</v>
      </c>
      <c r="D117" s="3184">
        <v>118.82</v>
      </c>
      <c r="E117" s="3185">
        <v>45383</v>
      </c>
      <c r="F117" s="3185">
        <v>45747</v>
      </c>
    </row>
    <row r="118" spans="1:6">
      <c r="A118" s="3183">
        <v>116</v>
      </c>
      <c r="B118" s="3184" t="s">
        <v>3695</v>
      </c>
      <c r="C118" s="3184" t="s">
        <v>3797</v>
      </c>
      <c r="D118" s="3184">
        <v>118.82</v>
      </c>
      <c r="E118" s="3185">
        <v>45748</v>
      </c>
      <c r="F118" s="3185">
        <v>46843</v>
      </c>
    </row>
    <row r="119" spans="1:6">
      <c r="A119" s="3183">
        <v>117</v>
      </c>
      <c r="B119" s="3184" t="s">
        <v>3695</v>
      </c>
      <c r="C119" s="3184" t="s">
        <v>3798</v>
      </c>
      <c r="D119" s="3184">
        <v>117.86</v>
      </c>
      <c r="E119" s="3185">
        <v>45383</v>
      </c>
      <c r="F119" s="3185">
        <v>46477</v>
      </c>
    </row>
    <row r="120" spans="1:6">
      <c r="A120" s="3183">
        <v>118</v>
      </c>
      <c r="B120" s="3184" t="s">
        <v>3695</v>
      </c>
      <c r="C120" s="3184" t="s">
        <v>3799</v>
      </c>
      <c r="D120" s="3184">
        <v>117.49</v>
      </c>
      <c r="E120" s="3185">
        <v>44977</v>
      </c>
      <c r="F120" s="3185">
        <v>46112</v>
      </c>
    </row>
    <row r="121" spans="1:6">
      <c r="A121" s="3183">
        <v>119</v>
      </c>
      <c r="B121" s="3184" t="s">
        <v>3695</v>
      </c>
      <c r="C121" s="3184" t="s">
        <v>3800</v>
      </c>
      <c r="D121" s="3184">
        <v>114.45</v>
      </c>
      <c r="E121" s="3185">
        <v>45383</v>
      </c>
      <c r="F121" s="3185">
        <v>46477</v>
      </c>
    </row>
    <row r="122" spans="1:6">
      <c r="A122" s="3183">
        <v>120</v>
      </c>
      <c r="B122" s="3184" t="s">
        <v>3695</v>
      </c>
      <c r="C122" s="3184" t="s">
        <v>3801</v>
      </c>
      <c r="D122" s="3184">
        <v>112.85</v>
      </c>
      <c r="E122" s="3185">
        <v>44866</v>
      </c>
      <c r="F122" s="3185">
        <v>45961</v>
      </c>
    </row>
    <row r="123" spans="1:6">
      <c r="A123" s="3183">
        <v>121</v>
      </c>
      <c r="B123" s="3184" t="s">
        <v>3695</v>
      </c>
      <c r="C123" s="3184" t="s">
        <v>3802</v>
      </c>
      <c r="D123" s="3184">
        <v>112.1</v>
      </c>
      <c r="E123" s="3185">
        <v>45323</v>
      </c>
      <c r="F123" s="3185">
        <v>45688</v>
      </c>
    </row>
    <row r="124" spans="1:6">
      <c r="A124" s="3183">
        <v>122</v>
      </c>
      <c r="B124" s="3184" t="s">
        <v>3695</v>
      </c>
      <c r="C124" s="3184" t="s">
        <v>3802</v>
      </c>
      <c r="D124" s="3184">
        <v>112.1</v>
      </c>
      <c r="E124" s="3185">
        <v>45689</v>
      </c>
      <c r="F124" s="3185">
        <v>46053</v>
      </c>
    </row>
    <row r="125" spans="1:6">
      <c r="A125" s="3183">
        <v>123</v>
      </c>
      <c r="B125" s="3184" t="s">
        <v>3695</v>
      </c>
      <c r="C125" s="3184" t="s">
        <v>3803</v>
      </c>
      <c r="D125" s="3184">
        <v>109.54</v>
      </c>
      <c r="E125" s="3185">
        <v>45645</v>
      </c>
      <c r="F125" s="3185">
        <v>46721</v>
      </c>
    </row>
    <row r="126" spans="1:6">
      <c r="A126" s="3183">
        <v>124</v>
      </c>
      <c r="B126" s="3184" t="s">
        <v>3695</v>
      </c>
      <c r="C126" s="3184" t="s">
        <v>3804</v>
      </c>
      <c r="D126" s="3184">
        <v>108.59</v>
      </c>
      <c r="E126" s="3185">
        <v>45658</v>
      </c>
      <c r="F126" s="3185">
        <v>46022</v>
      </c>
    </row>
    <row r="127" spans="1:6">
      <c r="A127" s="3183">
        <v>125</v>
      </c>
      <c r="B127" s="3184" t="s">
        <v>3695</v>
      </c>
      <c r="C127" s="3184" t="s">
        <v>3805</v>
      </c>
      <c r="D127" s="3184">
        <v>108.08</v>
      </c>
      <c r="E127" s="3185">
        <v>44140</v>
      </c>
      <c r="F127" s="3185">
        <v>45747</v>
      </c>
    </row>
    <row r="128" spans="1:6">
      <c r="A128" s="3183">
        <v>126</v>
      </c>
      <c r="B128" s="3184" t="s">
        <v>3695</v>
      </c>
      <c r="C128" s="3184" t="s">
        <v>3805</v>
      </c>
      <c r="D128" s="3184">
        <v>108.08</v>
      </c>
      <c r="E128" s="3185">
        <v>45748</v>
      </c>
      <c r="F128" s="3185">
        <v>46843</v>
      </c>
    </row>
    <row r="129" spans="1:6">
      <c r="A129" s="3183">
        <v>127</v>
      </c>
      <c r="B129" s="3184" t="s">
        <v>3695</v>
      </c>
      <c r="C129" s="3184" t="s">
        <v>3806</v>
      </c>
      <c r="D129" s="3184">
        <v>107.87</v>
      </c>
      <c r="E129" s="3185">
        <v>44153</v>
      </c>
      <c r="F129" s="3185">
        <v>45747</v>
      </c>
    </row>
    <row r="130" spans="1:6">
      <c r="A130" s="3183">
        <v>128</v>
      </c>
      <c r="B130" s="3184" t="s">
        <v>3695</v>
      </c>
      <c r="C130" s="3184" t="s">
        <v>3806</v>
      </c>
      <c r="D130" s="3184">
        <v>107.87</v>
      </c>
      <c r="E130" s="3185">
        <v>45748</v>
      </c>
      <c r="F130" s="3185">
        <v>45838</v>
      </c>
    </row>
    <row r="131" spans="1:6">
      <c r="A131" s="3183">
        <v>129</v>
      </c>
      <c r="B131" s="3184" t="s">
        <v>3695</v>
      </c>
      <c r="C131" s="3184" t="s">
        <v>3780</v>
      </c>
      <c r="D131" s="3184">
        <v>106.29</v>
      </c>
      <c r="E131" s="3185">
        <v>45398</v>
      </c>
      <c r="F131" s="3185">
        <v>45762</v>
      </c>
    </row>
    <row r="132" spans="1:6">
      <c r="A132" s="3183">
        <v>130</v>
      </c>
      <c r="B132" s="3184" t="s">
        <v>3695</v>
      </c>
      <c r="C132" s="3184" t="s">
        <v>3807</v>
      </c>
      <c r="D132" s="3184">
        <v>105.69</v>
      </c>
      <c r="E132" s="3185">
        <v>45390</v>
      </c>
      <c r="F132" s="3185">
        <v>46117</v>
      </c>
    </row>
    <row r="133" spans="1:6">
      <c r="A133" s="3183">
        <v>131</v>
      </c>
      <c r="B133" s="3184" t="s">
        <v>3695</v>
      </c>
      <c r="C133" s="3184" t="s">
        <v>3808</v>
      </c>
      <c r="D133" s="3184">
        <v>105.68</v>
      </c>
      <c r="E133" s="3185">
        <v>45538</v>
      </c>
      <c r="F133" s="3185">
        <v>46630</v>
      </c>
    </row>
    <row r="134" spans="1:6">
      <c r="A134" s="3183">
        <v>132</v>
      </c>
      <c r="B134" s="3184" t="s">
        <v>3695</v>
      </c>
      <c r="C134" s="3184" t="s">
        <v>3809</v>
      </c>
      <c r="D134" s="3184">
        <v>103.97</v>
      </c>
      <c r="E134" s="3185">
        <v>45295</v>
      </c>
      <c r="F134" s="3185">
        <v>45747</v>
      </c>
    </row>
    <row r="135" spans="1:6">
      <c r="A135" s="3183">
        <v>133</v>
      </c>
      <c r="B135" s="3184" t="s">
        <v>3695</v>
      </c>
      <c r="C135" s="3184" t="s">
        <v>3810</v>
      </c>
      <c r="D135" s="3184">
        <v>102.98</v>
      </c>
      <c r="E135" s="3185">
        <v>45398</v>
      </c>
      <c r="F135" s="3185">
        <v>45762</v>
      </c>
    </row>
    <row r="136" spans="1:6">
      <c r="A136" s="3183">
        <v>134</v>
      </c>
      <c r="B136" s="3184" t="s">
        <v>3695</v>
      </c>
      <c r="C136" s="3184" t="s">
        <v>3811</v>
      </c>
      <c r="D136" s="3184">
        <v>102.27</v>
      </c>
      <c r="E136" s="3185">
        <v>45035</v>
      </c>
      <c r="F136" s="3185">
        <v>46173</v>
      </c>
    </row>
    <row r="137" spans="1:6">
      <c r="A137" s="3183">
        <v>135</v>
      </c>
      <c r="B137" s="3184" t="s">
        <v>3793</v>
      </c>
      <c r="C137" s="3184" t="s">
        <v>3776</v>
      </c>
      <c r="D137" s="3184">
        <v>101.08</v>
      </c>
      <c r="E137" s="3185">
        <v>45754</v>
      </c>
      <c r="F137" s="3185">
        <v>45784</v>
      </c>
    </row>
    <row r="138" spans="1:6">
      <c r="A138" s="3183">
        <v>136</v>
      </c>
      <c r="B138" s="3184" t="s">
        <v>3793</v>
      </c>
      <c r="C138" s="3184" t="s">
        <v>3794</v>
      </c>
      <c r="D138" s="3184">
        <v>100.17</v>
      </c>
      <c r="E138" s="3185">
        <v>45674</v>
      </c>
      <c r="F138" s="3185">
        <v>45675</v>
      </c>
    </row>
    <row r="139" spans="1:6">
      <c r="A139" s="3183">
        <v>137</v>
      </c>
      <c r="B139" s="3184" t="s">
        <v>3695</v>
      </c>
      <c r="C139" s="3184" t="s">
        <v>3812</v>
      </c>
      <c r="D139" s="3184">
        <v>99.28</v>
      </c>
      <c r="E139" s="3185">
        <v>44638</v>
      </c>
      <c r="F139" s="3185">
        <v>45747</v>
      </c>
    </row>
    <row r="140" spans="1:6">
      <c r="A140" s="3183">
        <v>138</v>
      </c>
      <c r="B140" s="3184" t="s">
        <v>3695</v>
      </c>
      <c r="C140" s="3184" t="s">
        <v>3813</v>
      </c>
      <c r="D140" s="3184">
        <v>99.28</v>
      </c>
      <c r="E140" s="3185">
        <v>45748</v>
      </c>
      <c r="F140" s="3185">
        <v>46843</v>
      </c>
    </row>
    <row r="141" spans="1:6">
      <c r="A141" s="3183">
        <v>139</v>
      </c>
      <c r="B141" s="3184" t="s">
        <v>3695</v>
      </c>
      <c r="C141" s="3184" t="s">
        <v>3814</v>
      </c>
      <c r="D141" s="3184">
        <v>98.95</v>
      </c>
      <c r="E141" s="3185">
        <v>45601</v>
      </c>
      <c r="F141" s="3185">
        <v>45747</v>
      </c>
    </row>
    <row r="142" spans="1:6">
      <c r="A142" s="3183">
        <v>140</v>
      </c>
      <c r="B142" s="3184" t="s">
        <v>3695</v>
      </c>
      <c r="C142" s="3184" t="s">
        <v>3815</v>
      </c>
      <c r="D142" s="3184">
        <v>98.95</v>
      </c>
      <c r="E142" s="3185">
        <v>45750</v>
      </c>
      <c r="F142" s="3185">
        <v>45869</v>
      </c>
    </row>
    <row r="143" spans="1:6">
      <c r="A143" s="3183">
        <v>141</v>
      </c>
      <c r="B143" s="3184" t="s">
        <v>3695</v>
      </c>
      <c r="C143" s="3184" t="s">
        <v>3816</v>
      </c>
      <c r="D143" s="3184">
        <v>98.64</v>
      </c>
      <c r="E143" s="3185">
        <v>45666</v>
      </c>
      <c r="F143" s="3185">
        <v>46387</v>
      </c>
    </row>
    <row r="144" spans="1:6">
      <c r="A144" s="3183">
        <v>142</v>
      </c>
      <c r="B144" s="3184" t="s">
        <v>3695</v>
      </c>
      <c r="C144" s="3184" t="s">
        <v>3817</v>
      </c>
      <c r="D144" s="3184">
        <v>97.73</v>
      </c>
      <c r="E144" s="3185">
        <v>44190</v>
      </c>
      <c r="F144" s="3185">
        <v>46127</v>
      </c>
    </row>
    <row r="145" spans="1:6">
      <c r="A145" s="3183">
        <v>143</v>
      </c>
      <c r="B145" s="3184" t="s">
        <v>3695</v>
      </c>
      <c r="C145" s="3184" t="s">
        <v>3818</v>
      </c>
      <c r="D145" s="3184">
        <v>96.95</v>
      </c>
      <c r="E145" s="3185">
        <v>44774</v>
      </c>
      <c r="F145" s="3185">
        <v>46649</v>
      </c>
    </row>
    <row r="146" spans="1:6">
      <c r="A146" s="3183">
        <v>144</v>
      </c>
      <c r="B146" s="3184" t="s">
        <v>3695</v>
      </c>
      <c r="C146" s="3184" t="s">
        <v>3819</v>
      </c>
      <c r="D146" s="3184">
        <v>96.24</v>
      </c>
      <c r="E146" s="3185">
        <v>45509</v>
      </c>
      <c r="F146" s="3185">
        <v>46603</v>
      </c>
    </row>
    <row r="147" spans="1:6">
      <c r="A147" s="3183">
        <v>145</v>
      </c>
      <c r="B147" s="3184" t="s">
        <v>3695</v>
      </c>
      <c r="C147" s="3184" t="s">
        <v>3820</v>
      </c>
      <c r="D147" s="3184">
        <v>93.8</v>
      </c>
      <c r="E147" s="3185">
        <v>45597</v>
      </c>
      <c r="F147" s="3185">
        <v>45716</v>
      </c>
    </row>
    <row r="148" spans="1:6">
      <c r="A148" s="3183">
        <v>146</v>
      </c>
      <c r="B148" s="3184" t="s">
        <v>3695</v>
      </c>
      <c r="C148" s="3184" t="s">
        <v>3820</v>
      </c>
      <c r="D148" s="3184">
        <v>93.8</v>
      </c>
      <c r="E148" s="3185">
        <v>45717</v>
      </c>
      <c r="F148" s="3185">
        <v>45808</v>
      </c>
    </row>
    <row r="149" spans="1:6">
      <c r="A149" s="3183">
        <v>147</v>
      </c>
      <c r="B149" s="3184" t="s">
        <v>3695</v>
      </c>
      <c r="C149" s="3184" t="s">
        <v>3821</v>
      </c>
      <c r="D149" s="3184">
        <v>92.39</v>
      </c>
      <c r="E149" s="3185">
        <v>45631</v>
      </c>
      <c r="F149" s="3185">
        <v>46691</v>
      </c>
    </row>
    <row r="150" spans="1:6">
      <c r="A150" s="3183">
        <v>148</v>
      </c>
      <c r="B150" s="3184" t="s">
        <v>3695</v>
      </c>
      <c r="C150" s="3184" t="s">
        <v>3822</v>
      </c>
      <c r="D150" s="3184">
        <v>89.93</v>
      </c>
      <c r="E150" s="3185">
        <v>45749</v>
      </c>
      <c r="F150" s="3185">
        <v>46843</v>
      </c>
    </row>
    <row r="151" spans="1:6">
      <c r="A151" s="3183">
        <v>149</v>
      </c>
      <c r="B151" s="3184" t="s">
        <v>3695</v>
      </c>
      <c r="C151" s="3184" t="s">
        <v>3823</v>
      </c>
      <c r="D151" s="3184">
        <v>89.92</v>
      </c>
      <c r="E151" s="3185">
        <v>45383</v>
      </c>
      <c r="F151" s="3185">
        <v>45747</v>
      </c>
    </row>
    <row r="152" spans="1:6">
      <c r="A152" s="3183">
        <v>150</v>
      </c>
      <c r="B152" s="3184" t="s">
        <v>3695</v>
      </c>
      <c r="C152" s="3184" t="s">
        <v>3824</v>
      </c>
      <c r="D152" s="3184">
        <v>88.75</v>
      </c>
      <c r="E152" s="3185">
        <v>44897</v>
      </c>
      <c r="F152" s="3185">
        <v>45991</v>
      </c>
    </row>
    <row r="153" spans="1:6">
      <c r="A153" s="3183">
        <v>151</v>
      </c>
      <c r="B153" s="3184" t="s">
        <v>3695</v>
      </c>
      <c r="C153" s="3184" t="s">
        <v>3825</v>
      </c>
      <c r="D153" s="3184">
        <v>88.42</v>
      </c>
      <c r="E153" s="3185">
        <v>45245</v>
      </c>
      <c r="F153" s="3185">
        <v>46356</v>
      </c>
    </row>
    <row r="154" spans="1:6">
      <c r="A154" s="3183">
        <v>152</v>
      </c>
      <c r="B154" s="3184" t="s">
        <v>3695</v>
      </c>
      <c r="C154" s="3184" t="s">
        <v>3826</v>
      </c>
      <c r="D154" s="3184">
        <v>87.67</v>
      </c>
      <c r="E154" s="3185">
        <v>45474</v>
      </c>
      <c r="F154" s="3185">
        <v>46568</v>
      </c>
    </row>
    <row r="155" spans="1:6">
      <c r="A155" s="3183">
        <v>153</v>
      </c>
      <c r="B155" s="3184" t="s">
        <v>3695</v>
      </c>
      <c r="C155" s="3184" t="s">
        <v>3827</v>
      </c>
      <c r="D155" s="3184">
        <v>87.62</v>
      </c>
      <c r="E155" s="3185">
        <v>44880</v>
      </c>
      <c r="F155" s="3185">
        <v>45961</v>
      </c>
    </row>
    <row r="156" spans="1:6">
      <c r="A156" s="3183">
        <v>154</v>
      </c>
      <c r="B156" s="3184" t="s">
        <v>3695</v>
      </c>
      <c r="C156" s="3184" t="s">
        <v>3828</v>
      </c>
      <c r="D156" s="3184">
        <v>86.17</v>
      </c>
      <c r="E156" s="3185">
        <v>45479</v>
      </c>
      <c r="F156" s="3185">
        <v>46538</v>
      </c>
    </row>
    <row r="157" spans="1:6">
      <c r="A157" s="3183">
        <v>155</v>
      </c>
      <c r="B157" s="3184" t="s">
        <v>3695</v>
      </c>
      <c r="C157" s="3184" t="s">
        <v>3829</v>
      </c>
      <c r="D157" s="3184">
        <v>85.52</v>
      </c>
      <c r="E157" s="3185">
        <v>45519</v>
      </c>
      <c r="F157" s="3185">
        <v>46234</v>
      </c>
    </row>
    <row r="158" spans="1:6">
      <c r="A158" s="3183">
        <v>156</v>
      </c>
      <c r="B158" s="3184" t="s">
        <v>3695</v>
      </c>
      <c r="C158" s="3184" t="s">
        <v>3830</v>
      </c>
      <c r="D158" s="3184">
        <v>85.44</v>
      </c>
      <c r="E158" s="3185">
        <v>45383</v>
      </c>
      <c r="F158" s="3185">
        <v>46507</v>
      </c>
    </row>
    <row r="159" spans="1:6">
      <c r="A159" s="3183">
        <v>157</v>
      </c>
      <c r="B159" s="3184" t="s">
        <v>3695</v>
      </c>
      <c r="C159" s="3184" t="s">
        <v>3831</v>
      </c>
      <c r="D159" s="3184">
        <v>82.21</v>
      </c>
      <c r="E159" s="3185">
        <v>45505</v>
      </c>
      <c r="F159" s="3185">
        <v>46599</v>
      </c>
    </row>
    <row r="160" spans="1:6">
      <c r="A160" s="3183">
        <v>158</v>
      </c>
      <c r="B160" s="3184" t="s">
        <v>3695</v>
      </c>
      <c r="C160" s="3184" t="s">
        <v>3832</v>
      </c>
      <c r="D160" s="3184">
        <v>81.93</v>
      </c>
      <c r="E160" s="3185">
        <v>45458</v>
      </c>
      <c r="F160" s="3185">
        <v>46248</v>
      </c>
    </row>
    <row r="161" spans="1:6">
      <c r="A161" s="3183">
        <v>159</v>
      </c>
      <c r="B161" s="3184" t="s">
        <v>3695</v>
      </c>
      <c r="C161" s="3184" t="s">
        <v>3833</v>
      </c>
      <c r="D161" s="3184">
        <v>81.540000000000006</v>
      </c>
      <c r="E161" s="3185">
        <v>45398</v>
      </c>
      <c r="F161" s="3185">
        <v>45762</v>
      </c>
    </row>
    <row r="162" spans="1:6">
      <c r="A162" s="3183">
        <v>160</v>
      </c>
      <c r="B162" s="3184" t="s">
        <v>3695</v>
      </c>
      <c r="C162" s="3184" t="s">
        <v>3834</v>
      </c>
      <c r="D162" s="3184">
        <v>80.52</v>
      </c>
      <c r="E162" s="3185">
        <v>45587</v>
      </c>
      <c r="F162" s="3185">
        <v>46326</v>
      </c>
    </row>
    <row r="163" spans="1:6">
      <c r="A163" s="3183">
        <v>161</v>
      </c>
      <c r="B163" s="3184" t="s">
        <v>3793</v>
      </c>
      <c r="C163" s="3184" t="s">
        <v>3835</v>
      </c>
      <c r="D163" s="3184">
        <v>80.430000000000007</v>
      </c>
      <c r="E163" s="3185">
        <v>45744</v>
      </c>
      <c r="F163" s="3185">
        <v>45746</v>
      </c>
    </row>
    <row r="164" spans="1:6">
      <c r="A164" s="3183">
        <v>162</v>
      </c>
      <c r="B164" s="3184" t="s">
        <v>3793</v>
      </c>
      <c r="C164" s="3184" t="s">
        <v>3711</v>
      </c>
      <c r="D164" s="3184">
        <v>80</v>
      </c>
      <c r="E164" s="3185">
        <v>45649</v>
      </c>
      <c r="F164" s="3185">
        <v>45665</v>
      </c>
    </row>
    <row r="165" spans="1:6">
      <c r="A165" s="3183">
        <v>163</v>
      </c>
      <c r="B165" s="3184" t="s">
        <v>3695</v>
      </c>
      <c r="C165" s="3184" t="s">
        <v>3836</v>
      </c>
      <c r="D165" s="3184">
        <v>78.72</v>
      </c>
      <c r="E165" s="3185">
        <v>45427</v>
      </c>
      <c r="F165" s="3185">
        <v>46882</v>
      </c>
    </row>
    <row r="166" spans="1:6">
      <c r="A166" s="3183">
        <v>164</v>
      </c>
      <c r="B166" s="3184" t="s">
        <v>3695</v>
      </c>
      <c r="C166" s="3184" t="s">
        <v>3837</v>
      </c>
      <c r="D166" s="3184">
        <v>77.180000000000007</v>
      </c>
      <c r="E166" s="3185">
        <v>45383</v>
      </c>
      <c r="F166" s="3185">
        <v>46112</v>
      </c>
    </row>
    <row r="167" spans="1:6">
      <c r="A167" s="3183">
        <v>165</v>
      </c>
      <c r="B167" s="3184" t="s">
        <v>3695</v>
      </c>
      <c r="C167" s="3184" t="s">
        <v>3838</v>
      </c>
      <c r="D167" s="3184">
        <v>76.23</v>
      </c>
      <c r="E167" s="3185">
        <v>44258</v>
      </c>
      <c r="F167" s="3185">
        <v>45747</v>
      </c>
    </row>
    <row r="168" spans="1:6">
      <c r="A168" s="3183">
        <v>166</v>
      </c>
      <c r="B168" s="3184" t="s">
        <v>3695</v>
      </c>
      <c r="C168" s="3184" t="s">
        <v>3839</v>
      </c>
      <c r="D168" s="3184">
        <v>75.84</v>
      </c>
      <c r="E168" s="3185">
        <v>45046</v>
      </c>
      <c r="F168" s="3185">
        <v>46141</v>
      </c>
    </row>
    <row r="169" spans="1:6">
      <c r="A169" s="3183">
        <v>167</v>
      </c>
      <c r="B169" s="3184" t="s">
        <v>3695</v>
      </c>
      <c r="C169" s="3184" t="s">
        <v>3840</v>
      </c>
      <c r="D169" s="3184">
        <v>70.81</v>
      </c>
      <c r="E169" s="3185">
        <v>45653</v>
      </c>
      <c r="F169" s="3185">
        <v>46730</v>
      </c>
    </row>
    <row r="170" spans="1:6">
      <c r="A170" s="3183">
        <v>168</v>
      </c>
      <c r="B170" s="3184" t="s">
        <v>3695</v>
      </c>
      <c r="C170" s="3184" t="s">
        <v>3841</v>
      </c>
      <c r="D170" s="3184">
        <v>66.97</v>
      </c>
      <c r="E170" s="3185">
        <v>45620</v>
      </c>
      <c r="F170" s="3185">
        <v>46326</v>
      </c>
    </row>
    <row r="171" spans="1:6">
      <c r="A171" s="3183">
        <v>169</v>
      </c>
      <c r="B171" s="3184" t="s">
        <v>3695</v>
      </c>
      <c r="C171" s="3184" t="s">
        <v>3842</v>
      </c>
      <c r="D171" s="3184">
        <v>66.91</v>
      </c>
      <c r="E171" s="3185">
        <v>44902</v>
      </c>
      <c r="F171" s="3185">
        <v>45991</v>
      </c>
    </row>
    <row r="172" spans="1:6">
      <c r="A172" s="3183">
        <v>170</v>
      </c>
      <c r="B172" s="3184" t="s">
        <v>3695</v>
      </c>
      <c r="C172" s="3184" t="s">
        <v>3843</v>
      </c>
      <c r="D172" s="3184">
        <v>66.069999999999993</v>
      </c>
      <c r="E172" s="3185">
        <v>44789</v>
      </c>
      <c r="F172" s="3185">
        <v>45900</v>
      </c>
    </row>
    <row r="173" spans="1:6">
      <c r="A173" s="3183">
        <v>171</v>
      </c>
      <c r="B173" s="3184" t="s">
        <v>3695</v>
      </c>
      <c r="C173" s="3184" t="s">
        <v>3844</v>
      </c>
      <c r="D173" s="3184">
        <v>64.400000000000006</v>
      </c>
      <c r="E173" s="3185">
        <v>45383</v>
      </c>
      <c r="F173" s="3185">
        <v>45747</v>
      </c>
    </row>
    <row r="174" spans="1:6">
      <c r="A174" s="3183">
        <v>172</v>
      </c>
      <c r="B174" s="3184" t="s">
        <v>3695</v>
      </c>
      <c r="C174" s="3184" t="s">
        <v>3844</v>
      </c>
      <c r="D174" s="3184">
        <v>64.400000000000006</v>
      </c>
      <c r="E174" s="3185">
        <v>45748</v>
      </c>
      <c r="F174" s="3185">
        <v>46112</v>
      </c>
    </row>
    <row r="175" spans="1:6">
      <c r="A175" s="3183">
        <v>173</v>
      </c>
      <c r="B175" s="3184" t="s">
        <v>3695</v>
      </c>
      <c r="C175" s="3184" t="s">
        <v>3845</v>
      </c>
      <c r="D175" s="3184">
        <v>64.16</v>
      </c>
      <c r="E175" s="3185">
        <v>45399</v>
      </c>
      <c r="F175" s="3185">
        <v>45763</v>
      </c>
    </row>
    <row r="176" spans="1:6">
      <c r="A176" s="3183">
        <v>174</v>
      </c>
      <c r="B176" s="3184" t="s">
        <v>3695</v>
      </c>
      <c r="C176" s="3184" t="s">
        <v>3846</v>
      </c>
      <c r="D176" s="3184">
        <v>59.72</v>
      </c>
      <c r="E176" s="3185">
        <v>45383</v>
      </c>
      <c r="F176" s="3185">
        <v>46112</v>
      </c>
    </row>
    <row r="177" spans="1:6">
      <c r="A177" s="3183">
        <v>175</v>
      </c>
      <c r="B177" s="3184" t="s">
        <v>3695</v>
      </c>
      <c r="C177" s="3184" t="s">
        <v>3847</v>
      </c>
      <c r="D177" s="3184">
        <v>58.99</v>
      </c>
      <c r="E177" s="3185">
        <v>45542</v>
      </c>
      <c r="F177" s="3185">
        <v>46234</v>
      </c>
    </row>
    <row r="178" spans="1:6">
      <c r="A178" s="3183">
        <v>176</v>
      </c>
      <c r="B178" s="3184" t="s">
        <v>3695</v>
      </c>
      <c r="C178" s="3184" t="s">
        <v>3848</v>
      </c>
      <c r="D178" s="3184">
        <v>58.46</v>
      </c>
      <c r="E178" s="3185">
        <v>45566</v>
      </c>
      <c r="F178" s="3185">
        <v>45747</v>
      </c>
    </row>
    <row r="179" spans="1:6">
      <c r="A179" s="3183">
        <v>177</v>
      </c>
      <c r="B179" s="3184" t="s">
        <v>3695</v>
      </c>
      <c r="C179" s="3184" t="s">
        <v>3848</v>
      </c>
      <c r="D179" s="3184">
        <v>58.46</v>
      </c>
      <c r="E179" s="3185">
        <v>45748</v>
      </c>
      <c r="F179" s="3185">
        <v>45761</v>
      </c>
    </row>
    <row r="180" spans="1:6">
      <c r="A180" s="3183">
        <v>178</v>
      </c>
      <c r="B180" s="3184" t="s">
        <v>3695</v>
      </c>
      <c r="C180" s="3184" t="s">
        <v>3849</v>
      </c>
      <c r="D180" s="3184">
        <v>56.75</v>
      </c>
      <c r="E180" s="3185">
        <v>45622</v>
      </c>
      <c r="F180" s="3185">
        <v>45783</v>
      </c>
    </row>
    <row r="181" spans="1:6">
      <c r="A181" s="3183">
        <v>179</v>
      </c>
      <c r="B181" s="3184" t="s">
        <v>3695</v>
      </c>
      <c r="C181" s="3184" t="s">
        <v>3850</v>
      </c>
      <c r="D181" s="3184">
        <v>56.75</v>
      </c>
      <c r="E181" s="3185">
        <v>45784</v>
      </c>
      <c r="F181" s="3185">
        <v>46904</v>
      </c>
    </row>
    <row r="182" spans="1:6">
      <c r="A182" s="3183">
        <v>180</v>
      </c>
      <c r="B182" s="3184" t="s">
        <v>3695</v>
      </c>
      <c r="C182" s="3184" t="s">
        <v>3851</v>
      </c>
      <c r="D182" s="3184">
        <v>55.49</v>
      </c>
      <c r="E182" s="3185">
        <v>45078</v>
      </c>
      <c r="F182" s="3185">
        <v>45808</v>
      </c>
    </row>
    <row r="183" spans="1:6">
      <c r="A183" s="3183">
        <v>181</v>
      </c>
      <c r="B183" s="3184" t="s">
        <v>3695</v>
      </c>
      <c r="C183" s="3184" t="s">
        <v>3851</v>
      </c>
      <c r="D183" s="3184">
        <v>55.49</v>
      </c>
      <c r="E183" s="3185">
        <v>45809</v>
      </c>
      <c r="F183" s="3185">
        <v>46538</v>
      </c>
    </row>
    <row r="184" spans="1:6">
      <c r="A184" s="3183">
        <v>182</v>
      </c>
      <c r="B184" s="3184" t="s">
        <v>3695</v>
      </c>
      <c r="C184" s="3184" t="s">
        <v>3852</v>
      </c>
      <c r="D184" s="3184">
        <v>55.22</v>
      </c>
      <c r="E184" s="3185">
        <v>45490</v>
      </c>
      <c r="F184" s="3185">
        <v>46203</v>
      </c>
    </row>
    <row r="185" spans="1:6">
      <c r="A185" s="3183">
        <v>183</v>
      </c>
      <c r="B185" s="3184" t="s">
        <v>3695</v>
      </c>
      <c r="C185" s="3184" t="s">
        <v>3853</v>
      </c>
      <c r="D185" s="3184">
        <v>54.46</v>
      </c>
      <c r="E185" s="3185">
        <v>45252</v>
      </c>
      <c r="F185" s="3185">
        <v>45980</v>
      </c>
    </row>
    <row r="186" spans="1:6">
      <c r="A186" s="3183">
        <v>184</v>
      </c>
      <c r="B186" s="3184" t="s">
        <v>3793</v>
      </c>
      <c r="C186" s="3184" t="s">
        <v>3794</v>
      </c>
      <c r="D186" s="3184">
        <v>51.69</v>
      </c>
      <c r="E186" s="3185">
        <v>45717</v>
      </c>
      <c r="F186" s="3185">
        <v>45748</v>
      </c>
    </row>
    <row r="187" spans="1:6">
      <c r="A187" s="3183">
        <v>185</v>
      </c>
      <c r="B187" s="3184" t="s">
        <v>3695</v>
      </c>
      <c r="C187" s="3184" t="s">
        <v>3854</v>
      </c>
      <c r="D187" s="3184">
        <v>50.98</v>
      </c>
      <c r="E187" s="3185">
        <v>45626</v>
      </c>
      <c r="F187" s="3185">
        <v>46691</v>
      </c>
    </row>
    <row r="188" spans="1:6">
      <c r="A188" s="3183">
        <v>186</v>
      </c>
      <c r="B188" s="3184" t="s">
        <v>3695</v>
      </c>
      <c r="C188" s="3184" t="s">
        <v>3855</v>
      </c>
      <c r="D188" s="3184">
        <v>50.33</v>
      </c>
      <c r="E188" s="3185">
        <v>45014</v>
      </c>
      <c r="F188" s="3185">
        <v>45777</v>
      </c>
    </row>
    <row r="189" spans="1:6">
      <c r="A189" s="3183">
        <v>187</v>
      </c>
      <c r="B189" s="3184" t="s">
        <v>3793</v>
      </c>
      <c r="C189" s="3184" t="s">
        <v>3691</v>
      </c>
      <c r="D189" s="3184">
        <v>50</v>
      </c>
      <c r="E189" s="3185">
        <v>45147</v>
      </c>
      <c r="F189" s="3185">
        <v>46243</v>
      </c>
    </row>
    <row r="190" spans="1:6">
      <c r="A190" s="3183">
        <v>188</v>
      </c>
      <c r="B190" s="3184" t="s">
        <v>3695</v>
      </c>
      <c r="C190" s="3184" t="s">
        <v>3856</v>
      </c>
      <c r="D190" s="3184">
        <v>49.99</v>
      </c>
      <c r="E190" s="3185">
        <v>45383</v>
      </c>
      <c r="F190" s="3185">
        <v>46477</v>
      </c>
    </row>
    <row r="191" spans="1:6">
      <c r="A191" s="3183">
        <v>189</v>
      </c>
      <c r="B191" s="3184" t="s">
        <v>3695</v>
      </c>
      <c r="C191" s="3184" t="s">
        <v>3857</v>
      </c>
      <c r="D191" s="3184">
        <v>49.51</v>
      </c>
      <c r="E191" s="3185">
        <v>45385</v>
      </c>
      <c r="F191" s="3185">
        <v>46112</v>
      </c>
    </row>
    <row r="192" spans="1:6">
      <c r="A192" s="3183">
        <v>190</v>
      </c>
      <c r="B192" s="3184" t="s">
        <v>3793</v>
      </c>
      <c r="C192" s="3184" t="s">
        <v>3858</v>
      </c>
      <c r="D192" s="3184">
        <v>48.46</v>
      </c>
      <c r="E192" s="3185">
        <v>45753</v>
      </c>
      <c r="F192" s="3185">
        <v>45805</v>
      </c>
    </row>
    <row r="193" spans="1:6">
      <c r="A193" s="3183">
        <v>191</v>
      </c>
      <c r="B193" s="3184" t="s">
        <v>3793</v>
      </c>
      <c r="C193" s="3184" t="s">
        <v>3858</v>
      </c>
      <c r="D193" s="3184">
        <v>47.99</v>
      </c>
      <c r="E193" s="3185">
        <v>45716</v>
      </c>
      <c r="F193" s="3185">
        <v>45753</v>
      </c>
    </row>
    <row r="194" spans="1:6">
      <c r="A194" s="3183">
        <v>192</v>
      </c>
      <c r="B194" s="3184" t="s">
        <v>3793</v>
      </c>
      <c r="C194" s="3184" t="s">
        <v>3711</v>
      </c>
      <c r="D194" s="3184">
        <v>47.74</v>
      </c>
      <c r="E194" s="3185">
        <v>45750</v>
      </c>
      <c r="F194" s="3185">
        <v>45767</v>
      </c>
    </row>
    <row r="195" spans="1:6">
      <c r="A195" s="3183">
        <v>193</v>
      </c>
      <c r="B195" s="3184" t="s">
        <v>3695</v>
      </c>
      <c r="C195" s="3184" t="s">
        <v>3859</v>
      </c>
      <c r="D195" s="3184">
        <v>47.28</v>
      </c>
      <c r="E195" s="3185">
        <v>45566</v>
      </c>
      <c r="F195" s="3185">
        <v>45930</v>
      </c>
    </row>
    <row r="196" spans="1:6">
      <c r="A196" s="3183">
        <v>194</v>
      </c>
      <c r="B196" s="3184" t="s">
        <v>3860</v>
      </c>
      <c r="C196" s="3184" t="s">
        <v>3725</v>
      </c>
      <c r="D196" s="3184">
        <v>45.46</v>
      </c>
      <c r="E196" s="3185">
        <v>45231</v>
      </c>
      <c r="F196" s="3185">
        <v>47223</v>
      </c>
    </row>
    <row r="197" spans="1:6">
      <c r="A197" s="3183">
        <v>195</v>
      </c>
      <c r="B197" s="3184" t="s">
        <v>3695</v>
      </c>
      <c r="C197" s="3184" t="s">
        <v>3861</v>
      </c>
      <c r="D197" s="3184">
        <v>44.84</v>
      </c>
      <c r="E197" s="3185">
        <v>45151</v>
      </c>
      <c r="F197" s="3185">
        <v>45869</v>
      </c>
    </row>
    <row r="198" spans="1:6">
      <c r="A198" s="3183">
        <v>196</v>
      </c>
      <c r="B198" s="3184" t="s">
        <v>3695</v>
      </c>
      <c r="C198" s="3184" t="s">
        <v>3862</v>
      </c>
      <c r="D198" s="3184">
        <v>41.62</v>
      </c>
      <c r="E198" s="3185">
        <v>45398</v>
      </c>
      <c r="F198" s="3185">
        <v>46203</v>
      </c>
    </row>
    <row r="199" spans="1:6">
      <c r="A199" s="3183">
        <v>197</v>
      </c>
      <c r="B199" s="3184" t="s">
        <v>3695</v>
      </c>
      <c r="C199" s="3184" t="s">
        <v>3863</v>
      </c>
      <c r="D199" s="3184">
        <v>41.56</v>
      </c>
      <c r="E199" s="3185">
        <v>45510</v>
      </c>
      <c r="F199" s="3185">
        <v>46234</v>
      </c>
    </row>
    <row r="200" spans="1:6">
      <c r="A200" s="3183">
        <v>198</v>
      </c>
      <c r="B200" s="3184" t="s">
        <v>3695</v>
      </c>
      <c r="C200" s="3184" t="s">
        <v>3864</v>
      </c>
      <c r="D200" s="3184">
        <v>40.75</v>
      </c>
      <c r="E200" s="3185">
        <v>45398</v>
      </c>
      <c r="F200" s="3185">
        <v>45762</v>
      </c>
    </row>
    <row r="201" spans="1:6">
      <c r="A201" s="3183">
        <v>199</v>
      </c>
      <c r="B201" s="3184" t="s">
        <v>3695</v>
      </c>
      <c r="C201" s="3184" t="s">
        <v>3864</v>
      </c>
      <c r="D201" s="3184">
        <v>40.75</v>
      </c>
      <c r="E201" s="3185">
        <v>45763</v>
      </c>
      <c r="F201" s="3185">
        <v>46142</v>
      </c>
    </row>
    <row r="202" spans="1:6">
      <c r="A202" s="3183">
        <v>200</v>
      </c>
      <c r="B202" s="3184" t="s">
        <v>3793</v>
      </c>
      <c r="C202" s="3184" t="s">
        <v>3794</v>
      </c>
      <c r="D202" s="3184">
        <v>40.22</v>
      </c>
      <c r="E202" s="3185">
        <v>45678</v>
      </c>
      <c r="F202" s="3185">
        <v>45683</v>
      </c>
    </row>
    <row r="203" spans="1:6">
      <c r="A203" s="3183">
        <v>201</v>
      </c>
      <c r="B203" s="3184" t="s">
        <v>3793</v>
      </c>
      <c r="C203" s="3184" t="s">
        <v>3865</v>
      </c>
      <c r="D203" s="3184">
        <v>40.06</v>
      </c>
      <c r="E203" s="3185">
        <v>45658</v>
      </c>
      <c r="F203" s="3185">
        <v>45658</v>
      </c>
    </row>
    <row r="204" spans="1:6">
      <c r="A204" s="3183">
        <v>202</v>
      </c>
      <c r="B204" s="3184" t="s">
        <v>3695</v>
      </c>
      <c r="C204" s="3184" t="s">
        <v>3866</v>
      </c>
      <c r="D204" s="3184">
        <v>39.15</v>
      </c>
      <c r="E204" s="3185">
        <v>45194</v>
      </c>
      <c r="F204" s="3185">
        <v>46275</v>
      </c>
    </row>
    <row r="205" spans="1:6">
      <c r="A205" s="3183">
        <v>203</v>
      </c>
      <c r="B205" s="3184" t="s">
        <v>3695</v>
      </c>
      <c r="C205" s="3184" t="s">
        <v>3867</v>
      </c>
      <c r="D205" s="3184">
        <v>38.93</v>
      </c>
      <c r="E205" s="3185">
        <v>45625</v>
      </c>
      <c r="F205" s="3185">
        <v>46326</v>
      </c>
    </row>
    <row r="206" spans="1:6">
      <c r="A206" s="3183">
        <v>204</v>
      </c>
      <c r="B206" s="3184" t="s">
        <v>3695</v>
      </c>
      <c r="C206" s="3184" t="s">
        <v>3868</v>
      </c>
      <c r="D206" s="3184">
        <v>38.6</v>
      </c>
      <c r="E206" s="3185">
        <v>45754</v>
      </c>
      <c r="F206" s="3185">
        <v>46507</v>
      </c>
    </row>
    <row r="207" spans="1:6">
      <c r="A207" s="3183">
        <v>205</v>
      </c>
      <c r="B207" s="3184" t="s">
        <v>3793</v>
      </c>
      <c r="C207" s="3184" t="s">
        <v>3794</v>
      </c>
      <c r="D207" s="3184">
        <v>38.15</v>
      </c>
      <c r="E207" s="3185">
        <v>45225</v>
      </c>
      <c r="F207" s="3185">
        <v>46303</v>
      </c>
    </row>
    <row r="208" spans="1:6">
      <c r="A208" s="3183">
        <v>206</v>
      </c>
      <c r="B208" s="3184" t="s">
        <v>3695</v>
      </c>
      <c r="C208" s="3184" t="s">
        <v>3869</v>
      </c>
      <c r="D208" s="3184">
        <v>38.08</v>
      </c>
      <c r="E208" s="3185">
        <v>45418</v>
      </c>
      <c r="F208" s="3185">
        <v>46131</v>
      </c>
    </row>
    <row r="209" spans="1:6">
      <c r="A209" s="3183">
        <v>207</v>
      </c>
      <c r="B209" s="3184" t="s">
        <v>3695</v>
      </c>
      <c r="C209" s="3184" t="s">
        <v>3870</v>
      </c>
      <c r="D209" s="3184">
        <v>35</v>
      </c>
      <c r="E209" s="3185">
        <v>45106</v>
      </c>
      <c r="F209" s="3185">
        <v>45827</v>
      </c>
    </row>
    <row r="210" spans="1:6">
      <c r="A210" s="3183">
        <v>208</v>
      </c>
      <c r="B210" s="3184" t="s">
        <v>3695</v>
      </c>
      <c r="C210" s="3184" t="s">
        <v>3871</v>
      </c>
      <c r="D210" s="3184">
        <v>32.9</v>
      </c>
      <c r="E210" s="3185">
        <v>45398</v>
      </c>
      <c r="F210" s="3185">
        <v>46127</v>
      </c>
    </row>
    <row r="211" spans="1:6">
      <c r="A211" s="3183">
        <v>209</v>
      </c>
      <c r="B211" s="3184" t="s">
        <v>3695</v>
      </c>
      <c r="C211" s="3184" t="s">
        <v>3872</v>
      </c>
      <c r="D211" s="3184">
        <v>32.89</v>
      </c>
      <c r="E211" s="3185">
        <v>45658</v>
      </c>
      <c r="F211" s="3185">
        <v>46387</v>
      </c>
    </row>
    <row r="212" spans="1:6">
      <c r="A212" s="3183">
        <v>210</v>
      </c>
      <c r="B212" s="3184" t="s">
        <v>3695</v>
      </c>
      <c r="C212" s="3184" t="s">
        <v>3873</v>
      </c>
      <c r="D212" s="3184">
        <v>32.36</v>
      </c>
      <c r="E212" s="3185">
        <v>45624</v>
      </c>
      <c r="F212" s="3185">
        <v>46326</v>
      </c>
    </row>
    <row r="213" spans="1:6">
      <c r="A213" s="3183">
        <v>211</v>
      </c>
      <c r="B213" s="3184" t="s">
        <v>3695</v>
      </c>
      <c r="C213" s="3184" t="s">
        <v>3874</v>
      </c>
      <c r="D213" s="3184">
        <v>31.8</v>
      </c>
      <c r="E213" s="3185">
        <v>45566</v>
      </c>
      <c r="F213" s="3185">
        <v>45747</v>
      </c>
    </row>
    <row r="214" spans="1:6">
      <c r="A214" s="3183">
        <v>212</v>
      </c>
      <c r="B214" s="3184" t="s">
        <v>3875</v>
      </c>
      <c r="C214" s="3184" t="s">
        <v>3792</v>
      </c>
      <c r="D214" s="3184">
        <v>31.8</v>
      </c>
      <c r="E214" s="3185">
        <v>45748</v>
      </c>
      <c r="F214" s="3185">
        <v>47149</v>
      </c>
    </row>
    <row r="215" spans="1:6">
      <c r="A215" s="3183">
        <v>213</v>
      </c>
      <c r="B215" s="3184" t="s">
        <v>3695</v>
      </c>
      <c r="C215" s="3184" t="s">
        <v>3876</v>
      </c>
      <c r="D215" s="3184">
        <v>31.46</v>
      </c>
      <c r="E215" s="3185">
        <v>45468</v>
      </c>
      <c r="F215" s="3185">
        <v>45808</v>
      </c>
    </row>
    <row r="216" spans="1:6">
      <c r="A216" s="3183">
        <v>214</v>
      </c>
      <c r="B216" s="3184" t="s">
        <v>3695</v>
      </c>
      <c r="C216" s="3184" t="s">
        <v>3877</v>
      </c>
      <c r="D216" s="3184">
        <v>30.79</v>
      </c>
      <c r="E216" s="3185">
        <v>45478</v>
      </c>
      <c r="F216" s="3185">
        <v>46203</v>
      </c>
    </row>
    <row r="217" spans="1:6">
      <c r="A217" s="3183">
        <v>215</v>
      </c>
      <c r="B217" s="3184" t="s">
        <v>3860</v>
      </c>
      <c r="C217" s="3184" t="s">
        <v>3794</v>
      </c>
      <c r="D217" s="3184">
        <v>30.78</v>
      </c>
      <c r="E217" s="3185">
        <v>45605</v>
      </c>
      <c r="F217" s="3185">
        <v>45704</v>
      </c>
    </row>
    <row r="218" spans="1:6">
      <c r="A218" s="3183">
        <v>216</v>
      </c>
      <c r="B218" s="3184" t="s">
        <v>3860</v>
      </c>
      <c r="C218" s="3184" t="s">
        <v>3699</v>
      </c>
      <c r="D218" s="3184">
        <v>30.65</v>
      </c>
      <c r="E218" s="3185">
        <v>45336</v>
      </c>
      <c r="F218" s="3185">
        <v>45701</v>
      </c>
    </row>
    <row r="219" spans="1:6">
      <c r="A219" s="3183">
        <v>217</v>
      </c>
      <c r="B219" s="3184" t="s">
        <v>3860</v>
      </c>
      <c r="C219" s="3184" t="s">
        <v>3699</v>
      </c>
      <c r="D219" s="3184">
        <v>30.65</v>
      </c>
      <c r="E219" s="3185">
        <v>45702</v>
      </c>
      <c r="F219" s="3185">
        <v>46081</v>
      </c>
    </row>
    <row r="220" spans="1:6">
      <c r="A220" s="3183">
        <v>218</v>
      </c>
      <c r="B220" s="3184" t="s">
        <v>3695</v>
      </c>
      <c r="C220" s="3184" t="s">
        <v>3878</v>
      </c>
      <c r="D220" s="3184">
        <v>30</v>
      </c>
      <c r="E220" s="3185">
        <v>45432</v>
      </c>
      <c r="F220" s="3185">
        <v>46142</v>
      </c>
    </row>
    <row r="221" spans="1:6">
      <c r="A221" s="3183">
        <v>219</v>
      </c>
      <c r="B221" s="3184" t="s">
        <v>3695</v>
      </c>
      <c r="C221" s="3184" t="s">
        <v>3879</v>
      </c>
      <c r="D221" s="3184">
        <v>30</v>
      </c>
      <c r="E221" s="3185">
        <v>45636</v>
      </c>
      <c r="F221" s="3185">
        <v>46356</v>
      </c>
    </row>
    <row r="222" spans="1:6">
      <c r="A222" s="3183">
        <v>220</v>
      </c>
      <c r="B222" s="3184" t="s">
        <v>3793</v>
      </c>
      <c r="C222" s="3184" t="s">
        <v>3791</v>
      </c>
      <c r="D222" s="3184">
        <v>29.84</v>
      </c>
      <c r="E222" s="3185">
        <v>45627</v>
      </c>
      <c r="F222" s="3185">
        <v>45659</v>
      </c>
    </row>
    <row r="223" spans="1:6">
      <c r="A223" s="3183">
        <v>221</v>
      </c>
      <c r="B223" s="3184" t="s">
        <v>3793</v>
      </c>
      <c r="C223" s="3184" t="s">
        <v>3791</v>
      </c>
      <c r="D223" s="3184">
        <v>29.18</v>
      </c>
      <c r="E223" s="3185">
        <v>45716</v>
      </c>
      <c r="F223" s="3185">
        <v>45747</v>
      </c>
    </row>
    <row r="224" spans="1:6">
      <c r="A224" s="3183">
        <v>222</v>
      </c>
      <c r="B224" s="3184" t="s">
        <v>3793</v>
      </c>
      <c r="C224" s="3184" t="s">
        <v>3791</v>
      </c>
      <c r="D224" s="3184">
        <v>29.18</v>
      </c>
      <c r="E224" s="3185">
        <v>45748</v>
      </c>
      <c r="F224" s="3185">
        <v>45777</v>
      </c>
    </row>
    <row r="225" spans="1:6">
      <c r="A225" s="3183">
        <v>223</v>
      </c>
      <c r="B225" s="3184" t="s">
        <v>3695</v>
      </c>
      <c r="C225" s="3184" t="s">
        <v>3880</v>
      </c>
      <c r="D225" s="3184">
        <v>28.64</v>
      </c>
      <c r="E225" s="3185">
        <v>45016</v>
      </c>
      <c r="F225" s="3185">
        <v>45747</v>
      </c>
    </row>
    <row r="226" spans="1:6">
      <c r="A226" s="3183">
        <v>224</v>
      </c>
      <c r="B226" s="3184" t="s">
        <v>3695</v>
      </c>
      <c r="C226" s="3184" t="s">
        <v>3880</v>
      </c>
      <c r="D226" s="3184">
        <v>28.64</v>
      </c>
      <c r="E226" s="3185">
        <v>45748</v>
      </c>
      <c r="F226" s="3185">
        <v>45900</v>
      </c>
    </row>
    <row r="227" spans="1:6">
      <c r="A227" s="3183">
        <v>225</v>
      </c>
      <c r="B227" s="3184" t="s">
        <v>3860</v>
      </c>
      <c r="C227" s="3184" t="s">
        <v>3710</v>
      </c>
      <c r="D227" s="3184">
        <v>28.28</v>
      </c>
      <c r="E227" s="3185">
        <v>44762</v>
      </c>
      <c r="F227" s="3185">
        <v>47223</v>
      </c>
    </row>
    <row r="228" spans="1:6">
      <c r="A228" s="3183">
        <v>226</v>
      </c>
      <c r="B228" s="3184" t="s">
        <v>3860</v>
      </c>
      <c r="C228" s="3184" t="s">
        <v>3740</v>
      </c>
      <c r="D228" s="3184">
        <v>27.41</v>
      </c>
      <c r="E228" s="3185">
        <v>45622</v>
      </c>
      <c r="F228" s="3185">
        <v>46387</v>
      </c>
    </row>
    <row r="229" spans="1:6">
      <c r="A229" s="3183">
        <v>227</v>
      </c>
      <c r="B229" s="3184" t="s">
        <v>3695</v>
      </c>
      <c r="C229" s="3184" t="s">
        <v>3881</v>
      </c>
      <c r="D229" s="3184">
        <v>27.27</v>
      </c>
      <c r="E229" s="3185">
        <v>45634</v>
      </c>
      <c r="F229" s="3185">
        <v>45991</v>
      </c>
    </row>
    <row r="230" spans="1:6">
      <c r="A230" s="3183">
        <v>228</v>
      </c>
      <c r="B230" s="3184" t="s">
        <v>3860</v>
      </c>
      <c r="C230" s="3184" t="s">
        <v>3719</v>
      </c>
      <c r="D230" s="3184">
        <v>27.15</v>
      </c>
      <c r="E230" s="3185">
        <v>45311</v>
      </c>
      <c r="F230" s="3185">
        <v>45675</v>
      </c>
    </row>
    <row r="231" spans="1:6">
      <c r="A231" s="3183">
        <v>229</v>
      </c>
      <c r="B231" s="3184" t="s">
        <v>3860</v>
      </c>
      <c r="C231" s="3184" t="s">
        <v>3719</v>
      </c>
      <c r="D231" s="3184">
        <v>27.15</v>
      </c>
      <c r="E231" s="3185">
        <v>45676</v>
      </c>
      <c r="F231" s="3185">
        <v>46040</v>
      </c>
    </row>
    <row r="232" spans="1:6">
      <c r="A232" s="3183">
        <v>230</v>
      </c>
      <c r="B232" s="3184" t="s">
        <v>3695</v>
      </c>
      <c r="C232" s="3184" t="s">
        <v>3882</v>
      </c>
      <c r="D232" s="3184">
        <v>27.04</v>
      </c>
      <c r="E232" s="3185">
        <v>45383</v>
      </c>
      <c r="F232" s="3185">
        <v>45747</v>
      </c>
    </row>
    <row r="233" spans="1:6">
      <c r="A233" s="3183">
        <v>231</v>
      </c>
      <c r="B233" s="3184" t="s">
        <v>3695</v>
      </c>
      <c r="C233" s="3184" t="s">
        <v>3882</v>
      </c>
      <c r="D233" s="3184">
        <v>27.04</v>
      </c>
      <c r="E233" s="3185">
        <v>45748</v>
      </c>
      <c r="F233" s="3185">
        <v>46477</v>
      </c>
    </row>
    <row r="234" spans="1:6">
      <c r="A234" s="3183">
        <v>232</v>
      </c>
      <c r="B234" s="3184" t="s">
        <v>3695</v>
      </c>
      <c r="C234" s="3184" t="s">
        <v>3883</v>
      </c>
      <c r="D234" s="3184">
        <v>26.82</v>
      </c>
      <c r="E234" s="3185">
        <v>45611</v>
      </c>
      <c r="F234" s="3185">
        <v>46326</v>
      </c>
    </row>
    <row r="235" spans="1:6">
      <c r="A235" s="3183">
        <v>233</v>
      </c>
      <c r="B235" s="3184" t="s">
        <v>3793</v>
      </c>
      <c r="C235" s="3184" t="s">
        <v>3884</v>
      </c>
      <c r="D235" s="3184">
        <v>26.71</v>
      </c>
      <c r="E235" s="3185">
        <v>45732</v>
      </c>
      <c r="F235" s="3185">
        <v>45739</v>
      </c>
    </row>
    <row r="236" spans="1:6">
      <c r="A236" s="3183">
        <v>234</v>
      </c>
      <c r="B236" s="3184" t="s">
        <v>3860</v>
      </c>
      <c r="C236" s="3184" t="s">
        <v>3736</v>
      </c>
      <c r="D236" s="3184">
        <v>26.28</v>
      </c>
      <c r="E236" s="3185">
        <v>45444</v>
      </c>
      <c r="F236" s="3185">
        <v>45809</v>
      </c>
    </row>
    <row r="237" spans="1:6">
      <c r="A237" s="3183">
        <v>235</v>
      </c>
      <c r="B237" s="3184" t="s">
        <v>3695</v>
      </c>
      <c r="C237" s="3184" t="s">
        <v>3885</v>
      </c>
      <c r="D237" s="3184">
        <v>26.17</v>
      </c>
      <c r="E237" s="3185">
        <v>45625</v>
      </c>
      <c r="F237" s="3185">
        <v>45971</v>
      </c>
    </row>
    <row r="238" spans="1:6">
      <c r="A238" s="3183">
        <v>236</v>
      </c>
      <c r="B238" s="3184" t="s">
        <v>3695</v>
      </c>
      <c r="C238" s="3184" t="s">
        <v>3886</v>
      </c>
      <c r="D238" s="3184">
        <v>25.96</v>
      </c>
      <c r="E238" s="3185">
        <v>45566</v>
      </c>
      <c r="F238" s="3185">
        <v>45930</v>
      </c>
    </row>
    <row r="239" spans="1:6">
      <c r="A239" s="3183">
        <v>237</v>
      </c>
      <c r="B239" s="3184" t="s">
        <v>3793</v>
      </c>
      <c r="C239" s="3184" t="s">
        <v>3887</v>
      </c>
      <c r="D239" s="3184">
        <v>25.6</v>
      </c>
      <c r="E239" s="3185">
        <v>45737</v>
      </c>
      <c r="F239" s="3185">
        <v>45739</v>
      </c>
    </row>
    <row r="240" spans="1:6">
      <c r="A240" s="3183">
        <v>238</v>
      </c>
      <c r="B240" s="3184" t="s">
        <v>3860</v>
      </c>
      <c r="C240" s="3184" t="s">
        <v>3709</v>
      </c>
      <c r="D240" s="3184">
        <v>25.33</v>
      </c>
      <c r="E240" s="3185">
        <v>45484</v>
      </c>
      <c r="F240" s="3185">
        <v>45848</v>
      </c>
    </row>
    <row r="241" spans="1:6">
      <c r="A241" s="3183">
        <v>239</v>
      </c>
      <c r="B241" s="3184" t="s">
        <v>3695</v>
      </c>
      <c r="C241" s="3184" t="s">
        <v>3888</v>
      </c>
      <c r="D241" s="3184">
        <v>25</v>
      </c>
      <c r="E241" s="3185">
        <v>45309</v>
      </c>
      <c r="F241" s="3185">
        <v>45678</v>
      </c>
    </row>
    <row r="242" spans="1:6">
      <c r="A242" s="3183">
        <v>240</v>
      </c>
      <c r="B242" s="3184" t="s">
        <v>3695</v>
      </c>
      <c r="C242" s="3184" t="s">
        <v>3889</v>
      </c>
      <c r="D242" s="3184">
        <v>25</v>
      </c>
      <c r="E242" s="3185">
        <v>45520</v>
      </c>
      <c r="F242" s="3185">
        <v>45869</v>
      </c>
    </row>
    <row r="243" spans="1:6">
      <c r="A243" s="3183">
        <v>241</v>
      </c>
      <c r="B243" s="3184" t="s">
        <v>3695</v>
      </c>
      <c r="C243" s="3184" t="s">
        <v>3888</v>
      </c>
      <c r="D243" s="3184">
        <v>25</v>
      </c>
      <c r="E243" s="3185">
        <v>45679</v>
      </c>
      <c r="F243" s="3185">
        <v>46022</v>
      </c>
    </row>
    <row r="244" spans="1:6">
      <c r="A244" s="3183">
        <v>242</v>
      </c>
      <c r="B244" s="3184" t="s">
        <v>3695</v>
      </c>
      <c r="C244" s="3184" t="s">
        <v>3890</v>
      </c>
      <c r="D244" s="3184">
        <v>25</v>
      </c>
      <c r="E244" s="3185">
        <v>45720</v>
      </c>
      <c r="F244" s="3185">
        <v>45722</v>
      </c>
    </row>
    <row r="245" spans="1:6">
      <c r="A245" s="3183">
        <v>243</v>
      </c>
      <c r="B245" s="3184" t="s">
        <v>3695</v>
      </c>
      <c r="C245" s="3184" t="s">
        <v>3891</v>
      </c>
      <c r="D245" s="3184">
        <v>24.49</v>
      </c>
      <c r="E245" s="3185">
        <v>45518</v>
      </c>
      <c r="F245" s="3185">
        <v>45869</v>
      </c>
    </row>
    <row r="246" spans="1:6">
      <c r="A246" s="3183">
        <v>244</v>
      </c>
      <c r="B246" s="3184" t="s">
        <v>3695</v>
      </c>
      <c r="C246" s="3184" t="s">
        <v>3892</v>
      </c>
      <c r="D246" s="3184">
        <v>24.35</v>
      </c>
      <c r="E246" s="3185">
        <v>45734</v>
      </c>
      <c r="F246" s="3185">
        <v>45930</v>
      </c>
    </row>
    <row r="247" spans="1:6">
      <c r="A247" s="3183">
        <v>245</v>
      </c>
      <c r="B247" s="3184" t="s">
        <v>3860</v>
      </c>
      <c r="C247" s="3184" t="s">
        <v>3731</v>
      </c>
      <c r="D247" s="3184">
        <v>22.62</v>
      </c>
      <c r="E247" s="3185">
        <v>45383</v>
      </c>
      <c r="F247" s="3185">
        <v>45747</v>
      </c>
    </row>
    <row r="248" spans="1:6">
      <c r="A248" s="3183">
        <v>246</v>
      </c>
      <c r="B248" s="3184" t="s">
        <v>3860</v>
      </c>
      <c r="C248" s="3184" t="s">
        <v>3731</v>
      </c>
      <c r="D248" s="3184">
        <v>22.62</v>
      </c>
      <c r="E248" s="3185">
        <v>45748</v>
      </c>
      <c r="F248" s="3185">
        <v>46112</v>
      </c>
    </row>
    <row r="249" spans="1:6">
      <c r="A249" s="3183">
        <v>247</v>
      </c>
      <c r="B249" s="3184" t="s">
        <v>3860</v>
      </c>
      <c r="C249" s="3184" t="s">
        <v>3701</v>
      </c>
      <c r="D249" s="3184">
        <v>21.98</v>
      </c>
      <c r="E249" s="3185">
        <v>45453</v>
      </c>
      <c r="F249" s="3185">
        <v>45801</v>
      </c>
    </row>
    <row r="250" spans="1:6">
      <c r="A250" s="3183">
        <v>248</v>
      </c>
      <c r="B250" s="3184" t="s">
        <v>3860</v>
      </c>
      <c r="C250" s="3184" t="s">
        <v>3805</v>
      </c>
      <c r="D250" s="3184">
        <v>21.33</v>
      </c>
      <c r="E250" s="3185">
        <v>45566</v>
      </c>
      <c r="F250" s="3185">
        <v>45747</v>
      </c>
    </row>
    <row r="251" spans="1:6">
      <c r="A251" s="3183">
        <v>249</v>
      </c>
      <c r="B251" s="3184" t="s">
        <v>3695</v>
      </c>
      <c r="C251" s="3184" t="s">
        <v>3893</v>
      </c>
      <c r="D251" s="3184">
        <v>20</v>
      </c>
      <c r="E251" s="3185">
        <v>45427</v>
      </c>
      <c r="F251" s="3185">
        <v>45791</v>
      </c>
    </row>
    <row r="252" spans="1:6">
      <c r="A252" s="3183">
        <v>250</v>
      </c>
      <c r="B252" s="3184" t="s">
        <v>3695</v>
      </c>
      <c r="C252" s="3184" t="s">
        <v>3894</v>
      </c>
      <c r="D252" s="3184">
        <v>20</v>
      </c>
      <c r="E252" s="3185">
        <v>45566</v>
      </c>
      <c r="F252" s="3185">
        <v>45747</v>
      </c>
    </row>
    <row r="253" spans="1:6">
      <c r="A253" s="3183">
        <v>251</v>
      </c>
      <c r="B253" s="3184" t="s">
        <v>3695</v>
      </c>
      <c r="C253" s="3184" t="s">
        <v>3895</v>
      </c>
      <c r="D253" s="3184">
        <v>20</v>
      </c>
      <c r="E253" s="3185">
        <v>45597</v>
      </c>
      <c r="F253" s="3185">
        <v>45716</v>
      </c>
    </row>
    <row r="254" spans="1:6">
      <c r="A254" s="3183">
        <v>252</v>
      </c>
      <c r="B254" s="3184" t="s">
        <v>3695</v>
      </c>
      <c r="C254" s="3184" t="s">
        <v>3896</v>
      </c>
      <c r="D254" s="3184">
        <v>20</v>
      </c>
      <c r="E254" s="3185">
        <v>45615</v>
      </c>
      <c r="F254" s="3185">
        <v>45991</v>
      </c>
    </row>
    <row r="255" spans="1:6">
      <c r="A255" s="3183">
        <v>253</v>
      </c>
      <c r="B255" s="3184" t="s">
        <v>3695</v>
      </c>
      <c r="C255" s="3184" t="s">
        <v>3897</v>
      </c>
      <c r="D255" s="3184">
        <v>20</v>
      </c>
      <c r="E255" s="3185">
        <v>45775</v>
      </c>
      <c r="F255" s="3185">
        <v>46053</v>
      </c>
    </row>
    <row r="256" spans="1:6">
      <c r="A256" s="3183">
        <v>254</v>
      </c>
      <c r="B256" s="3184" t="s">
        <v>3695</v>
      </c>
      <c r="C256" s="3184" t="s">
        <v>3898</v>
      </c>
      <c r="D256" s="3184">
        <v>19.93</v>
      </c>
      <c r="E256" s="3185">
        <v>45667</v>
      </c>
      <c r="F256" s="3185">
        <v>46022</v>
      </c>
    </row>
    <row r="257" spans="1:6">
      <c r="A257" s="3183">
        <v>255</v>
      </c>
      <c r="B257" s="3184" t="s">
        <v>3793</v>
      </c>
      <c r="C257" s="3184" t="s">
        <v>3899</v>
      </c>
      <c r="D257" s="3184">
        <v>18.07</v>
      </c>
      <c r="E257" s="3185">
        <v>45716</v>
      </c>
      <c r="F257" s="3185">
        <v>45718</v>
      </c>
    </row>
    <row r="258" spans="1:6">
      <c r="A258" s="3183">
        <v>256</v>
      </c>
      <c r="B258" s="3184" t="s">
        <v>3860</v>
      </c>
      <c r="C258" s="3184" t="s">
        <v>3873</v>
      </c>
      <c r="D258" s="3184">
        <v>18.02</v>
      </c>
      <c r="E258" s="3185">
        <v>45651</v>
      </c>
      <c r="F258" s="3185">
        <v>45740</v>
      </c>
    </row>
    <row r="259" spans="1:6">
      <c r="A259" s="3183">
        <v>257</v>
      </c>
      <c r="B259" s="3184" t="s">
        <v>3860</v>
      </c>
      <c r="C259" s="3184" t="s">
        <v>3873</v>
      </c>
      <c r="D259" s="3184">
        <v>18.02</v>
      </c>
      <c r="E259" s="3185">
        <v>45741</v>
      </c>
      <c r="F259" s="3185">
        <v>46105</v>
      </c>
    </row>
    <row r="260" spans="1:6">
      <c r="A260" s="3183">
        <v>258</v>
      </c>
      <c r="B260" s="3184" t="s">
        <v>3860</v>
      </c>
      <c r="C260" s="3184" t="s">
        <v>3764</v>
      </c>
      <c r="D260" s="3184">
        <v>18.010000000000002</v>
      </c>
      <c r="E260" s="3185">
        <v>45617</v>
      </c>
      <c r="F260" s="3185">
        <v>45976</v>
      </c>
    </row>
    <row r="261" spans="1:6">
      <c r="A261" s="3183">
        <v>259</v>
      </c>
      <c r="B261" s="3184" t="s">
        <v>3860</v>
      </c>
      <c r="C261" s="3184" t="s">
        <v>3831</v>
      </c>
      <c r="D261" s="3184">
        <v>18</v>
      </c>
      <c r="E261" s="3185">
        <v>45531</v>
      </c>
      <c r="F261" s="3185">
        <v>46599</v>
      </c>
    </row>
    <row r="262" spans="1:6">
      <c r="A262" s="3183">
        <v>260</v>
      </c>
      <c r="B262" s="3184" t="s">
        <v>3860</v>
      </c>
      <c r="C262" s="3184" t="s">
        <v>3817</v>
      </c>
      <c r="D262" s="3184">
        <v>17.239999999999998</v>
      </c>
      <c r="E262" s="3185">
        <v>45444</v>
      </c>
      <c r="F262" s="3185">
        <v>45808</v>
      </c>
    </row>
    <row r="263" spans="1:6">
      <c r="A263" s="3183">
        <v>261</v>
      </c>
      <c r="B263" s="3184" t="s">
        <v>3860</v>
      </c>
      <c r="C263" s="3184" t="s">
        <v>3761</v>
      </c>
      <c r="D263" s="3184">
        <v>16.86</v>
      </c>
      <c r="E263" s="3185">
        <v>45413</v>
      </c>
      <c r="F263" s="3185">
        <v>45777</v>
      </c>
    </row>
    <row r="264" spans="1:6">
      <c r="A264" s="3183">
        <v>262</v>
      </c>
      <c r="B264" s="3184" t="s">
        <v>3860</v>
      </c>
      <c r="C264" s="3184" t="s">
        <v>3777</v>
      </c>
      <c r="D264" s="3184">
        <v>16.739999999999998</v>
      </c>
      <c r="E264" s="3185">
        <v>45537</v>
      </c>
      <c r="F264" s="3185">
        <v>45901</v>
      </c>
    </row>
    <row r="265" spans="1:6">
      <c r="A265" s="3183">
        <v>263</v>
      </c>
      <c r="B265" s="3184" t="s">
        <v>3793</v>
      </c>
      <c r="C265" s="3184" t="s">
        <v>3900</v>
      </c>
      <c r="D265" s="3184">
        <v>15.83</v>
      </c>
      <c r="E265" s="3185">
        <v>45723</v>
      </c>
      <c r="F265" s="3185">
        <v>45754</v>
      </c>
    </row>
    <row r="266" spans="1:6">
      <c r="A266" s="3183">
        <v>264</v>
      </c>
      <c r="B266" s="3184" t="s">
        <v>3860</v>
      </c>
      <c r="C266" s="3184" t="s">
        <v>3794</v>
      </c>
      <c r="D266" s="3184">
        <v>15.36</v>
      </c>
      <c r="E266" s="3185">
        <v>45658</v>
      </c>
      <c r="F266" s="3185">
        <v>45838</v>
      </c>
    </row>
    <row r="267" spans="1:6">
      <c r="A267" s="3183">
        <v>265</v>
      </c>
      <c r="B267" s="3184" t="s">
        <v>3695</v>
      </c>
      <c r="C267" s="3184" t="s">
        <v>3901</v>
      </c>
      <c r="D267" s="3184">
        <v>15.06</v>
      </c>
      <c r="E267" s="3185">
        <v>45741</v>
      </c>
      <c r="F267" s="3185">
        <v>46081</v>
      </c>
    </row>
    <row r="268" spans="1:6">
      <c r="A268" s="3183">
        <v>266</v>
      </c>
      <c r="B268" s="3184" t="s">
        <v>3695</v>
      </c>
      <c r="C268" s="3184" t="s">
        <v>3902</v>
      </c>
      <c r="D268" s="3184">
        <v>15</v>
      </c>
      <c r="E268" s="3185">
        <v>45422</v>
      </c>
      <c r="F268" s="3185">
        <v>45777</v>
      </c>
    </row>
    <row r="269" spans="1:6">
      <c r="A269" s="3183">
        <v>267</v>
      </c>
      <c r="B269" s="3184" t="s">
        <v>3695</v>
      </c>
      <c r="C269" s="3184" t="s">
        <v>3903</v>
      </c>
      <c r="D269" s="3184">
        <v>15</v>
      </c>
      <c r="E269" s="3185">
        <v>45658</v>
      </c>
      <c r="F269" s="3185">
        <v>45704</v>
      </c>
    </row>
    <row r="270" spans="1:6">
      <c r="A270" s="3183">
        <v>268</v>
      </c>
      <c r="B270" s="3184" t="s">
        <v>3695</v>
      </c>
      <c r="C270" s="3184" t="s">
        <v>3904</v>
      </c>
      <c r="D270" s="3184">
        <v>15</v>
      </c>
      <c r="E270" s="3185">
        <v>45748</v>
      </c>
      <c r="F270" s="3185">
        <v>45838</v>
      </c>
    </row>
    <row r="271" spans="1:6">
      <c r="A271" s="3183">
        <v>269</v>
      </c>
      <c r="B271" s="3184" t="s">
        <v>3695</v>
      </c>
      <c r="C271" s="3184" t="s">
        <v>3905</v>
      </c>
      <c r="D271" s="3184">
        <v>15</v>
      </c>
      <c r="E271" s="3185">
        <v>45748</v>
      </c>
      <c r="F271" s="3185">
        <v>46112</v>
      </c>
    </row>
    <row r="272" spans="1:6">
      <c r="A272" s="3183">
        <v>270</v>
      </c>
      <c r="B272" s="3184" t="s">
        <v>3695</v>
      </c>
      <c r="C272" s="3184" t="s">
        <v>3906</v>
      </c>
      <c r="D272" s="3184">
        <v>15</v>
      </c>
      <c r="E272" s="3185">
        <v>45747</v>
      </c>
      <c r="F272" s="3185">
        <v>46112</v>
      </c>
    </row>
    <row r="273" spans="1:6">
      <c r="A273" s="3183">
        <v>271</v>
      </c>
      <c r="B273" s="3184" t="s">
        <v>3695</v>
      </c>
      <c r="C273" s="3184" t="s">
        <v>3907</v>
      </c>
      <c r="D273" s="3184">
        <v>15</v>
      </c>
      <c r="E273" s="3185">
        <v>45748</v>
      </c>
      <c r="F273" s="3185">
        <v>46112</v>
      </c>
    </row>
    <row r="274" spans="1:6">
      <c r="A274" s="3183">
        <v>272</v>
      </c>
      <c r="B274" s="3184" t="s">
        <v>3860</v>
      </c>
      <c r="C274" s="3184" t="s">
        <v>3864</v>
      </c>
      <c r="D274" s="3184">
        <v>14.78</v>
      </c>
      <c r="E274" s="3185">
        <v>45429</v>
      </c>
      <c r="F274" s="3185">
        <v>45793</v>
      </c>
    </row>
    <row r="275" spans="1:6">
      <c r="A275" s="3183">
        <v>273</v>
      </c>
      <c r="B275" s="3184" t="s">
        <v>3695</v>
      </c>
      <c r="C275" s="3184" t="s">
        <v>3908</v>
      </c>
      <c r="D275" s="3184">
        <v>14.25</v>
      </c>
      <c r="E275" s="3185">
        <v>45597</v>
      </c>
      <c r="F275" s="3185">
        <v>45777</v>
      </c>
    </row>
    <row r="276" spans="1:6">
      <c r="A276" s="3183">
        <v>274</v>
      </c>
      <c r="B276" s="3184" t="s">
        <v>3860</v>
      </c>
      <c r="C276" s="3184" t="s">
        <v>3853</v>
      </c>
      <c r="D276" s="3184">
        <v>14.18</v>
      </c>
      <c r="E276" s="3185">
        <v>45646</v>
      </c>
      <c r="F276" s="3185">
        <v>46010</v>
      </c>
    </row>
    <row r="277" spans="1:6">
      <c r="A277" s="3183">
        <v>275</v>
      </c>
      <c r="B277" s="3184" t="s">
        <v>3860</v>
      </c>
      <c r="C277" s="3184" t="s">
        <v>3700</v>
      </c>
      <c r="D277" s="3184">
        <v>14.04</v>
      </c>
      <c r="E277" s="3185">
        <v>45667</v>
      </c>
      <c r="F277" s="3185">
        <v>45747</v>
      </c>
    </row>
    <row r="278" spans="1:6">
      <c r="A278" s="3183">
        <v>276</v>
      </c>
      <c r="B278" s="3184" t="s">
        <v>3860</v>
      </c>
      <c r="C278" s="3184" t="s">
        <v>3716</v>
      </c>
      <c r="D278" s="3184">
        <v>14.04</v>
      </c>
      <c r="E278" s="3185">
        <v>45748</v>
      </c>
      <c r="F278" s="3185">
        <v>45930</v>
      </c>
    </row>
    <row r="279" spans="1:6">
      <c r="A279" s="3183">
        <v>277</v>
      </c>
      <c r="B279" s="3184" t="s">
        <v>3860</v>
      </c>
      <c r="C279" s="3184" t="s">
        <v>3895</v>
      </c>
      <c r="D279" s="3184">
        <v>13.87</v>
      </c>
      <c r="E279" s="3185">
        <v>45597</v>
      </c>
      <c r="F279" s="3185">
        <v>45716</v>
      </c>
    </row>
    <row r="280" spans="1:6">
      <c r="A280" s="3183">
        <v>278</v>
      </c>
      <c r="B280" s="3184" t="s">
        <v>3860</v>
      </c>
      <c r="C280" s="3184" t="s">
        <v>3816</v>
      </c>
      <c r="D280" s="3184">
        <v>13.87</v>
      </c>
      <c r="E280" s="3185">
        <v>45744</v>
      </c>
      <c r="F280" s="3185">
        <v>46108</v>
      </c>
    </row>
    <row r="281" spans="1:6">
      <c r="A281" s="3183">
        <v>279</v>
      </c>
      <c r="B281" s="3184" t="s">
        <v>3860</v>
      </c>
      <c r="C281" s="3184" t="s">
        <v>3713</v>
      </c>
      <c r="D281" s="3184">
        <v>13.59</v>
      </c>
      <c r="E281" s="3185">
        <v>45398</v>
      </c>
      <c r="F281" s="3185">
        <v>45763</v>
      </c>
    </row>
    <row r="282" spans="1:6">
      <c r="A282" s="3183">
        <v>280</v>
      </c>
      <c r="B282" s="3184" t="s">
        <v>3860</v>
      </c>
      <c r="C282" s="3184" t="s">
        <v>3784</v>
      </c>
      <c r="D282" s="3184">
        <v>13.59</v>
      </c>
      <c r="E282" s="3185">
        <v>45413</v>
      </c>
      <c r="F282" s="3185">
        <v>45747</v>
      </c>
    </row>
    <row r="283" spans="1:6">
      <c r="A283" s="3183">
        <v>281</v>
      </c>
      <c r="B283" s="3184" t="s">
        <v>3860</v>
      </c>
      <c r="C283" s="3184" t="s">
        <v>3805</v>
      </c>
      <c r="D283" s="3184">
        <v>13.59</v>
      </c>
      <c r="E283" s="3185">
        <v>45748</v>
      </c>
      <c r="F283" s="3185">
        <v>46112</v>
      </c>
    </row>
    <row r="284" spans="1:6">
      <c r="A284" s="3183">
        <v>282</v>
      </c>
      <c r="B284" s="3184" t="s">
        <v>3860</v>
      </c>
      <c r="C284" s="3184" t="s">
        <v>3720</v>
      </c>
      <c r="D284" s="3184">
        <v>13.52</v>
      </c>
      <c r="E284" s="3185">
        <v>45429</v>
      </c>
      <c r="F284" s="3185">
        <v>45747</v>
      </c>
    </row>
    <row r="285" spans="1:6">
      <c r="A285" s="3183">
        <v>283</v>
      </c>
      <c r="B285" s="3184" t="s">
        <v>3860</v>
      </c>
      <c r="C285" s="3184" t="s">
        <v>3720</v>
      </c>
      <c r="D285" s="3184">
        <v>13.52</v>
      </c>
      <c r="E285" s="3185">
        <v>45750</v>
      </c>
      <c r="F285" s="3185">
        <v>46112</v>
      </c>
    </row>
    <row r="286" spans="1:6">
      <c r="A286" s="3183">
        <v>284</v>
      </c>
      <c r="B286" s="3184" t="s">
        <v>3860</v>
      </c>
      <c r="C286" s="3184" t="s">
        <v>3783</v>
      </c>
      <c r="D286" s="3184">
        <v>13.38</v>
      </c>
      <c r="E286" s="3185">
        <v>45444</v>
      </c>
      <c r="F286" s="3185">
        <v>45808</v>
      </c>
    </row>
    <row r="287" spans="1:6">
      <c r="A287" s="3183">
        <v>285</v>
      </c>
      <c r="B287" s="3184" t="s">
        <v>3860</v>
      </c>
      <c r="C287" s="3184" t="s">
        <v>3730</v>
      </c>
      <c r="D287" s="3184">
        <v>12.78</v>
      </c>
      <c r="E287" s="3185">
        <v>45413</v>
      </c>
      <c r="F287" s="3185">
        <v>45777</v>
      </c>
    </row>
    <row r="288" spans="1:6">
      <c r="A288" s="3183">
        <v>286</v>
      </c>
      <c r="B288" s="3184" t="s">
        <v>3860</v>
      </c>
      <c r="C288" s="3184" t="s">
        <v>3806</v>
      </c>
      <c r="D288" s="3184">
        <v>12.48</v>
      </c>
      <c r="E288" s="3185">
        <v>45444</v>
      </c>
      <c r="F288" s="3185">
        <v>45747</v>
      </c>
    </row>
    <row r="289" spans="1:6">
      <c r="A289" s="3183">
        <v>287</v>
      </c>
      <c r="B289" s="3184" t="s">
        <v>3860</v>
      </c>
      <c r="C289" s="3184" t="s">
        <v>3806</v>
      </c>
      <c r="D289" s="3184">
        <v>12.48</v>
      </c>
      <c r="E289" s="3185">
        <v>45748</v>
      </c>
      <c r="F289" s="3185">
        <v>45838</v>
      </c>
    </row>
    <row r="290" spans="1:6">
      <c r="A290" s="3183">
        <v>288</v>
      </c>
      <c r="B290" s="3184" t="s">
        <v>3793</v>
      </c>
      <c r="C290" s="3184" t="s">
        <v>3909</v>
      </c>
      <c r="D290" s="3184">
        <v>12</v>
      </c>
      <c r="E290" s="3185">
        <v>45382</v>
      </c>
      <c r="F290" s="3185">
        <v>46006</v>
      </c>
    </row>
    <row r="291" spans="1:6">
      <c r="A291" s="3183">
        <v>289</v>
      </c>
      <c r="B291" s="3184" t="s">
        <v>3875</v>
      </c>
      <c r="C291" s="3184" t="s">
        <v>3892</v>
      </c>
      <c r="D291" s="3184">
        <v>12</v>
      </c>
      <c r="E291" s="3185">
        <v>45401</v>
      </c>
      <c r="F291" s="3185">
        <v>45766</v>
      </c>
    </row>
    <row r="292" spans="1:6">
      <c r="A292" s="3183">
        <v>290</v>
      </c>
      <c r="B292" s="3184" t="s">
        <v>3860</v>
      </c>
      <c r="C292" s="3184" t="s">
        <v>3867</v>
      </c>
      <c r="D292" s="3184">
        <v>11.28</v>
      </c>
      <c r="E292" s="3185">
        <v>45623</v>
      </c>
      <c r="F292" s="3185">
        <v>45777</v>
      </c>
    </row>
    <row r="293" spans="1:6">
      <c r="A293" s="3183">
        <v>291</v>
      </c>
      <c r="B293" s="3184" t="s">
        <v>3695</v>
      </c>
      <c r="C293" s="3184" t="s">
        <v>3910</v>
      </c>
      <c r="D293" s="3184">
        <v>10.119999999999999</v>
      </c>
      <c r="E293" s="3185">
        <v>45383</v>
      </c>
      <c r="F293" s="3185">
        <v>45747</v>
      </c>
    </row>
    <row r="294" spans="1:6">
      <c r="A294" s="3183">
        <v>292</v>
      </c>
      <c r="B294" s="3184" t="s">
        <v>3695</v>
      </c>
      <c r="C294" s="3184" t="s">
        <v>3911</v>
      </c>
      <c r="D294" s="3184">
        <v>10</v>
      </c>
      <c r="E294" s="3185">
        <v>45627</v>
      </c>
      <c r="F294" s="3185">
        <v>45991</v>
      </c>
    </row>
    <row r="295" spans="1:6">
      <c r="A295" s="3183">
        <v>293</v>
      </c>
      <c r="B295" s="3184" t="s">
        <v>3860</v>
      </c>
      <c r="C295" s="3184" t="s">
        <v>3876</v>
      </c>
      <c r="D295" s="3184">
        <v>8.99</v>
      </c>
      <c r="E295" s="3185">
        <v>45492</v>
      </c>
      <c r="F295" s="3185">
        <v>45808</v>
      </c>
    </row>
    <row r="296" spans="1:6">
      <c r="A296" s="3183">
        <v>294</v>
      </c>
      <c r="B296" s="3184" t="s">
        <v>3860</v>
      </c>
      <c r="C296" s="3184" t="s">
        <v>3818</v>
      </c>
      <c r="D296" s="3184">
        <v>8.82</v>
      </c>
      <c r="E296" s="3185">
        <v>45351</v>
      </c>
      <c r="F296" s="3185">
        <v>45715</v>
      </c>
    </row>
    <row r="297" spans="1:6">
      <c r="A297" s="3183">
        <v>295</v>
      </c>
      <c r="B297" s="3184" t="s">
        <v>3860</v>
      </c>
      <c r="C297" s="3184" t="s">
        <v>3818</v>
      </c>
      <c r="D297" s="3184">
        <v>8.82</v>
      </c>
      <c r="E297" s="3185">
        <v>45718</v>
      </c>
      <c r="F297" s="3185">
        <v>46080</v>
      </c>
    </row>
    <row r="298" spans="1:6">
      <c r="A298" s="3183">
        <v>296</v>
      </c>
      <c r="B298" s="3184" t="s">
        <v>3695</v>
      </c>
      <c r="C298" s="3184" t="s">
        <v>3912</v>
      </c>
      <c r="D298" s="3184">
        <v>8</v>
      </c>
      <c r="E298" s="3185">
        <v>45383</v>
      </c>
      <c r="F298" s="3185">
        <v>45747</v>
      </c>
    </row>
    <row r="299" spans="1:6">
      <c r="A299" s="3183">
        <v>297</v>
      </c>
      <c r="B299" s="3184" t="s">
        <v>3695</v>
      </c>
      <c r="C299" s="3184" t="s">
        <v>3913</v>
      </c>
      <c r="D299" s="3184">
        <v>8</v>
      </c>
      <c r="E299" s="3185">
        <v>45471</v>
      </c>
      <c r="F299" s="3185">
        <v>45838</v>
      </c>
    </row>
    <row r="300" spans="1:6">
      <c r="A300" s="3183">
        <v>298</v>
      </c>
      <c r="B300" s="3184" t="s">
        <v>3695</v>
      </c>
      <c r="C300" s="3184" t="s">
        <v>3912</v>
      </c>
      <c r="D300" s="3184">
        <v>8</v>
      </c>
      <c r="E300" s="3185">
        <v>45748</v>
      </c>
      <c r="F300" s="3185">
        <v>45777</v>
      </c>
    </row>
    <row r="301" spans="1:6">
      <c r="A301" s="3183">
        <v>299</v>
      </c>
      <c r="B301" s="3184" t="s">
        <v>3695</v>
      </c>
      <c r="C301" s="3184" t="s">
        <v>3907</v>
      </c>
      <c r="D301" s="3184">
        <v>5</v>
      </c>
      <c r="E301" s="3185">
        <v>45361</v>
      </c>
      <c r="F301" s="3185">
        <v>45725</v>
      </c>
    </row>
    <row r="302" spans="1:6">
      <c r="A302" s="3183">
        <v>300</v>
      </c>
      <c r="B302" s="3184" t="s">
        <v>3860</v>
      </c>
      <c r="C302" s="3184" t="s">
        <v>3722</v>
      </c>
      <c r="D302" s="3184">
        <v>4.03</v>
      </c>
      <c r="E302" s="3185">
        <v>45457</v>
      </c>
      <c r="F302" s="3185">
        <v>45821</v>
      </c>
    </row>
    <row r="303" spans="1:6">
      <c r="A303" s="3183">
        <v>301</v>
      </c>
      <c r="B303" s="3184" t="s">
        <v>3793</v>
      </c>
      <c r="C303" s="3184" t="s">
        <v>3914</v>
      </c>
      <c r="D303" s="3184">
        <v>4</v>
      </c>
      <c r="E303" s="3185">
        <v>44788</v>
      </c>
      <c r="F303" s="3185">
        <v>45899</v>
      </c>
    </row>
    <row r="304" spans="1:6">
      <c r="A304" s="3183">
        <v>302</v>
      </c>
      <c r="B304" s="3184" t="s">
        <v>3793</v>
      </c>
      <c r="C304" s="3184" t="s">
        <v>3794</v>
      </c>
      <c r="D304" s="3184">
        <v>3</v>
      </c>
      <c r="E304" s="3185">
        <v>45658</v>
      </c>
      <c r="F304" s="3185">
        <v>46023</v>
      </c>
    </row>
    <row r="305" spans="1:6">
      <c r="A305" s="3183">
        <v>303</v>
      </c>
      <c r="B305" s="3184" t="s">
        <v>3793</v>
      </c>
      <c r="C305" s="3184" t="s">
        <v>3794</v>
      </c>
      <c r="D305" s="3184">
        <v>2.4</v>
      </c>
      <c r="E305" s="3185">
        <v>45709</v>
      </c>
      <c r="F305" s="3185">
        <v>45718</v>
      </c>
    </row>
    <row r="306" spans="1:6">
      <c r="A306" s="3183">
        <v>304</v>
      </c>
      <c r="B306" s="3184" t="s">
        <v>3875</v>
      </c>
      <c r="C306" s="3184" t="s">
        <v>3730</v>
      </c>
      <c r="D306" s="3184">
        <v>1</v>
      </c>
      <c r="E306" s="3185">
        <v>45383</v>
      </c>
      <c r="F306" s="3185">
        <v>45747</v>
      </c>
    </row>
    <row r="307" spans="1:6">
      <c r="A307" s="3183">
        <v>305</v>
      </c>
      <c r="B307" s="3184" t="s">
        <v>3875</v>
      </c>
      <c r="C307" s="3184" t="s">
        <v>3915</v>
      </c>
      <c r="D307" s="3184">
        <v>1</v>
      </c>
      <c r="E307" s="3185">
        <v>45548</v>
      </c>
      <c r="F307" s="3185">
        <v>45900</v>
      </c>
    </row>
    <row r="308" spans="1:6">
      <c r="A308" s="3183">
        <v>306</v>
      </c>
      <c r="B308" s="3184" t="s">
        <v>3875</v>
      </c>
      <c r="C308" s="3184" t="s">
        <v>3730</v>
      </c>
      <c r="D308" s="3184">
        <v>1</v>
      </c>
      <c r="E308" s="3185">
        <v>45748</v>
      </c>
      <c r="F308" s="3185">
        <v>46112</v>
      </c>
    </row>
    <row r="309" spans="1:6">
      <c r="A309" s="3183">
        <v>307</v>
      </c>
      <c r="B309" s="3184" t="s">
        <v>3793</v>
      </c>
      <c r="C309" s="3184" t="s">
        <v>3701</v>
      </c>
      <c r="D309" s="3184">
        <v>0.38</v>
      </c>
      <c r="E309" s="3185">
        <v>45730</v>
      </c>
      <c r="F309" s="3185">
        <v>46081</v>
      </c>
    </row>
    <row r="310" spans="1:6">
      <c r="A310" s="3183">
        <v>308</v>
      </c>
      <c r="B310" s="3184" t="s">
        <v>3916</v>
      </c>
      <c r="C310" s="3184" t="s">
        <v>3709</v>
      </c>
      <c r="D310" s="3184"/>
      <c r="E310" s="3185">
        <v>45315</v>
      </c>
      <c r="F310" s="3185">
        <v>45680</v>
      </c>
    </row>
    <row r="311" spans="1:6">
      <c r="A311" s="3183">
        <v>309</v>
      </c>
      <c r="B311" s="3184" t="s">
        <v>3916</v>
      </c>
      <c r="C311" s="3184" t="s">
        <v>3794</v>
      </c>
      <c r="D311" s="3184"/>
      <c r="E311" s="3185">
        <v>45324</v>
      </c>
      <c r="F311" s="3185">
        <v>45689</v>
      </c>
    </row>
    <row r="312" spans="1:6">
      <c r="A312" s="3183">
        <v>310</v>
      </c>
      <c r="B312" s="3184" t="s">
        <v>3916</v>
      </c>
      <c r="C312" s="3184" t="s">
        <v>3722</v>
      </c>
      <c r="D312" s="3184"/>
      <c r="E312" s="3185">
        <v>45301</v>
      </c>
      <c r="F312" s="3185">
        <v>45666</v>
      </c>
    </row>
    <row r="313" spans="1:6">
      <c r="A313" s="3183">
        <v>311</v>
      </c>
      <c r="B313" s="3184" t="s">
        <v>3916</v>
      </c>
      <c r="C313" s="3184" t="s">
        <v>3794</v>
      </c>
      <c r="D313" s="3184"/>
      <c r="E313" s="3185">
        <v>45301</v>
      </c>
      <c r="F313" s="3185">
        <v>46031</v>
      </c>
    </row>
    <row r="314" spans="1:6">
      <c r="A314" s="3183">
        <v>312</v>
      </c>
      <c r="B314" s="3184" t="s">
        <v>3916</v>
      </c>
      <c r="C314" s="3184" t="s">
        <v>3856</v>
      </c>
      <c r="D314" s="3184"/>
      <c r="E314" s="3185">
        <v>45422</v>
      </c>
      <c r="F314" s="3185">
        <v>45725</v>
      </c>
    </row>
    <row r="315" spans="1:6">
      <c r="A315" s="3183">
        <v>313</v>
      </c>
      <c r="B315" s="3184" t="s">
        <v>3916</v>
      </c>
      <c r="C315" s="3184" t="s">
        <v>3745</v>
      </c>
      <c r="D315" s="3184"/>
      <c r="E315" s="3185">
        <v>45399</v>
      </c>
      <c r="F315" s="3185">
        <v>45763</v>
      </c>
    </row>
    <row r="316" spans="1:6">
      <c r="A316" s="3183">
        <v>314</v>
      </c>
      <c r="B316" s="3184" t="s">
        <v>3916</v>
      </c>
      <c r="C316" s="3184" t="s">
        <v>3744</v>
      </c>
      <c r="D316" s="3184"/>
      <c r="E316" s="3185">
        <v>45392</v>
      </c>
      <c r="F316" s="3185">
        <v>45716</v>
      </c>
    </row>
    <row r="317" spans="1:6">
      <c r="A317" s="3183">
        <v>315</v>
      </c>
      <c r="B317" s="3184" t="s">
        <v>3916</v>
      </c>
      <c r="C317" s="3184" t="s">
        <v>3826</v>
      </c>
      <c r="D317" s="3184"/>
      <c r="E317" s="3185">
        <v>45397</v>
      </c>
      <c r="F317" s="3185">
        <v>45761</v>
      </c>
    </row>
    <row r="318" spans="1:6">
      <c r="A318" s="3183">
        <v>316</v>
      </c>
      <c r="B318" s="3184" t="s">
        <v>3916</v>
      </c>
      <c r="C318" s="3184" t="s">
        <v>3716</v>
      </c>
      <c r="D318" s="3184"/>
      <c r="E318" s="3185">
        <v>45413</v>
      </c>
      <c r="F318" s="3185">
        <v>45777</v>
      </c>
    </row>
    <row r="319" spans="1:6">
      <c r="A319" s="3183">
        <v>317</v>
      </c>
      <c r="B319" s="3184" t="s">
        <v>3916</v>
      </c>
      <c r="C319" s="3184" t="s">
        <v>3737</v>
      </c>
      <c r="D319" s="3184"/>
      <c r="E319" s="3185">
        <v>45413</v>
      </c>
      <c r="F319" s="3185">
        <v>45777</v>
      </c>
    </row>
    <row r="320" spans="1:6">
      <c r="A320" s="3183">
        <v>318</v>
      </c>
      <c r="B320" s="3184" t="s">
        <v>3916</v>
      </c>
      <c r="C320" s="3184" t="s">
        <v>3699</v>
      </c>
      <c r="D320" s="3184"/>
      <c r="E320" s="3185">
        <v>45444</v>
      </c>
      <c r="F320" s="3185">
        <v>45808</v>
      </c>
    </row>
    <row r="321" spans="1:6">
      <c r="A321" s="3183">
        <v>319</v>
      </c>
      <c r="B321" s="3184" t="s">
        <v>3916</v>
      </c>
      <c r="C321" s="3184" t="s">
        <v>3807</v>
      </c>
      <c r="D321" s="3184"/>
      <c r="E321" s="3185">
        <v>45419</v>
      </c>
      <c r="F321" s="3185">
        <v>45783</v>
      </c>
    </row>
    <row r="322" spans="1:6">
      <c r="A322" s="3183">
        <v>320</v>
      </c>
      <c r="B322" s="3184" t="s">
        <v>3916</v>
      </c>
      <c r="C322" s="3184" t="s">
        <v>3782</v>
      </c>
      <c r="D322" s="3184"/>
      <c r="E322" s="3185">
        <v>45421</v>
      </c>
      <c r="F322" s="3185">
        <v>45747</v>
      </c>
    </row>
    <row r="323" spans="1:6">
      <c r="A323" s="3183">
        <v>321</v>
      </c>
      <c r="B323" s="3184" t="s">
        <v>3916</v>
      </c>
      <c r="C323" s="3184" t="s">
        <v>3723</v>
      </c>
      <c r="D323" s="3184"/>
      <c r="E323" s="3185">
        <v>45488</v>
      </c>
      <c r="F323" s="3185">
        <v>45671</v>
      </c>
    </row>
    <row r="324" spans="1:6">
      <c r="A324" s="3183">
        <v>322</v>
      </c>
      <c r="B324" s="3184" t="s">
        <v>3916</v>
      </c>
      <c r="C324" s="3184" t="s">
        <v>3794</v>
      </c>
      <c r="D324" s="3184"/>
      <c r="E324" s="3185">
        <v>45444</v>
      </c>
      <c r="F324" s="3185">
        <v>46538</v>
      </c>
    </row>
    <row r="325" spans="1:6">
      <c r="A325" s="3183">
        <v>323</v>
      </c>
      <c r="B325" s="3184" t="s">
        <v>3916</v>
      </c>
      <c r="C325" s="3184" t="s">
        <v>3741</v>
      </c>
      <c r="D325" s="3184"/>
      <c r="E325" s="3185">
        <v>45452</v>
      </c>
      <c r="F325" s="3185">
        <v>45816</v>
      </c>
    </row>
    <row r="326" spans="1:6">
      <c r="A326" s="3183">
        <v>324</v>
      </c>
      <c r="B326" s="3184" t="s">
        <v>3916</v>
      </c>
      <c r="C326" s="3184" t="s">
        <v>3701</v>
      </c>
      <c r="D326" s="3184"/>
      <c r="E326" s="3185">
        <v>45464</v>
      </c>
      <c r="F326" s="3185">
        <v>45786</v>
      </c>
    </row>
    <row r="327" spans="1:6">
      <c r="A327" s="3183">
        <v>325</v>
      </c>
      <c r="B327" s="3184" t="s">
        <v>3916</v>
      </c>
      <c r="C327" s="3184" t="s">
        <v>3709</v>
      </c>
      <c r="D327" s="3184"/>
      <c r="E327" s="3185">
        <v>45488</v>
      </c>
      <c r="F327" s="3185">
        <v>45867</v>
      </c>
    </row>
    <row r="328" spans="1:6">
      <c r="A328" s="3183">
        <v>326</v>
      </c>
      <c r="B328" s="3184" t="s">
        <v>3916</v>
      </c>
      <c r="C328" s="3184" t="s">
        <v>3751</v>
      </c>
      <c r="D328" s="3184"/>
      <c r="E328" s="3185">
        <v>45489</v>
      </c>
      <c r="F328" s="3185">
        <v>45672</v>
      </c>
    </row>
    <row r="329" spans="1:6">
      <c r="A329" s="3183">
        <v>327</v>
      </c>
      <c r="B329" s="3184" t="s">
        <v>3916</v>
      </c>
      <c r="C329" s="3184" t="s">
        <v>3794</v>
      </c>
      <c r="D329" s="3184"/>
      <c r="E329" s="3185">
        <v>45505</v>
      </c>
      <c r="F329" s="3185">
        <v>45869</v>
      </c>
    </row>
    <row r="330" spans="1:6">
      <c r="A330" s="3183">
        <v>328</v>
      </c>
      <c r="B330" s="3184" t="s">
        <v>3916</v>
      </c>
      <c r="C330" s="3184" t="s">
        <v>3794</v>
      </c>
      <c r="D330" s="3184"/>
      <c r="E330" s="3185">
        <v>45483</v>
      </c>
      <c r="F330" s="3185">
        <v>45847</v>
      </c>
    </row>
    <row r="331" spans="1:6">
      <c r="A331" s="3183">
        <v>329</v>
      </c>
      <c r="B331" s="3184" t="s">
        <v>3916</v>
      </c>
      <c r="C331" s="3184" t="s">
        <v>3794</v>
      </c>
      <c r="D331" s="3184"/>
      <c r="E331" s="3185">
        <v>45537</v>
      </c>
      <c r="F331" s="3185">
        <v>45809</v>
      </c>
    </row>
    <row r="332" spans="1:6">
      <c r="A332" s="3183">
        <v>330</v>
      </c>
      <c r="B332" s="3184" t="s">
        <v>3916</v>
      </c>
      <c r="C332" s="3184" t="s">
        <v>3773</v>
      </c>
      <c r="D332" s="3184"/>
      <c r="E332" s="3185">
        <v>45524</v>
      </c>
      <c r="F332" s="3185">
        <v>45735</v>
      </c>
    </row>
    <row r="333" spans="1:6">
      <c r="A333" s="3183">
        <v>331</v>
      </c>
      <c r="B333" s="3184" t="s">
        <v>3916</v>
      </c>
      <c r="C333" s="3184" t="s">
        <v>3701</v>
      </c>
      <c r="D333" s="3184"/>
      <c r="E333" s="3185">
        <v>45524</v>
      </c>
      <c r="F333" s="3185">
        <v>45888</v>
      </c>
    </row>
    <row r="334" spans="1:6">
      <c r="A334" s="3183">
        <v>332</v>
      </c>
      <c r="B334" s="3184" t="s">
        <v>3916</v>
      </c>
      <c r="C334" s="3184" t="s">
        <v>3866</v>
      </c>
      <c r="D334" s="3184"/>
      <c r="E334" s="3185">
        <v>45540</v>
      </c>
      <c r="F334" s="3185">
        <v>45661</v>
      </c>
    </row>
    <row r="335" spans="1:6">
      <c r="A335" s="3183">
        <v>333</v>
      </c>
      <c r="B335" s="3184" t="s">
        <v>3916</v>
      </c>
      <c r="C335" s="3184" t="s">
        <v>3739</v>
      </c>
      <c r="D335" s="3184"/>
      <c r="E335" s="3185">
        <v>45550</v>
      </c>
      <c r="F335" s="3185">
        <v>46037</v>
      </c>
    </row>
    <row r="336" spans="1:6">
      <c r="A336" s="3183">
        <v>334</v>
      </c>
      <c r="B336" s="3184" t="s">
        <v>3916</v>
      </c>
      <c r="C336" s="3184" t="s">
        <v>3701</v>
      </c>
      <c r="D336" s="3184"/>
      <c r="E336" s="3185">
        <v>45571</v>
      </c>
      <c r="F336" s="3185">
        <v>45936</v>
      </c>
    </row>
    <row r="337" spans="1:6">
      <c r="A337" s="3183">
        <v>335</v>
      </c>
      <c r="B337" s="3184" t="s">
        <v>3916</v>
      </c>
      <c r="C337" s="3184" t="s">
        <v>3713</v>
      </c>
      <c r="D337" s="3184"/>
      <c r="E337" s="3185">
        <v>45575</v>
      </c>
      <c r="F337" s="3185">
        <v>45939</v>
      </c>
    </row>
    <row r="338" spans="1:6">
      <c r="A338" s="3183">
        <v>336</v>
      </c>
      <c r="B338" s="3184" t="s">
        <v>3916</v>
      </c>
      <c r="C338" s="3184" t="s">
        <v>3777</v>
      </c>
      <c r="D338" s="3184"/>
      <c r="E338" s="3185">
        <v>45555</v>
      </c>
      <c r="F338" s="3185">
        <v>45747</v>
      </c>
    </row>
    <row r="339" spans="1:6">
      <c r="A339" s="3183">
        <v>337</v>
      </c>
      <c r="B339" s="3184" t="s">
        <v>3916</v>
      </c>
      <c r="C339" s="3184" t="s">
        <v>3819</v>
      </c>
      <c r="D339" s="3184"/>
      <c r="E339" s="3185">
        <v>45575</v>
      </c>
      <c r="F339" s="3185">
        <v>45666</v>
      </c>
    </row>
    <row r="340" spans="1:6">
      <c r="A340" s="3183">
        <v>338</v>
      </c>
      <c r="B340" s="3184" t="s">
        <v>3916</v>
      </c>
      <c r="C340" s="3184" t="s">
        <v>3699</v>
      </c>
      <c r="D340" s="3184"/>
      <c r="E340" s="3185">
        <v>45611</v>
      </c>
      <c r="F340" s="3185">
        <v>46022</v>
      </c>
    </row>
    <row r="341" spans="1:6">
      <c r="A341" s="3183">
        <v>339</v>
      </c>
      <c r="B341" s="3184" t="s">
        <v>3916</v>
      </c>
      <c r="C341" s="3184" t="s">
        <v>3759</v>
      </c>
      <c r="D341" s="3184"/>
      <c r="E341" s="3185">
        <v>45598</v>
      </c>
      <c r="F341" s="3185">
        <v>45901</v>
      </c>
    </row>
    <row r="342" spans="1:6">
      <c r="A342" s="3183">
        <v>340</v>
      </c>
      <c r="B342" s="3184" t="s">
        <v>3916</v>
      </c>
      <c r="C342" s="3184" t="s">
        <v>3847</v>
      </c>
      <c r="D342" s="3184"/>
      <c r="E342" s="3185">
        <v>45591</v>
      </c>
      <c r="F342" s="3185">
        <v>45682</v>
      </c>
    </row>
    <row r="343" spans="1:6">
      <c r="A343" s="3183">
        <v>341</v>
      </c>
      <c r="B343" s="3184" t="s">
        <v>3916</v>
      </c>
      <c r="C343" s="3184" t="s">
        <v>3767</v>
      </c>
      <c r="D343" s="3184"/>
      <c r="E343" s="3185">
        <v>45608</v>
      </c>
      <c r="F343" s="3185">
        <v>45972</v>
      </c>
    </row>
    <row r="344" spans="1:6">
      <c r="A344" s="3183">
        <v>342</v>
      </c>
      <c r="B344" s="3184" t="s">
        <v>3916</v>
      </c>
      <c r="C344" s="3184" t="s">
        <v>3811</v>
      </c>
      <c r="D344" s="3184"/>
      <c r="E344" s="3185">
        <v>45623</v>
      </c>
      <c r="F344" s="3185">
        <v>45716</v>
      </c>
    </row>
    <row r="345" spans="1:6">
      <c r="A345" s="3183">
        <v>343</v>
      </c>
      <c r="B345" s="3184" t="s">
        <v>3916</v>
      </c>
      <c r="C345" s="3184" t="s">
        <v>3720</v>
      </c>
      <c r="D345" s="3184"/>
      <c r="E345" s="3185">
        <v>45607</v>
      </c>
      <c r="F345" s="3185">
        <v>45991</v>
      </c>
    </row>
    <row r="346" spans="1:6">
      <c r="A346" s="3183">
        <v>344</v>
      </c>
      <c r="B346" s="3184" t="s">
        <v>3916</v>
      </c>
      <c r="C346" s="3184" t="s">
        <v>3828</v>
      </c>
      <c r="D346" s="3184"/>
      <c r="E346" s="3185">
        <v>45608</v>
      </c>
      <c r="F346" s="3185">
        <v>45716</v>
      </c>
    </row>
    <row r="347" spans="1:6">
      <c r="A347" s="3183">
        <v>345</v>
      </c>
      <c r="B347" s="3184" t="s">
        <v>3916</v>
      </c>
      <c r="C347" s="3184" t="s">
        <v>3740</v>
      </c>
      <c r="D347" s="3184"/>
      <c r="E347" s="3185">
        <v>45627</v>
      </c>
      <c r="F347" s="3185">
        <v>45808</v>
      </c>
    </row>
    <row r="348" spans="1:6">
      <c r="A348" s="3183">
        <v>346</v>
      </c>
      <c r="B348" s="3184" t="s">
        <v>3916</v>
      </c>
      <c r="C348" s="3184" t="s">
        <v>3739</v>
      </c>
      <c r="D348" s="3184"/>
      <c r="E348" s="3185">
        <v>45619</v>
      </c>
      <c r="F348" s="3185">
        <v>45983</v>
      </c>
    </row>
    <row r="349" spans="1:6">
      <c r="A349" s="3183">
        <v>347</v>
      </c>
      <c r="B349" s="3184" t="s">
        <v>3916</v>
      </c>
      <c r="C349" s="3184" t="s">
        <v>3854</v>
      </c>
      <c r="D349" s="3184"/>
      <c r="E349" s="3185">
        <v>45627</v>
      </c>
      <c r="F349" s="3185">
        <v>45731</v>
      </c>
    </row>
    <row r="350" spans="1:6">
      <c r="A350" s="3183">
        <v>348</v>
      </c>
      <c r="B350" s="3184" t="s">
        <v>3916</v>
      </c>
      <c r="C350" s="3184" t="s">
        <v>3765</v>
      </c>
      <c r="D350" s="3184"/>
      <c r="E350" s="3185">
        <v>45659</v>
      </c>
      <c r="F350" s="3185">
        <v>45747</v>
      </c>
    </row>
    <row r="351" spans="1:6">
      <c r="A351" s="3183">
        <v>349</v>
      </c>
      <c r="B351" s="3184" t="s">
        <v>3916</v>
      </c>
      <c r="C351" s="3184" t="s">
        <v>3709</v>
      </c>
      <c r="D351" s="3184"/>
      <c r="E351" s="3185">
        <v>45681</v>
      </c>
      <c r="F351" s="3185">
        <v>45861</v>
      </c>
    </row>
    <row r="352" spans="1:6">
      <c r="A352" s="3183">
        <v>350</v>
      </c>
      <c r="B352" s="3184" t="s">
        <v>3916</v>
      </c>
      <c r="C352" s="3184" t="s">
        <v>3722</v>
      </c>
      <c r="D352" s="3184"/>
      <c r="E352" s="3185">
        <v>45667</v>
      </c>
      <c r="F352" s="3185">
        <v>46031</v>
      </c>
    </row>
    <row r="353" spans="1:6">
      <c r="A353" s="3183">
        <v>351</v>
      </c>
      <c r="B353" s="3184" t="s">
        <v>3916</v>
      </c>
      <c r="C353" s="3184" t="s">
        <v>3870</v>
      </c>
      <c r="D353" s="3184"/>
      <c r="E353" s="3185">
        <v>45659</v>
      </c>
      <c r="F353" s="3185">
        <v>45688</v>
      </c>
    </row>
    <row r="354" spans="1:6">
      <c r="A354" s="3183">
        <v>352</v>
      </c>
      <c r="B354" s="3184" t="s">
        <v>3916</v>
      </c>
      <c r="C354" s="3184" t="s">
        <v>3740</v>
      </c>
      <c r="D354" s="3184"/>
      <c r="E354" s="3185">
        <v>45667</v>
      </c>
      <c r="F354" s="3185">
        <v>46022</v>
      </c>
    </row>
    <row r="355" spans="1:6">
      <c r="A355" s="3183">
        <v>353</v>
      </c>
      <c r="B355" s="3184" t="s">
        <v>3916</v>
      </c>
      <c r="C355" s="3184" t="s">
        <v>3819</v>
      </c>
      <c r="D355" s="3184"/>
      <c r="E355" s="3185">
        <v>45667</v>
      </c>
      <c r="F355" s="3185">
        <v>45758</v>
      </c>
    </row>
    <row r="356" spans="1:6">
      <c r="A356" s="3183">
        <v>354</v>
      </c>
      <c r="B356" s="3184" t="s">
        <v>3916</v>
      </c>
      <c r="C356" s="3184" t="s">
        <v>3723</v>
      </c>
      <c r="D356" s="3184"/>
      <c r="E356" s="3185">
        <v>45679</v>
      </c>
      <c r="F356" s="3185">
        <v>45768</v>
      </c>
    </row>
    <row r="357" spans="1:6">
      <c r="A357" s="3183">
        <v>355</v>
      </c>
      <c r="B357" s="3184" t="s">
        <v>3916</v>
      </c>
      <c r="C357" s="3184" t="s">
        <v>3794</v>
      </c>
      <c r="D357" s="3184"/>
      <c r="E357" s="3185">
        <v>45678</v>
      </c>
      <c r="F357" s="3185">
        <v>45708</v>
      </c>
    </row>
    <row r="358" spans="1:6">
      <c r="A358" s="3183">
        <v>356</v>
      </c>
      <c r="B358" s="3184" t="s">
        <v>3916</v>
      </c>
      <c r="C358" s="3184" t="s">
        <v>3811</v>
      </c>
      <c r="D358" s="3184"/>
      <c r="E358" s="3185">
        <v>45717</v>
      </c>
      <c r="F358" s="3185">
        <v>45900</v>
      </c>
    </row>
    <row r="359" spans="1:6">
      <c r="A359" s="3183">
        <v>357</v>
      </c>
      <c r="B359" s="3184" t="s">
        <v>3916</v>
      </c>
      <c r="C359" s="3184" t="s">
        <v>3867</v>
      </c>
      <c r="D359" s="3184"/>
      <c r="E359" s="3185">
        <v>45675</v>
      </c>
      <c r="F359" s="3185">
        <v>45716</v>
      </c>
    </row>
    <row r="360" spans="1:6">
      <c r="A360" s="3183">
        <v>358</v>
      </c>
      <c r="B360" s="3184" t="s">
        <v>3916</v>
      </c>
      <c r="C360" s="3184" t="s">
        <v>3847</v>
      </c>
      <c r="D360" s="3184"/>
      <c r="E360" s="3185">
        <v>45683</v>
      </c>
      <c r="F360" s="3185">
        <v>45772</v>
      </c>
    </row>
    <row r="361" spans="1:6">
      <c r="A361" s="3183">
        <v>359</v>
      </c>
      <c r="B361" s="3184" t="s">
        <v>3916</v>
      </c>
      <c r="C361" s="3184" t="s">
        <v>3794</v>
      </c>
      <c r="D361" s="3184"/>
      <c r="E361" s="3185">
        <v>45677</v>
      </c>
      <c r="F361" s="3185">
        <v>45706</v>
      </c>
    </row>
    <row r="362" spans="1:6">
      <c r="A362" s="3183">
        <v>360</v>
      </c>
      <c r="B362" s="3184" t="s">
        <v>3916</v>
      </c>
      <c r="C362" s="3184" t="s">
        <v>3854</v>
      </c>
      <c r="D362" s="3184"/>
      <c r="E362" s="3185">
        <v>45698</v>
      </c>
      <c r="F362" s="3185">
        <v>45757</v>
      </c>
    </row>
    <row r="363" spans="1:6">
      <c r="A363" s="3183">
        <v>361</v>
      </c>
      <c r="B363" s="3184" t="s">
        <v>3916</v>
      </c>
      <c r="C363" s="3184" t="s">
        <v>3794</v>
      </c>
      <c r="D363" s="3184"/>
      <c r="E363" s="3185">
        <v>45690</v>
      </c>
      <c r="F363" s="3185">
        <v>45716</v>
      </c>
    </row>
    <row r="364" spans="1:6">
      <c r="A364" s="3183">
        <v>362</v>
      </c>
      <c r="B364" s="3184" t="s">
        <v>3916</v>
      </c>
      <c r="C364" s="3184" t="s">
        <v>3794</v>
      </c>
      <c r="D364" s="3184"/>
      <c r="E364" s="3185">
        <v>45717</v>
      </c>
      <c r="F364" s="3185">
        <v>46055</v>
      </c>
    </row>
    <row r="365" spans="1:6">
      <c r="A365" s="3183">
        <v>363</v>
      </c>
      <c r="B365" s="3184" t="s">
        <v>3916</v>
      </c>
      <c r="C365" s="3184" t="s">
        <v>3726</v>
      </c>
      <c r="D365" s="3184"/>
      <c r="E365" s="3185">
        <v>45717</v>
      </c>
      <c r="F365" s="3185">
        <v>45777</v>
      </c>
    </row>
    <row r="366" spans="1:6">
      <c r="A366" s="3183">
        <v>364</v>
      </c>
      <c r="B366" s="3184" t="s">
        <v>3916</v>
      </c>
      <c r="C366" s="3184" t="s">
        <v>3723</v>
      </c>
      <c r="D366" s="3184"/>
      <c r="E366" s="3185">
        <v>45769</v>
      </c>
      <c r="F366" s="3185">
        <v>46022</v>
      </c>
    </row>
    <row r="367" spans="1:6">
      <c r="A367" s="3183">
        <v>365</v>
      </c>
      <c r="B367" s="3184" t="s">
        <v>3916</v>
      </c>
      <c r="C367" s="3184" t="s">
        <v>3720</v>
      </c>
      <c r="D367" s="3184"/>
      <c r="E367" s="3185">
        <v>45717</v>
      </c>
      <c r="F367" s="3185">
        <v>45900</v>
      </c>
    </row>
    <row r="368" spans="1:6">
      <c r="A368" s="3183">
        <v>366</v>
      </c>
      <c r="B368" s="3184" t="s">
        <v>3916</v>
      </c>
      <c r="C368" s="3184" t="s">
        <v>3794</v>
      </c>
      <c r="D368" s="3184"/>
      <c r="E368" s="3185">
        <v>45717</v>
      </c>
      <c r="F368" s="3185">
        <v>45747</v>
      </c>
    </row>
    <row r="369" spans="1:6">
      <c r="A369" s="3183">
        <v>367</v>
      </c>
      <c r="B369" s="3184" t="s">
        <v>3916</v>
      </c>
      <c r="C369" s="3184" t="s">
        <v>3758</v>
      </c>
      <c r="D369" s="3184"/>
      <c r="E369" s="3185">
        <v>45727</v>
      </c>
      <c r="F369" s="3185">
        <v>45818</v>
      </c>
    </row>
    <row r="370" spans="1:6">
      <c r="A370" s="3183">
        <v>368</v>
      </c>
      <c r="B370" s="3184" t="s">
        <v>3916</v>
      </c>
      <c r="C370" s="3184" t="s">
        <v>3748</v>
      </c>
      <c r="D370" s="3184"/>
      <c r="E370" s="3185">
        <v>45732</v>
      </c>
      <c r="F370" s="3185">
        <v>45915</v>
      </c>
    </row>
    <row r="371" spans="1:6">
      <c r="A371" s="3183">
        <v>369</v>
      </c>
      <c r="B371" s="3184" t="s">
        <v>3916</v>
      </c>
      <c r="C371" s="3184" t="s">
        <v>3777</v>
      </c>
      <c r="D371" s="3184"/>
      <c r="E371" s="3185">
        <v>45748</v>
      </c>
      <c r="F371" s="3185">
        <v>46112</v>
      </c>
    </row>
    <row r="372" spans="1:6">
      <c r="A372" s="3183">
        <v>370</v>
      </c>
      <c r="B372" s="3184" t="s">
        <v>3916</v>
      </c>
      <c r="C372" s="3184" t="s">
        <v>3765</v>
      </c>
      <c r="D372" s="3184"/>
      <c r="E372" s="3185">
        <v>45748</v>
      </c>
      <c r="F372" s="3185">
        <v>46112</v>
      </c>
    </row>
    <row r="373" spans="1:6">
      <c r="A373" s="3183">
        <v>371</v>
      </c>
      <c r="B373" s="3184" t="s">
        <v>3916</v>
      </c>
      <c r="C373" s="3184" t="s">
        <v>3716</v>
      </c>
      <c r="D373" s="3184"/>
      <c r="E373" s="3185">
        <v>45778</v>
      </c>
      <c r="F373" s="3185">
        <v>46142</v>
      </c>
    </row>
    <row r="374" spans="1:6">
      <c r="A374" s="3183">
        <v>372</v>
      </c>
      <c r="B374" s="3184" t="s">
        <v>3916</v>
      </c>
      <c r="C374" s="3184" t="s">
        <v>3765</v>
      </c>
      <c r="D374" s="3184"/>
      <c r="E374" s="3185">
        <v>45748</v>
      </c>
      <c r="F374" s="3185">
        <v>46053</v>
      </c>
    </row>
    <row r="375" spans="1:6">
      <c r="A375" s="3183">
        <v>373</v>
      </c>
      <c r="B375" s="3184" t="s">
        <v>3916</v>
      </c>
      <c r="C375" s="3184" t="s">
        <v>3750</v>
      </c>
      <c r="D375" s="3184"/>
      <c r="E375" s="3185">
        <v>45748</v>
      </c>
      <c r="F375" s="3185">
        <v>45930</v>
      </c>
    </row>
    <row r="376" spans="1:6">
      <c r="A376" s="3183">
        <v>374</v>
      </c>
      <c r="B376" s="3184" t="s">
        <v>3916</v>
      </c>
      <c r="C376" s="3184" t="s">
        <v>3901</v>
      </c>
      <c r="D376" s="3184"/>
      <c r="E376" s="3185">
        <v>45748</v>
      </c>
      <c r="F376" s="3185">
        <v>45838</v>
      </c>
    </row>
    <row r="377" spans="1:6">
      <c r="A377" s="3183">
        <v>375</v>
      </c>
      <c r="B377" s="3184" t="s">
        <v>3916</v>
      </c>
      <c r="C377" s="3184" t="s">
        <v>3819</v>
      </c>
      <c r="D377" s="3184"/>
      <c r="E377" s="3185">
        <v>45759</v>
      </c>
      <c r="F377" s="3185">
        <v>45850</v>
      </c>
    </row>
    <row r="378" spans="1:6">
      <c r="A378" s="3183">
        <v>376</v>
      </c>
      <c r="B378" s="3184" t="s">
        <v>3916</v>
      </c>
      <c r="C378" s="3184" t="s">
        <v>3804</v>
      </c>
      <c r="D378" s="3184"/>
      <c r="E378" s="3185">
        <v>45758</v>
      </c>
      <c r="F378" s="3185">
        <v>45910</v>
      </c>
    </row>
    <row r="379" spans="1:6">
      <c r="D379" s="3179">
        <f>SUM(D3:D378)</f>
        <v>49246.63</v>
      </c>
    </row>
  </sheetData>
  <mergeCells count="1">
    <mergeCell ref="A1:F1"/>
  </mergeCells>
  <phoneticPr fontId="134" type="noConversion"/>
  <pageMargins left="0.75" right="0.75" top="1" bottom="1" header="0.5" footer="0.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I892"/>
  <sheetViews>
    <sheetView topLeftCell="A100" zoomScale="85" zoomScaleNormal="85" workbookViewId="0">
      <selection activeCell="M125" sqref="M125"/>
    </sheetView>
  </sheetViews>
  <sheetFormatPr defaultColWidth="8.875" defaultRowHeight="16.5"/>
  <cols>
    <col min="1" max="1" width="4.125" style="3179" customWidth="1"/>
    <col min="2" max="2" width="8" style="3188" customWidth="1"/>
    <col min="3" max="3" width="23.625" style="3179" customWidth="1"/>
    <col min="4" max="5" width="16.875" style="3179" customWidth="1"/>
    <col min="6" max="6" width="18.125" style="3193" bestFit="1" customWidth="1"/>
    <col min="7" max="10" width="8.875" style="3179"/>
    <col min="11" max="11" width="10.5" style="3179" bestFit="1" customWidth="1"/>
    <col min="12" max="16384" width="8.875" style="3179"/>
  </cols>
  <sheetData>
    <row r="1" spans="2:7" ht="21">
      <c r="B1" s="3510" t="s">
        <v>3917</v>
      </c>
      <c r="C1" s="3510"/>
      <c r="D1" s="3510"/>
      <c r="E1" s="3510"/>
      <c r="F1" s="3510"/>
    </row>
    <row r="2" spans="2:7">
      <c r="B2" s="3186" t="s">
        <v>3683</v>
      </c>
      <c r="C2" s="3186" t="s">
        <v>3918</v>
      </c>
      <c r="D2" s="3186" t="s">
        <v>3684</v>
      </c>
      <c r="E2" s="3186" t="s">
        <v>3919</v>
      </c>
      <c r="F2" s="3187" t="s">
        <v>3920</v>
      </c>
      <c r="G2" s="3179" t="s">
        <v>3921</v>
      </c>
    </row>
    <row r="3" spans="2:7">
      <c r="B3" s="3188">
        <v>1</v>
      </c>
      <c r="C3" s="3189" t="s">
        <v>3922</v>
      </c>
      <c r="D3" s="3179" t="s">
        <v>3695</v>
      </c>
      <c r="E3" s="3179">
        <v>296.48</v>
      </c>
      <c r="F3" s="3190">
        <v>142.14096000000001</v>
      </c>
      <c r="G3" s="3191">
        <f>F3*10000/E3/365</f>
        <v>13.135027242014061</v>
      </c>
    </row>
    <row r="4" spans="2:7">
      <c r="B4" s="3188">
        <v>2</v>
      </c>
      <c r="C4" s="3192" t="s">
        <v>3923</v>
      </c>
      <c r="D4" s="3179" t="s">
        <v>3695</v>
      </c>
      <c r="E4" s="3179">
        <v>234.99</v>
      </c>
      <c r="F4" s="3190">
        <v>123.74368199999998</v>
      </c>
      <c r="G4" s="3191">
        <f t="shared" ref="G4:G67" si="0">F4*10000/E4/365</f>
        <v>14.427158019548484</v>
      </c>
    </row>
    <row r="5" spans="2:7">
      <c r="B5" s="3188">
        <v>3</v>
      </c>
      <c r="C5" s="3189" t="s">
        <v>3924</v>
      </c>
      <c r="D5" s="3179" t="s">
        <v>3695</v>
      </c>
      <c r="E5" s="3179">
        <v>129.72999999999999</v>
      </c>
      <c r="F5" s="3190">
        <v>25.991889</v>
      </c>
      <c r="G5" s="3191">
        <f t="shared" si="0"/>
        <v>5.4891432046959503</v>
      </c>
    </row>
    <row r="6" spans="2:7">
      <c r="B6" s="3188">
        <v>4</v>
      </c>
      <c r="C6" s="3192" t="s">
        <v>3925</v>
      </c>
      <c r="D6" s="3179" t="s">
        <v>3695</v>
      </c>
      <c r="E6" s="3179">
        <v>314.08999999999997</v>
      </c>
      <c r="F6" s="3190">
        <v>127.72231399999997</v>
      </c>
      <c r="G6" s="3191">
        <f t="shared" si="0"/>
        <v>11.140887896628527</v>
      </c>
    </row>
    <row r="7" spans="2:7">
      <c r="B7" s="3188">
        <v>5</v>
      </c>
      <c r="C7" s="3189" t="s">
        <v>3926</v>
      </c>
      <c r="D7" s="3179" t="s">
        <v>3695</v>
      </c>
      <c r="E7" s="3179">
        <v>271.37</v>
      </c>
      <c r="F7" s="3190">
        <v>65.792270000000002</v>
      </c>
      <c r="G7" s="3191">
        <f t="shared" si="0"/>
        <v>6.6423257736871415</v>
      </c>
    </row>
    <row r="8" spans="2:7">
      <c r="B8" s="3188">
        <v>6</v>
      </c>
      <c r="C8" s="3179" t="s">
        <v>3927</v>
      </c>
      <c r="D8" s="3179" t="s">
        <v>3695</v>
      </c>
      <c r="E8" s="3179">
        <v>202.06</v>
      </c>
      <c r="F8" s="3190">
        <v>141.95993999999999</v>
      </c>
      <c r="G8" s="3191">
        <f t="shared" si="0"/>
        <v>19.248309535076384</v>
      </c>
    </row>
    <row r="9" spans="2:7">
      <c r="B9" s="3188">
        <v>7</v>
      </c>
      <c r="C9" s="3192" t="s">
        <v>3928</v>
      </c>
      <c r="D9" s="3179" t="s">
        <v>3695</v>
      </c>
      <c r="E9" s="3179">
        <v>202.09</v>
      </c>
      <c r="F9" s="3190">
        <v>20.660867999999997</v>
      </c>
      <c r="G9" s="3191">
        <f t="shared" si="0"/>
        <v>2.8009855909851633</v>
      </c>
    </row>
    <row r="10" spans="2:7">
      <c r="B10" s="3188">
        <v>8</v>
      </c>
      <c r="C10" s="3179" t="s">
        <v>3929</v>
      </c>
      <c r="D10" s="3179" t="s">
        <v>3695</v>
      </c>
      <c r="E10" s="3179">
        <v>653.79999999999995</v>
      </c>
      <c r="F10" s="3190">
        <v>65.543450000000007</v>
      </c>
      <c r="G10" s="3191">
        <f t="shared" si="0"/>
        <v>2.746575342465754</v>
      </c>
    </row>
    <row r="11" spans="2:7">
      <c r="B11" s="3188">
        <v>9</v>
      </c>
      <c r="C11" s="3179" t="s">
        <v>3930</v>
      </c>
      <c r="D11" s="3179" t="s">
        <v>3695</v>
      </c>
      <c r="E11" s="3179">
        <v>169.76</v>
      </c>
      <c r="F11" s="3190">
        <v>22.639248000000002</v>
      </c>
      <c r="G11" s="3191">
        <f t="shared" si="0"/>
        <v>3.6537074096548876</v>
      </c>
    </row>
    <row r="12" spans="2:7">
      <c r="B12" s="3188">
        <v>10</v>
      </c>
      <c r="C12" s="3179" t="s">
        <v>3931</v>
      </c>
      <c r="D12" s="3179" t="s">
        <v>3695</v>
      </c>
      <c r="E12" s="3179">
        <v>130.16999999999999</v>
      </c>
      <c r="F12" s="3190">
        <v>87.022709999999989</v>
      </c>
      <c r="G12" s="3191">
        <f t="shared" si="0"/>
        <v>18.315924065579154</v>
      </c>
    </row>
    <row r="13" spans="2:7">
      <c r="B13" s="3188">
        <v>11</v>
      </c>
      <c r="C13" s="3192" t="s">
        <v>3932</v>
      </c>
      <c r="D13" s="3179" t="s">
        <v>3695</v>
      </c>
      <c r="E13" s="3179">
        <v>233.73</v>
      </c>
      <c r="F13" s="3190">
        <v>53.239845000000003</v>
      </c>
      <c r="G13" s="3191">
        <f t="shared" si="0"/>
        <v>6.2406447200229298</v>
      </c>
    </row>
    <row r="14" spans="2:7">
      <c r="B14" s="3188">
        <v>12</v>
      </c>
      <c r="C14" s="3179" t="s">
        <v>3933</v>
      </c>
      <c r="D14" s="3179" t="s">
        <v>3695</v>
      </c>
      <c r="E14" s="3179">
        <v>107.87</v>
      </c>
      <c r="F14" s="3190">
        <v>32.533068</v>
      </c>
      <c r="G14" s="3191">
        <f t="shared" si="0"/>
        <v>8.2628806109840482</v>
      </c>
    </row>
    <row r="15" spans="2:7">
      <c r="B15" s="3188">
        <v>13</v>
      </c>
      <c r="C15" s="3179" t="s">
        <v>3934</v>
      </c>
      <c r="D15" s="3179" t="s">
        <v>3695</v>
      </c>
      <c r="E15" s="3179">
        <v>108.08</v>
      </c>
      <c r="F15" s="3190">
        <v>18.180830999999998</v>
      </c>
      <c r="G15" s="3191">
        <f t="shared" si="0"/>
        <v>4.6086691238352104</v>
      </c>
    </row>
    <row r="16" spans="2:7">
      <c r="B16" s="3188">
        <v>14</v>
      </c>
      <c r="C16" s="3179" t="s">
        <v>3935</v>
      </c>
      <c r="D16" s="3179" t="s">
        <v>3695</v>
      </c>
      <c r="E16" s="3179">
        <v>437.26</v>
      </c>
      <c r="F16" s="3190">
        <v>142.65317200000001</v>
      </c>
      <c r="G16" s="3191">
        <f t="shared" si="0"/>
        <v>8.9381742720390189</v>
      </c>
    </row>
    <row r="17" spans="2:7">
      <c r="B17" s="3188">
        <v>15</v>
      </c>
      <c r="C17" s="3179" t="s">
        <v>3936</v>
      </c>
      <c r="D17" s="3179" t="s">
        <v>3689</v>
      </c>
      <c r="E17" s="3179">
        <v>1956.3</v>
      </c>
      <c r="F17" s="3190">
        <v>317.22998899999999</v>
      </c>
      <c r="G17" s="3191">
        <f t="shared" si="0"/>
        <v>4.4426890432666077</v>
      </c>
    </row>
    <row r="18" spans="2:7">
      <c r="B18" s="3188">
        <v>16</v>
      </c>
      <c r="C18" s="3179" t="s">
        <v>3937</v>
      </c>
      <c r="D18" s="3179" t="s">
        <v>3695</v>
      </c>
      <c r="E18" s="3179">
        <v>508.23</v>
      </c>
      <c r="F18" s="3190">
        <v>223.32474000000005</v>
      </c>
      <c r="G18" s="3191">
        <f t="shared" si="0"/>
        <v>12.03881318969219</v>
      </c>
    </row>
    <row r="19" spans="2:7">
      <c r="B19" s="3188">
        <v>17</v>
      </c>
      <c r="C19" s="3179" t="s">
        <v>3938</v>
      </c>
      <c r="D19" s="3179" t="s">
        <v>3695</v>
      </c>
      <c r="E19" s="3179">
        <v>622.80999999999995</v>
      </c>
      <c r="F19" s="3190">
        <v>170.56028699999999</v>
      </c>
      <c r="G19" s="3191">
        <f t="shared" si="0"/>
        <v>7.5029055014249382</v>
      </c>
    </row>
    <row r="20" spans="2:7">
      <c r="B20" s="3188">
        <v>18</v>
      </c>
      <c r="C20" s="3179" t="s">
        <v>3939</v>
      </c>
      <c r="D20" s="3179" t="s">
        <v>3695</v>
      </c>
      <c r="E20" s="3179">
        <v>248</v>
      </c>
      <c r="F20" s="3190">
        <v>24.861999999999998</v>
      </c>
      <c r="G20" s="3191">
        <f t="shared" si="0"/>
        <v>2.7465753424657531</v>
      </c>
    </row>
    <row r="21" spans="2:7">
      <c r="B21" s="3188">
        <v>19</v>
      </c>
      <c r="C21" s="3179" t="s">
        <v>3940</v>
      </c>
      <c r="D21" s="3179" t="s">
        <v>3695</v>
      </c>
      <c r="E21" s="3179">
        <v>182.32</v>
      </c>
      <c r="F21" s="3190">
        <v>25.340159999999997</v>
      </c>
      <c r="G21" s="3191">
        <f t="shared" si="0"/>
        <v>3.8078705512511495</v>
      </c>
    </row>
    <row r="22" spans="2:7">
      <c r="B22" s="3188">
        <v>20</v>
      </c>
      <c r="C22" s="3179" t="s">
        <v>3941</v>
      </c>
      <c r="D22" s="3179" t="s">
        <v>3695</v>
      </c>
      <c r="E22" s="3179">
        <v>259.14999999999998</v>
      </c>
      <c r="F22" s="3190">
        <v>152.08023400000002</v>
      </c>
      <c r="G22" s="3191">
        <f t="shared" si="0"/>
        <v>16.077876725543732</v>
      </c>
    </row>
    <row r="23" spans="2:7">
      <c r="B23" s="3188">
        <v>21</v>
      </c>
      <c r="C23" s="3179" t="s">
        <v>3942</v>
      </c>
      <c r="D23" s="3179" t="s">
        <v>3695</v>
      </c>
      <c r="E23" s="3179">
        <v>741.66</v>
      </c>
      <c r="F23" s="3190">
        <v>175.86243599999995</v>
      </c>
      <c r="G23" s="3191">
        <f t="shared" si="0"/>
        <v>6.4964389767640807</v>
      </c>
    </row>
    <row r="24" spans="2:7">
      <c r="B24" s="3188">
        <v>22</v>
      </c>
      <c r="C24" s="3179" t="s">
        <v>3943</v>
      </c>
      <c r="D24" s="3179" t="s">
        <v>3695</v>
      </c>
      <c r="E24" s="3179">
        <v>693.94</v>
      </c>
      <c r="F24" s="3190">
        <v>181.83834000000004</v>
      </c>
      <c r="G24" s="3191">
        <f t="shared" si="0"/>
        <v>7.1791110596984229</v>
      </c>
    </row>
    <row r="25" spans="2:7">
      <c r="B25" s="3188">
        <v>23</v>
      </c>
      <c r="C25" s="3179" t="s">
        <v>3944</v>
      </c>
      <c r="D25" s="3179" t="s">
        <v>3695</v>
      </c>
      <c r="E25" s="3179">
        <v>97.73</v>
      </c>
      <c r="F25" s="3190">
        <v>82.979341000000019</v>
      </c>
      <c r="G25" s="3191">
        <f t="shared" si="0"/>
        <v>23.262116062004772</v>
      </c>
    </row>
    <row r="26" spans="2:7">
      <c r="B26" s="3188">
        <v>24</v>
      </c>
      <c r="C26" s="3179" t="s">
        <v>3945</v>
      </c>
      <c r="D26" s="3179" t="s">
        <v>3692</v>
      </c>
      <c r="E26" s="3179">
        <v>1381.27</v>
      </c>
      <c r="F26" s="3190">
        <v>32.218915000000003</v>
      </c>
      <c r="G26" s="3191">
        <f t="shared" si="0"/>
        <v>0.63905681003713977</v>
      </c>
    </row>
    <row r="27" spans="2:7">
      <c r="B27" s="3188">
        <v>25</v>
      </c>
      <c r="C27" s="3179" t="s">
        <v>3946</v>
      </c>
      <c r="D27" s="3179" t="s">
        <v>3695</v>
      </c>
      <c r="E27" s="3179">
        <v>217.2</v>
      </c>
      <c r="F27" s="3190">
        <v>18.424800000000001</v>
      </c>
      <c r="G27" s="3191">
        <f t="shared" si="0"/>
        <v>2.3240747748429578</v>
      </c>
    </row>
    <row r="28" spans="2:7">
      <c r="B28" s="3188">
        <v>26</v>
      </c>
      <c r="C28" s="3179" t="s">
        <v>3947</v>
      </c>
      <c r="D28" s="3179" t="s">
        <v>3695</v>
      </c>
      <c r="E28" s="3179">
        <v>380.48</v>
      </c>
      <c r="F28" s="3190">
        <v>142.71432899999999</v>
      </c>
      <c r="G28" s="3191">
        <f t="shared" si="0"/>
        <v>10.276444534373308</v>
      </c>
    </row>
    <row r="29" spans="2:7">
      <c r="B29" s="3188">
        <v>27</v>
      </c>
      <c r="C29" s="3179" t="s">
        <v>3948</v>
      </c>
      <c r="D29" s="3179" t="s">
        <v>3695</v>
      </c>
      <c r="E29" s="3179">
        <v>76.23</v>
      </c>
      <c r="F29" s="3190">
        <v>13.512626999999998</v>
      </c>
      <c r="G29" s="3191">
        <f t="shared" si="0"/>
        <v>4.8564732900971999</v>
      </c>
    </row>
    <row r="30" spans="2:7">
      <c r="B30" s="3188">
        <v>28</v>
      </c>
      <c r="C30" s="3179" t="s">
        <v>3949</v>
      </c>
      <c r="D30" s="3179" t="s">
        <v>3695</v>
      </c>
      <c r="E30" s="3179">
        <v>376.04</v>
      </c>
      <c r="F30" s="3190">
        <v>81.944639999999978</v>
      </c>
      <c r="G30" s="3191">
        <f t="shared" si="0"/>
        <v>5.970265477441191</v>
      </c>
    </row>
    <row r="31" spans="2:7">
      <c r="B31" s="3188">
        <v>29</v>
      </c>
      <c r="C31" s="3179" t="s">
        <v>3950</v>
      </c>
      <c r="D31" s="3179" t="s">
        <v>3689</v>
      </c>
      <c r="E31" s="3179">
        <v>5039.9799999999996</v>
      </c>
      <c r="F31" s="3190">
        <v>430.01109600000001</v>
      </c>
      <c r="G31" s="3191">
        <f t="shared" si="0"/>
        <v>2.3375342596217088</v>
      </c>
    </row>
    <row r="32" spans="2:7">
      <c r="B32" s="3188">
        <v>30</v>
      </c>
      <c r="C32" s="3179" t="s">
        <v>3951</v>
      </c>
      <c r="D32" s="3179" t="s">
        <v>3695</v>
      </c>
      <c r="E32" s="3179">
        <v>152.75</v>
      </c>
      <c r="F32" s="3190">
        <v>15.879223999999999</v>
      </c>
      <c r="G32" s="3191">
        <f t="shared" si="0"/>
        <v>2.8480997242337955</v>
      </c>
    </row>
    <row r="33" spans="2:7">
      <c r="B33" s="3188">
        <v>31</v>
      </c>
      <c r="C33" s="3179" t="s">
        <v>3952</v>
      </c>
      <c r="D33" s="3179" t="s">
        <v>3695</v>
      </c>
      <c r="E33" s="3179">
        <v>161.13999999999999</v>
      </c>
      <c r="F33" s="3190">
        <v>83.148239999999973</v>
      </c>
      <c r="G33" s="3191">
        <f t="shared" si="0"/>
        <v>14.136986301369857</v>
      </c>
    </row>
    <row r="34" spans="2:7">
      <c r="B34" s="3188">
        <v>32</v>
      </c>
      <c r="C34" s="3179" t="s">
        <v>3953</v>
      </c>
      <c r="D34" s="3179" t="s">
        <v>3695</v>
      </c>
      <c r="E34" s="3179">
        <v>395.35</v>
      </c>
      <c r="F34" s="3190">
        <v>166.34360199999995</v>
      </c>
      <c r="G34" s="3191">
        <f t="shared" si="0"/>
        <v>11.527403462511971</v>
      </c>
    </row>
    <row r="35" spans="2:7">
      <c r="B35" s="3188">
        <v>33</v>
      </c>
      <c r="C35" s="3179" t="s">
        <v>3954</v>
      </c>
      <c r="D35" s="3179" t="s">
        <v>3695</v>
      </c>
      <c r="E35" s="3179">
        <v>305.12</v>
      </c>
      <c r="F35" s="3190">
        <v>153.53313299999999</v>
      </c>
      <c r="G35" s="3191">
        <f t="shared" si="0"/>
        <v>13.78600945686763</v>
      </c>
    </row>
    <row r="36" spans="2:7">
      <c r="B36" s="3188">
        <v>34</v>
      </c>
      <c r="C36" s="3192" t="s">
        <v>3955</v>
      </c>
      <c r="D36" s="3179" t="s">
        <v>3695</v>
      </c>
      <c r="E36" s="3179">
        <v>179.99</v>
      </c>
      <c r="F36" s="3190">
        <v>52.726554999999991</v>
      </c>
      <c r="G36" s="3191">
        <f t="shared" si="0"/>
        <v>8.0257967147337688</v>
      </c>
    </row>
    <row r="37" spans="2:7">
      <c r="B37" s="3188">
        <v>35</v>
      </c>
      <c r="C37" s="3179" t="s">
        <v>3956</v>
      </c>
      <c r="D37" s="3179" t="s">
        <v>3695</v>
      </c>
      <c r="E37" s="3179">
        <v>228.81</v>
      </c>
      <c r="F37" s="3190">
        <v>89.132936000000001</v>
      </c>
      <c r="G37" s="3191">
        <f t="shared" si="0"/>
        <v>10.672602799595046</v>
      </c>
    </row>
    <row r="38" spans="2:7">
      <c r="B38" s="3188">
        <v>36</v>
      </c>
      <c r="C38" s="3179" t="s">
        <v>3957</v>
      </c>
      <c r="D38" s="3179" t="s">
        <v>3695</v>
      </c>
      <c r="E38" s="3179">
        <v>370.6</v>
      </c>
      <c r="F38" s="3190">
        <v>95.707080000000005</v>
      </c>
      <c r="G38" s="3191">
        <f t="shared" si="0"/>
        <v>7.0753151128492116</v>
      </c>
    </row>
    <row r="39" spans="2:7">
      <c r="B39" s="3188">
        <v>37</v>
      </c>
      <c r="C39" s="3179" t="s">
        <v>3958</v>
      </c>
      <c r="D39" s="3179" t="s">
        <v>3695</v>
      </c>
      <c r="E39" s="3179">
        <v>709.31</v>
      </c>
      <c r="F39" s="3190">
        <v>221.88032799999993</v>
      </c>
      <c r="G39" s="3191">
        <f t="shared" si="0"/>
        <v>8.5701781955568226</v>
      </c>
    </row>
    <row r="40" spans="2:7">
      <c r="B40" s="3188">
        <v>38</v>
      </c>
      <c r="C40" s="3179" t="s">
        <v>3959</v>
      </c>
      <c r="D40" s="3179" t="s">
        <v>3695</v>
      </c>
      <c r="E40" s="3179">
        <v>331.78</v>
      </c>
      <c r="F40" s="3190">
        <v>87.697831000000022</v>
      </c>
      <c r="G40" s="3191">
        <f t="shared" si="0"/>
        <v>7.2417876344862968</v>
      </c>
    </row>
    <row r="41" spans="2:7">
      <c r="B41" s="3188">
        <v>39</v>
      </c>
      <c r="C41" s="3179" t="s">
        <v>3960</v>
      </c>
      <c r="D41" s="3179" t="s">
        <v>3695</v>
      </c>
      <c r="E41" s="3179">
        <v>143.09</v>
      </c>
      <c r="F41" s="3190">
        <v>75.756564999999981</v>
      </c>
      <c r="G41" s="3191">
        <f t="shared" si="0"/>
        <v>14.505013129968011</v>
      </c>
    </row>
    <row r="42" spans="2:7">
      <c r="B42" s="3188">
        <v>40</v>
      </c>
      <c r="C42" s="3179" t="s">
        <v>3961</v>
      </c>
      <c r="D42" s="3179" t="s">
        <v>3695</v>
      </c>
      <c r="E42" s="3179">
        <v>155.47999999999999</v>
      </c>
      <c r="F42" s="3190">
        <v>46.291766999999986</v>
      </c>
      <c r="G42" s="3191">
        <f t="shared" si="0"/>
        <v>8.157110811944273</v>
      </c>
    </row>
    <row r="43" spans="2:7">
      <c r="B43" s="3188">
        <v>41</v>
      </c>
      <c r="C43" s="3179" t="s">
        <v>3962</v>
      </c>
      <c r="D43" s="3179" t="s">
        <v>3695</v>
      </c>
      <c r="E43" s="3179">
        <v>238.17</v>
      </c>
      <c r="F43" s="3190">
        <v>115.08433899999999</v>
      </c>
      <c r="G43" s="3191">
        <f t="shared" si="0"/>
        <v>13.238424608645486</v>
      </c>
    </row>
    <row r="44" spans="2:7">
      <c r="B44" s="3188">
        <v>42</v>
      </c>
      <c r="C44" s="3179" t="s">
        <v>3963</v>
      </c>
      <c r="D44" s="3179" t="s">
        <v>3695</v>
      </c>
      <c r="E44" s="3179">
        <v>424.95</v>
      </c>
      <c r="F44" s="3190">
        <v>72.36657000000001</v>
      </c>
      <c r="G44" s="3191">
        <f t="shared" si="0"/>
        <v>4.6655977254374816</v>
      </c>
    </row>
    <row r="45" spans="2:7">
      <c r="B45" s="3188">
        <v>43</v>
      </c>
      <c r="C45" s="3179" t="s">
        <v>3964</v>
      </c>
      <c r="D45" s="3179" t="s">
        <v>3695</v>
      </c>
      <c r="E45" s="3179">
        <v>130.82</v>
      </c>
      <c r="F45" s="3190">
        <v>23.052630999999998</v>
      </c>
      <c r="G45" s="3191">
        <f t="shared" si="0"/>
        <v>4.8278469003734079</v>
      </c>
    </row>
    <row r="46" spans="2:7">
      <c r="B46" s="3188">
        <v>44</v>
      </c>
      <c r="C46" s="3179" t="s">
        <v>3965</v>
      </c>
      <c r="D46" s="3179" t="s">
        <v>3695</v>
      </c>
      <c r="E46" s="3179">
        <v>433.12</v>
      </c>
      <c r="F46" s="3190">
        <v>113.01818799999998</v>
      </c>
      <c r="G46" s="3191">
        <f t="shared" si="0"/>
        <v>7.1490319364812684</v>
      </c>
    </row>
    <row r="47" spans="2:7">
      <c r="B47" s="3188">
        <v>45</v>
      </c>
      <c r="C47" s="3179" t="s">
        <v>3966</v>
      </c>
      <c r="D47" s="3179" t="s">
        <v>3695</v>
      </c>
      <c r="E47" s="3179">
        <v>138.44</v>
      </c>
      <c r="F47" s="3190">
        <v>22.698497</v>
      </c>
      <c r="G47" s="3191">
        <f t="shared" si="0"/>
        <v>4.4920299778747932</v>
      </c>
    </row>
    <row r="48" spans="2:7">
      <c r="B48" s="3188">
        <v>46</v>
      </c>
      <c r="C48" s="3179" t="s">
        <v>3967</v>
      </c>
      <c r="D48" s="3179" t="s">
        <v>3695</v>
      </c>
      <c r="E48" s="3179">
        <v>137.16</v>
      </c>
      <c r="F48" s="3190">
        <v>20.146618</v>
      </c>
      <c r="G48" s="3191">
        <f t="shared" si="0"/>
        <v>4.024220887914125</v>
      </c>
    </row>
    <row r="49" spans="2:7">
      <c r="B49" s="3188">
        <v>47</v>
      </c>
      <c r="C49" s="3179" t="s">
        <v>3968</v>
      </c>
      <c r="D49" s="3179" t="s">
        <v>3695</v>
      </c>
      <c r="E49" s="3179">
        <v>241.58</v>
      </c>
      <c r="F49" s="3190">
        <v>16.776546</v>
      </c>
      <c r="G49" s="3191">
        <f t="shared" si="0"/>
        <v>1.9026053367839799</v>
      </c>
    </row>
    <row r="50" spans="2:7">
      <c r="B50" s="3188">
        <v>48</v>
      </c>
      <c r="C50" s="3179" t="s">
        <v>3969</v>
      </c>
      <c r="D50" s="3179" t="s">
        <v>3695</v>
      </c>
      <c r="E50" s="3179">
        <v>198.96</v>
      </c>
      <c r="F50" s="3190">
        <v>56.448571999999999</v>
      </c>
      <c r="G50" s="3191">
        <f t="shared" si="0"/>
        <v>7.7731012222460905</v>
      </c>
    </row>
    <row r="51" spans="2:7">
      <c r="B51" s="3188">
        <v>49</v>
      </c>
      <c r="C51" s="3179" t="s">
        <v>3970</v>
      </c>
      <c r="D51" s="3179" t="s">
        <v>3695</v>
      </c>
      <c r="E51" s="3179">
        <v>99.28</v>
      </c>
      <c r="F51" s="3190">
        <v>22.041456</v>
      </c>
      <c r="G51" s="3191">
        <f t="shared" si="0"/>
        <v>6.0825494243484597</v>
      </c>
    </row>
    <row r="52" spans="2:7">
      <c r="B52" s="3188">
        <v>50</v>
      </c>
      <c r="C52" s="3179" t="s">
        <v>3971</v>
      </c>
      <c r="D52" s="3179" t="s">
        <v>3695</v>
      </c>
      <c r="E52" s="3179">
        <v>472.93</v>
      </c>
      <c r="F52" s="3190">
        <v>179.27054300000003</v>
      </c>
      <c r="G52" s="3191">
        <f t="shared" si="0"/>
        <v>10.385303799774594</v>
      </c>
    </row>
    <row r="53" spans="2:7">
      <c r="B53" s="3188">
        <v>51</v>
      </c>
      <c r="C53" s="3179" t="s">
        <v>3972</v>
      </c>
      <c r="D53" s="3179" t="s">
        <v>3695</v>
      </c>
      <c r="E53" s="3179">
        <v>96.95</v>
      </c>
      <c r="F53" s="3190">
        <v>76.922699999999992</v>
      </c>
      <c r="G53" s="3191">
        <f t="shared" si="0"/>
        <v>21.73771256190523</v>
      </c>
    </row>
    <row r="54" spans="2:7">
      <c r="B54" s="3188">
        <v>52</v>
      </c>
      <c r="C54" s="3179" t="s">
        <v>3973</v>
      </c>
      <c r="D54" s="3179" t="s">
        <v>3695</v>
      </c>
      <c r="E54" s="3179">
        <v>218.26</v>
      </c>
      <c r="F54" s="3190">
        <v>110.11083299999999</v>
      </c>
      <c r="G54" s="3191">
        <f t="shared" si="0"/>
        <v>13.821749980229686</v>
      </c>
    </row>
    <row r="55" spans="2:7">
      <c r="B55" s="3188">
        <v>53</v>
      </c>
      <c r="C55" s="3179" t="s">
        <v>3974</v>
      </c>
      <c r="D55" s="3179" t="s">
        <v>3695</v>
      </c>
      <c r="E55" s="3179">
        <v>146</v>
      </c>
      <c r="F55" s="3190">
        <v>68.224000000000004</v>
      </c>
      <c r="G55" s="3191">
        <f t="shared" si="0"/>
        <v>12.802401951585663</v>
      </c>
    </row>
    <row r="56" spans="2:7">
      <c r="B56" s="3188">
        <v>54</v>
      </c>
      <c r="C56" s="3179" t="s">
        <v>3975</v>
      </c>
      <c r="D56" s="3179" t="s">
        <v>3695</v>
      </c>
      <c r="E56" s="3179">
        <v>125.75</v>
      </c>
      <c r="F56" s="3190">
        <v>57.353940999999999</v>
      </c>
      <c r="G56" s="3191">
        <f t="shared" si="0"/>
        <v>12.495752280835536</v>
      </c>
    </row>
    <row r="57" spans="2:7">
      <c r="B57" s="3188">
        <v>55</v>
      </c>
      <c r="C57" s="3179" t="s">
        <v>3976</v>
      </c>
      <c r="D57" s="3179" t="s">
        <v>3695</v>
      </c>
      <c r="E57" s="3179">
        <v>166.78</v>
      </c>
      <c r="F57" s="3190">
        <v>51.355901000000003</v>
      </c>
      <c r="G57" s="3191">
        <f t="shared" si="0"/>
        <v>8.4363292139427379</v>
      </c>
    </row>
    <row r="58" spans="2:7">
      <c r="B58" s="3188">
        <v>56</v>
      </c>
      <c r="C58" s="3179" t="s">
        <v>3977</v>
      </c>
      <c r="D58" s="3179" t="s">
        <v>3695</v>
      </c>
      <c r="E58" s="3179">
        <v>66.069999999999993</v>
      </c>
      <c r="F58" s="3190">
        <v>29.973647999999997</v>
      </c>
      <c r="G58" s="3191">
        <f t="shared" si="0"/>
        <v>12.429178683463574</v>
      </c>
    </row>
    <row r="59" spans="2:7">
      <c r="B59" s="3188">
        <v>57</v>
      </c>
      <c r="C59" s="3179" t="s">
        <v>3978</v>
      </c>
      <c r="D59" s="3179" t="s">
        <v>3695</v>
      </c>
      <c r="E59" s="3179">
        <v>883.45</v>
      </c>
      <c r="F59" s="3190">
        <v>196.49252000000001</v>
      </c>
      <c r="G59" s="3191">
        <f t="shared" si="0"/>
        <v>6.0935612794484895</v>
      </c>
    </row>
    <row r="60" spans="2:7">
      <c r="B60" s="3188">
        <v>58</v>
      </c>
      <c r="C60" s="3179" t="s">
        <v>3979</v>
      </c>
      <c r="D60" s="3179" t="s">
        <v>3695</v>
      </c>
      <c r="E60" s="3179">
        <v>88.75</v>
      </c>
      <c r="F60" s="3190">
        <v>47.759119999999996</v>
      </c>
      <c r="G60" s="3191">
        <f t="shared" si="0"/>
        <v>14.743313139108624</v>
      </c>
    </row>
    <row r="61" spans="2:7">
      <c r="B61" s="3188">
        <v>59</v>
      </c>
      <c r="C61" s="3179" t="s">
        <v>3980</v>
      </c>
      <c r="D61" s="3179" t="s">
        <v>3695</v>
      </c>
      <c r="E61" s="3179">
        <v>344.27</v>
      </c>
      <c r="F61" s="3190">
        <v>74.049509999999984</v>
      </c>
      <c r="G61" s="3191">
        <f t="shared" si="0"/>
        <v>5.8929145688852849</v>
      </c>
    </row>
    <row r="62" spans="2:7">
      <c r="B62" s="3188">
        <v>60</v>
      </c>
      <c r="C62" s="3179" t="s">
        <v>3981</v>
      </c>
      <c r="D62" s="3179" t="s">
        <v>3695</v>
      </c>
      <c r="E62" s="3179">
        <v>132.59</v>
      </c>
      <c r="F62" s="3190">
        <v>62.640002999999993</v>
      </c>
      <c r="G62" s="3191">
        <f t="shared" si="0"/>
        <v>12.943392908616218</v>
      </c>
    </row>
    <row r="63" spans="2:7">
      <c r="B63" s="3188">
        <v>61</v>
      </c>
      <c r="C63" s="3179" t="s">
        <v>3982</v>
      </c>
      <c r="D63" s="3179" t="s">
        <v>3695</v>
      </c>
      <c r="E63" s="3179">
        <v>199.32</v>
      </c>
      <c r="F63" s="3190">
        <v>62.620410000000021</v>
      </c>
      <c r="G63" s="3191">
        <f t="shared" si="0"/>
        <v>8.6074035281601322</v>
      </c>
    </row>
    <row r="64" spans="2:7">
      <c r="B64" s="3188">
        <v>62</v>
      </c>
      <c r="C64" s="3179" t="s">
        <v>3983</v>
      </c>
      <c r="D64" s="3179" t="s">
        <v>3695</v>
      </c>
      <c r="E64" s="3179">
        <v>66.91</v>
      </c>
      <c r="F64" s="3190">
        <v>30.219498000000009</v>
      </c>
      <c r="G64" s="3191">
        <f t="shared" si="0"/>
        <v>12.373807383870794</v>
      </c>
    </row>
    <row r="65" spans="2:7">
      <c r="B65" s="3188">
        <v>63</v>
      </c>
      <c r="C65" s="3179" t="s">
        <v>3984</v>
      </c>
      <c r="D65" s="3179" t="s">
        <v>3695</v>
      </c>
      <c r="E65" s="3179">
        <v>112.85</v>
      </c>
      <c r="F65" s="3190">
        <v>37.898417999999999</v>
      </c>
      <c r="G65" s="3191">
        <f t="shared" si="0"/>
        <v>9.2008225247479682</v>
      </c>
    </row>
    <row r="66" spans="2:7">
      <c r="B66" s="3188">
        <v>64</v>
      </c>
      <c r="C66" s="3179" t="s">
        <v>3985</v>
      </c>
      <c r="D66" s="3179" t="s">
        <v>3695</v>
      </c>
      <c r="E66" s="3179">
        <v>188.56</v>
      </c>
      <c r="F66" s="3190">
        <v>110.45725400000001</v>
      </c>
      <c r="G66" s="3191">
        <f t="shared" si="0"/>
        <v>16.049141583508174</v>
      </c>
    </row>
    <row r="67" spans="2:7">
      <c r="B67" s="3188">
        <v>65</v>
      </c>
      <c r="C67" s="3179" t="s">
        <v>3986</v>
      </c>
      <c r="D67" s="3179" t="s">
        <v>3695</v>
      </c>
      <c r="E67" s="3179">
        <v>87.62</v>
      </c>
      <c r="F67" s="3190">
        <v>43.446179999999998</v>
      </c>
      <c r="G67" s="3191">
        <f t="shared" si="0"/>
        <v>13.584869908352692</v>
      </c>
    </row>
    <row r="68" spans="2:7">
      <c r="B68" s="3188">
        <v>66</v>
      </c>
      <c r="C68" s="3179" t="s">
        <v>3987</v>
      </c>
      <c r="D68" s="3179" t="s">
        <v>3695</v>
      </c>
      <c r="E68" s="3179">
        <v>310.37</v>
      </c>
      <c r="F68" s="3190">
        <v>103.99079600000005</v>
      </c>
      <c r="G68" s="3191">
        <f t="shared" ref="G68:G131" si="1">F68*10000/E68/365</f>
        <v>9.1795692370705613</v>
      </c>
    </row>
    <row r="69" spans="2:7">
      <c r="B69" s="3188">
        <v>67</v>
      </c>
      <c r="C69" s="3179" t="s">
        <v>3988</v>
      </c>
      <c r="D69" s="3179" t="s">
        <v>3695</v>
      </c>
      <c r="E69" s="3179">
        <v>297.37</v>
      </c>
      <c r="F69" s="3190">
        <v>127.16172399999998</v>
      </c>
      <c r="G69" s="3191">
        <f t="shared" si="1"/>
        <v>11.715650029643434</v>
      </c>
    </row>
    <row r="70" spans="2:7">
      <c r="B70" s="3188">
        <v>68</v>
      </c>
      <c r="C70" s="3179" t="s">
        <v>3989</v>
      </c>
      <c r="D70" s="3179" t="s">
        <v>3695</v>
      </c>
      <c r="E70" s="3179">
        <v>117.49</v>
      </c>
      <c r="F70" s="3190">
        <v>90.216005999999979</v>
      </c>
      <c r="G70" s="3191">
        <f t="shared" si="1"/>
        <v>21.037291661079866</v>
      </c>
    </row>
    <row r="71" spans="2:7">
      <c r="B71" s="3188">
        <v>69</v>
      </c>
      <c r="C71" s="3179" t="s">
        <v>3990</v>
      </c>
      <c r="D71" s="3179" t="s">
        <v>3695</v>
      </c>
      <c r="E71" s="3179">
        <v>998.64</v>
      </c>
      <c r="F71" s="3190">
        <v>91.596240000000009</v>
      </c>
      <c r="G71" s="3191">
        <f t="shared" si="1"/>
        <v>2.5129035762609755</v>
      </c>
    </row>
    <row r="72" spans="2:7">
      <c r="B72" s="3188">
        <v>70</v>
      </c>
      <c r="C72" s="3179" t="s">
        <v>3991</v>
      </c>
      <c r="D72" s="3179" t="s">
        <v>3695</v>
      </c>
      <c r="E72" s="3179">
        <v>50.33</v>
      </c>
      <c r="F72" s="3190">
        <v>12.53393</v>
      </c>
      <c r="G72" s="3191">
        <f t="shared" si="1"/>
        <v>6.8228758685824253</v>
      </c>
    </row>
    <row r="73" spans="2:7">
      <c r="B73" s="3188">
        <v>71</v>
      </c>
      <c r="C73" s="3179" t="s">
        <v>3992</v>
      </c>
      <c r="D73" s="3179" t="s">
        <v>3695</v>
      </c>
      <c r="E73" s="3179">
        <v>28.64</v>
      </c>
      <c r="F73" s="3190">
        <v>9.1371599999999997</v>
      </c>
      <c r="G73" s="3191">
        <f t="shared" si="1"/>
        <v>8.7406826356470493</v>
      </c>
    </row>
    <row r="74" spans="2:7">
      <c r="B74" s="3188">
        <v>72</v>
      </c>
      <c r="C74" s="3179" t="s">
        <v>3993</v>
      </c>
      <c r="D74" s="3179" t="s">
        <v>3695</v>
      </c>
      <c r="E74" s="3179">
        <v>102.27</v>
      </c>
      <c r="F74" s="3190">
        <v>53.305398000000011</v>
      </c>
      <c r="G74" s="3191">
        <f t="shared" si="1"/>
        <v>14.280061239989235</v>
      </c>
    </row>
    <row r="75" spans="2:7">
      <c r="B75" s="3188">
        <v>73</v>
      </c>
      <c r="C75" s="3179" t="s">
        <v>3994</v>
      </c>
      <c r="D75" s="3179" t="s">
        <v>3695</v>
      </c>
      <c r="E75" s="3179">
        <v>75.84</v>
      </c>
      <c r="F75" s="3190">
        <v>50.790970000000002</v>
      </c>
      <c r="G75" s="3191">
        <f t="shared" si="1"/>
        <v>18.348278278712211</v>
      </c>
    </row>
    <row r="76" spans="2:7">
      <c r="B76" s="3188">
        <v>74</v>
      </c>
      <c r="C76" s="3179" t="s">
        <v>3995</v>
      </c>
      <c r="D76" s="3179" t="s">
        <v>3793</v>
      </c>
      <c r="E76" s="3179">
        <v>4</v>
      </c>
      <c r="F76" s="3190">
        <v>13.403076</v>
      </c>
      <c r="G76" s="3191">
        <f t="shared" si="1"/>
        <v>91.801890410958904</v>
      </c>
    </row>
    <row r="77" spans="2:7">
      <c r="B77" s="3188">
        <v>75</v>
      </c>
      <c r="C77" s="3179" t="s">
        <v>3996</v>
      </c>
      <c r="D77" s="3179" t="s">
        <v>3793</v>
      </c>
      <c r="E77" s="3179">
        <v>50</v>
      </c>
      <c r="F77" s="3190">
        <v>3.84</v>
      </c>
      <c r="G77" s="3191">
        <f t="shared" si="1"/>
        <v>2.1041095890410957</v>
      </c>
    </row>
    <row r="78" spans="2:7">
      <c r="B78" s="3188">
        <v>76</v>
      </c>
      <c r="C78" s="3179" t="s">
        <v>3997</v>
      </c>
      <c r="D78" s="3179" t="s">
        <v>3793</v>
      </c>
      <c r="E78" s="3179">
        <v>38.15</v>
      </c>
      <c r="F78" s="3190">
        <v>11.934546999999998</v>
      </c>
      <c r="G78" s="3191">
        <f t="shared" si="1"/>
        <v>8.570744178531033</v>
      </c>
    </row>
    <row r="79" spans="2:7">
      <c r="B79" s="3188">
        <v>77</v>
      </c>
      <c r="C79" s="3179" t="s">
        <v>3998</v>
      </c>
      <c r="D79" s="3179" t="s">
        <v>3793</v>
      </c>
      <c r="E79" s="3179">
        <v>12</v>
      </c>
      <c r="F79" s="3190">
        <v>25.869759999999999</v>
      </c>
      <c r="G79" s="3191">
        <f t="shared" si="1"/>
        <v>59.063378995433794</v>
      </c>
    </row>
    <row r="80" spans="2:7">
      <c r="B80" s="3188">
        <v>78</v>
      </c>
      <c r="C80" s="3179" t="s">
        <v>3999</v>
      </c>
      <c r="D80" s="3179" t="s">
        <v>3793</v>
      </c>
      <c r="E80" s="3179">
        <v>120.08</v>
      </c>
      <c r="F80" s="3190">
        <v>17.021737999999999</v>
      </c>
      <c r="G80" s="3191">
        <f t="shared" si="1"/>
        <v>3.8836524508774977</v>
      </c>
    </row>
    <row r="81" spans="2:7">
      <c r="B81" s="3188">
        <v>79</v>
      </c>
      <c r="C81" s="3179" t="s">
        <v>4000</v>
      </c>
      <c r="D81" s="3179" t="s">
        <v>3793</v>
      </c>
      <c r="E81" s="3179">
        <v>120.08</v>
      </c>
      <c r="F81" s="3190">
        <v>11.4</v>
      </c>
      <c r="G81" s="3191">
        <f t="shared" si="1"/>
        <v>2.6010057222125891</v>
      </c>
    </row>
    <row r="82" spans="2:7">
      <c r="B82" s="3188">
        <v>80</v>
      </c>
      <c r="C82" s="3179" t="s">
        <v>4001</v>
      </c>
      <c r="D82" s="3179" t="s">
        <v>3793</v>
      </c>
      <c r="E82" s="3179">
        <v>3</v>
      </c>
      <c r="F82" s="3190">
        <v>8.9754100000000001</v>
      </c>
      <c r="G82" s="3191">
        <f t="shared" si="1"/>
        <v>81.967214611872151</v>
      </c>
    </row>
    <row r="83" spans="2:7">
      <c r="B83" s="3188">
        <v>81</v>
      </c>
      <c r="C83" s="3179" t="s">
        <v>4002</v>
      </c>
      <c r="D83" s="3179" t="s">
        <v>3793</v>
      </c>
      <c r="E83" s="3179">
        <v>29.84</v>
      </c>
      <c r="F83" s="3190">
        <v>6.451599999999999E-2</v>
      </c>
      <c r="G83" s="3191">
        <f t="shared" si="1"/>
        <v>5.9234639538727075E-2</v>
      </c>
    </row>
    <row r="84" spans="2:7">
      <c r="B84" s="3188">
        <v>82</v>
      </c>
      <c r="C84" s="3192" t="s">
        <v>4003</v>
      </c>
      <c r="D84" s="3179" t="s">
        <v>3793</v>
      </c>
      <c r="E84" s="3179">
        <v>80</v>
      </c>
      <c r="F84" s="3190">
        <v>1.5</v>
      </c>
      <c r="G84" s="3191">
        <f t="shared" si="1"/>
        <v>0.51369863013698636</v>
      </c>
    </row>
    <row r="85" spans="2:7">
      <c r="B85" s="3188">
        <v>83</v>
      </c>
      <c r="C85" s="3179" t="s">
        <v>4004</v>
      </c>
      <c r="D85" s="3179" t="s">
        <v>3793</v>
      </c>
      <c r="E85" s="3179">
        <v>40.06</v>
      </c>
      <c r="F85" s="3190">
        <v>0.45</v>
      </c>
      <c r="G85" s="3191">
        <f t="shared" si="1"/>
        <v>0.30775754176953746</v>
      </c>
    </row>
    <row r="86" spans="2:7">
      <c r="B86" s="3188">
        <v>84</v>
      </c>
      <c r="C86" s="3179" t="s">
        <v>4005</v>
      </c>
      <c r="D86" s="3179" t="s">
        <v>3793</v>
      </c>
      <c r="E86" s="3179">
        <v>100.17</v>
      </c>
      <c r="F86" s="3190">
        <v>2</v>
      </c>
      <c r="G86" s="3191">
        <f t="shared" si="1"/>
        <v>0.54701527950429474</v>
      </c>
    </row>
    <row r="87" spans="2:7">
      <c r="B87" s="3188">
        <v>85</v>
      </c>
      <c r="C87" s="3179" t="s">
        <v>4006</v>
      </c>
      <c r="D87" s="3179" t="s">
        <v>3793</v>
      </c>
      <c r="E87" s="3179">
        <v>40.22</v>
      </c>
      <c r="F87" s="3190">
        <v>5</v>
      </c>
      <c r="G87" s="3191">
        <f t="shared" si="1"/>
        <v>3.405924947037867</v>
      </c>
    </row>
    <row r="88" spans="2:7">
      <c r="B88" s="3188">
        <v>86</v>
      </c>
      <c r="C88" s="3179" t="s">
        <v>4007</v>
      </c>
      <c r="D88" s="3179" t="s">
        <v>3793</v>
      </c>
      <c r="E88" s="3179">
        <v>29.18</v>
      </c>
      <c r="F88" s="3190">
        <v>1</v>
      </c>
      <c r="G88" s="3191">
        <f t="shared" si="1"/>
        <v>0.9389054240566348</v>
      </c>
    </row>
    <row r="89" spans="2:7">
      <c r="B89" s="3188">
        <v>87</v>
      </c>
      <c r="C89" s="3179" t="s">
        <v>4008</v>
      </c>
      <c r="D89" s="3179" t="s">
        <v>3793</v>
      </c>
      <c r="E89" s="3179">
        <v>2.4</v>
      </c>
      <c r="F89" s="3190">
        <v>1</v>
      </c>
      <c r="G89" s="3191">
        <f t="shared" si="1"/>
        <v>11.415525114155251</v>
      </c>
    </row>
    <row r="90" spans="2:7">
      <c r="B90" s="3188">
        <v>88</v>
      </c>
      <c r="C90" s="3179" t="s">
        <v>4009</v>
      </c>
      <c r="D90" s="3179" t="s">
        <v>3793</v>
      </c>
      <c r="E90" s="3179">
        <v>0.38</v>
      </c>
      <c r="F90" s="3190">
        <v>4.5999999999999996</v>
      </c>
      <c r="G90" s="3191">
        <f t="shared" si="1"/>
        <v>331.65104542177363</v>
      </c>
    </row>
    <row r="91" spans="2:7">
      <c r="B91" s="3188">
        <v>89</v>
      </c>
      <c r="C91" s="3179" t="s">
        <v>4010</v>
      </c>
      <c r="D91" s="3179" t="s">
        <v>3793</v>
      </c>
      <c r="E91" s="3179">
        <v>47.99</v>
      </c>
      <c r="F91" s="3190">
        <v>18</v>
      </c>
      <c r="G91" s="3191">
        <f t="shared" si="1"/>
        <v>10.276113459710499</v>
      </c>
    </row>
    <row r="92" spans="2:7">
      <c r="B92" s="3188">
        <v>90</v>
      </c>
      <c r="C92" s="3179" t="s">
        <v>4011</v>
      </c>
      <c r="D92" s="3179" t="s">
        <v>3793</v>
      </c>
      <c r="E92" s="3179">
        <v>48.46</v>
      </c>
      <c r="F92" s="3190">
        <v>32</v>
      </c>
      <c r="G92" s="3191">
        <f t="shared" si="1"/>
        <v>18.091463655945589</v>
      </c>
    </row>
    <row r="93" spans="2:7">
      <c r="B93" s="3188">
        <v>91</v>
      </c>
      <c r="C93" s="3179" t="s">
        <v>4012</v>
      </c>
      <c r="D93" s="3179" t="s">
        <v>3793</v>
      </c>
      <c r="E93" s="3179">
        <v>15.83</v>
      </c>
      <c r="F93" s="3190">
        <v>3</v>
      </c>
      <c r="G93" s="3191">
        <f t="shared" si="1"/>
        <v>5.1921529262108539</v>
      </c>
    </row>
    <row r="94" spans="2:7">
      <c r="B94" s="3188">
        <v>92</v>
      </c>
      <c r="C94" s="3179" t="s">
        <v>4013</v>
      </c>
      <c r="D94" s="3179" t="s">
        <v>3793</v>
      </c>
      <c r="E94" s="3179">
        <v>18.07</v>
      </c>
      <c r="F94" s="3190">
        <v>0.2</v>
      </c>
      <c r="G94" s="3191">
        <f t="shared" si="1"/>
        <v>0.30323475676782069</v>
      </c>
    </row>
    <row r="95" spans="2:7">
      <c r="B95" s="3188">
        <v>93</v>
      </c>
      <c r="C95" s="3179" t="s">
        <v>4014</v>
      </c>
      <c r="D95" s="3179" t="s">
        <v>3793</v>
      </c>
      <c r="E95" s="3179">
        <v>51.69</v>
      </c>
      <c r="F95" s="3190">
        <v>17</v>
      </c>
      <c r="G95" s="3191">
        <f t="shared" si="1"/>
        <v>9.0105131487238204</v>
      </c>
    </row>
    <row r="96" spans="2:7">
      <c r="B96" s="3188">
        <v>94</v>
      </c>
      <c r="C96" s="3192" t="s">
        <v>4015</v>
      </c>
      <c r="D96" s="3179" t="s">
        <v>3793</v>
      </c>
      <c r="E96" s="3179">
        <v>47.74</v>
      </c>
      <c r="F96" s="3190">
        <v>1.1200000000000001</v>
      </c>
      <c r="G96" s="3191">
        <f t="shared" si="1"/>
        <v>0.64275097416944527</v>
      </c>
    </row>
    <row r="97" spans="2:7">
      <c r="B97" s="3188">
        <v>95</v>
      </c>
      <c r="C97" s="3179" t="s">
        <v>4016</v>
      </c>
      <c r="D97" s="3179" t="s">
        <v>3793</v>
      </c>
      <c r="E97" s="3179">
        <v>26.71</v>
      </c>
      <c r="F97" s="3190">
        <v>2</v>
      </c>
      <c r="G97" s="3191">
        <f t="shared" si="1"/>
        <v>2.0514608965909846</v>
      </c>
    </row>
    <row r="98" spans="2:7">
      <c r="B98" s="3188">
        <v>96</v>
      </c>
      <c r="C98" s="3179" t="s">
        <v>4017</v>
      </c>
      <c r="D98" s="3179" t="s">
        <v>3793</v>
      </c>
      <c r="E98" s="3179">
        <v>80.430000000000007</v>
      </c>
      <c r="F98" s="3190">
        <v>2</v>
      </c>
      <c r="G98" s="3191">
        <f t="shared" si="1"/>
        <v>0.68126968230691531</v>
      </c>
    </row>
    <row r="99" spans="2:7">
      <c r="B99" s="3188">
        <v>97</v>
      </c>
      <c r="C99" s="3179" t="s">
        <v>4018</v>
      </c>
      <c r="D99" s="3179" t="s">
        <v>3793</v>
      </c>
      <c r="E99" s="3179">
        <v>101.08</v>
      </c>
      <c r="F99" s="3190">
        <v>1.8</v>
      </c>
      <c r="G99" s="3191">
        <f t="shared" si="1"/>
        <v>0.48788156403987626</v>
      </c>
    </row>
    <row r="100" spans="2:7">
      <c r="B100" s="3188">
        <v>98</v>
      </c>
      <c r="C100" s="3179" t="s">
        <v>4019</v>
      </c>
      <c r="D100" s="3179" t="s">
        <v>3793</v>
      </c>
      <c r="E100" s="3179">
        <v>29.18</v>
      </c>
      <c r="F100" s="3190">
        <v>1</v>
      </c>
      <c r="G100" s="3191">
        <f t="shared" si="1"/>
        <v>0.9389054240566348</v>
      </c>
    </row>
    <row r="101" spans="2:7">
      <c r="B101" s="3188">
        <v>99</v>
      </c>
      <c r="C101" s="3179" t="s">
        <v>4020</v>
      </c>
      <c r="D101" s="3179" t="s">
        <v>3793</v>
      </c>
      <c r="E101" s="3179">
        <v>25.6</v>
      </c>
      <c r="F101" s="3190">
        <v>0.5</v>
      </c>
      <c r="G101" s="3191">
        <f t="shared" si="1"/>
        <v>0.5351027397260274</v>
      </c>
    </row>
    <row r="102" spans="2:7">
      <c r="B102" s="3188">
        <v>100</v>
      </c>
      <c r="C102" s="3179" t="s">
        <v>4021</v>
      </c>
      <c r="D102" s="3179" t="s">
        <v>3916</v>
      </c>
      <c r="E102" s="3179" t="s">
        <v>3794</v>
      </c>
      <c r="F102" s="3190">
        <v>0.81612899999999999</v>
      </c>
      <c r="G102" s="3191" t="e">
        <f t="shared" si="1"/>
        <v>#VALUE!</v>
      </c>
    </row>
    <row r="103" spans="2:7">
      <c r="B103" s="3188">
        <v>101</v>
      </c>
      <c r="C103" s="3179" t="s">
        <v>4022</v>
      </c>
      <c r="D103" s="3179" t="s">
        <v>3916</v>
      </c>
      <c r="E103" s="3179" t="s">
        <v>3794</v>
      </c>
      <c r="F103" s="3190">
        <v>0.52459</v>
      </c>
      <c r="G103" s="3191" t="e">
        <f t="shared" si="1"/>
        <v>#VALUE!</v>
      </c>
    </row>
    <row r="104" spans="2:7">
      <c r="B104" s="3188">
        <v>102</v>
      </c>
      <c r="C104" s="3179" t="s">
        <v>4023</v>
      </c>
      <c r="D104" s="3179" t="s">
        <v>3916</v>
      </c>
      <c r="E104" s="3179" t="s">
        <v>3794</v>
      </c>
      <c r="F104" s="3190">
        <v>0.20242599999999999</v>
      </c>
      <c r="G104" s="3191" t="e">
        <f t="shared" si="1"/>
        <v>#VALUE!</v>
      </c>
    </row>
    <row r="105" spans="2:7">
      <c r="B105" s="3188">
        <v>103</v>
      </c>
      <c r="C105" s="3179" t="s">
        <v>4024</v>
      </c>
      <c r="D105" s="3179" t="s">
        <v>3916</v>
      </c>
      <c r="E105" s="3179" t="s">
        <v>3794</v>
      </c>
      <c r="F105" s="3190">
        <v>12.96</v>
      </c>
      <c r="G105" s="3191" t="e">
        <f t="shared" si="1"/>
        <v>#VALUE!</v>
      </c>
    </row>
    <row r="106" spans="2:7">
      <c r="B106" s="3188">
        <v>104</v>
      </c>
      <c r="C106" s="3179" t="s">
        <v>4025</v>
      </c>
      <c r="D106" s="3179" t="s">
        <v>3916</v>
      </c>
      <c r="E106" s="3179" t="s">
        <v>3794</v>
      </c>
      <c r="F106" s="3190">
        <v>1.603226</v>
      </c>
      <c r="G106" s="3191" t="e">
        <f t="shared" si="1"/>
        <v>#VALUE!</v>
      </c>
    </row>
    <row r="107" spans="2:7">
      <c r="B107" s="3188">
        <v>105</v>
      </c>
      <c r="C107" s="3179" t="s">
        <v>4026</v>
      </c>
      <c r="D107" s="3179" t="s">
        <v>3916</v>
      </c>
      <c r="E107" s="3179" t="s">
        <v>3794</v>
      </c>
      <c r="F107" s="3190">
        <v>2.12</v>
      </c>
      <c r="G107" s="3191" t="e">
        <f t="shared" si="1"/>
        <v>#VALUE!</v>
      </c>
    </row>
    <row r="108" spans="2:7">
      <c r="B108" s="3188">
        <v>106</v>
      </c>
      <c r="C108" s="3179" t="s">
        <v>4027</v>
      </c>
      <c r="D108" s="3179" t="s">
        <v>3916</v>
      </c>
      <c r="E108" s="3179" t="s">
        <v>3794</v>
      </c>
      <c r="F108" s="3190">
        <v>0.8</v>
      </c>
      <c r="G108" s="3191" t="e">
        <f t="shared" si="1"/>
        <v>#VALUE!</v>
      </c>
    </row>
    <row r="109" spans="2:7">
      <c r="B109" s="3188">
        <v>107</v>
      </c>
      <c r="C109" s="3179" t="s">
        <v>4028</v>
      </c>
      <c r="D109" s="3179" t="s">
        <v>3916</v>
      </c>
      <c r="E109" s="3179" t="s">
        <v>3794</v>
      </c>
      <c r="F109" s="3190">
        <v>1.213333</v>
      </c>
      <c r="G109" s="3191" t="e">
        <f t="shared" si="1"/>
        <v>#VALUE!</v>
      </c>
    </row>
    <row r="110" spans="2:7">
      <c r="B110" s="3188">
        <v>108</v>
      </c>
      <c r="C110" s="3179" t="s">
        <v>4029</v>
      </c>
      <c r="D110" s="3179" t="s">
        <v>3916</v>
      </c>
      <c r="E110" s="3179" t="s">
        <v>3794</v>
      </c>
      <c r="F110" s="3190">
        <v>1.2</v>
      </c>
      <c r="G110" s="3191" t="e">
        <f t="shared" si="1"/>
        <v>#VALUE!</v>
      </c>
    </row>
    <row r="111" spans="2:7">
      <c r="B111" s="3188">
        <v>109</v>
      </c>
      <c r="C111" s="3179" t="s">
        <v>4030</v>
      </c>
      <c r="D111" s="3179" t="s">
        <v>3916</v>
      </c>
      <c r="E111" s="3179" t="s">
        <v>3794</v>
      </c>
      <c r="F111" s="3190">
        <v>0.84</v>
      </c>
      <c r="G111" s="3191" t="e">
        <f t="shared" si="1"/>
        <v>#VALUE!</v>
      </c>
    </row>
    <row r="112" spans="2:7">
      <c r="B112" s="3188">
        <v>110</v>
      </c>
      <c r="C112" s="3179" t="s">
        <v>4031</v>
      </c>
      <c r="D112" s="3179" t="s">
        <v>3916</v>
      </c>
      <c r="E112" s="3179" t="s">
        <v>3794</v>
      </c>
      <c r="F112" s="3190">
        <v>2.5</v>
      </c>
      <c r="G112" s="3191" t="e">
        <f t="shared" si="1"/>
        <v>#VALUE!</v>
      </c>
    </row>
    <row r="113" spans="2:7">
      <c r="B113" s="3188">
        <v>111</v>
      </c>
      <c r="C113" s="3179" t="s">
        <v>4032</v>
      </c>
      <c r="D113" s="3179" t="s">
        <v>3916</v>
      </c>
      <c r="E113" s="3179" t="s">
        <v>3794</v>
      </c>
      <c r="F113" s="3190">
        <v>1.4677420000000001</v>
      </c>
      <c r="G113" s="3191" t="e">
        <f t="shared" si="1"/>
        <v>#VALUE!</v>
      </c>
    </row>
    <row r="114" spans="2:7">
      <c r="B114" s="3188">
        <v>112</v>
      </c>
      <c r="C114" s="3179" t="s">
        <v>4033</v>
      </c>
      <c r="D114" s="3179" t="s">
        <v>3916</v>
      </c>
      <c r="E114" s="3179" t="s">
        <v>3794</v>
      </c>
      <c r="F114" s="3190">
        <v>0.75</v>
      </c>
      <c r="G114" s="3191" t="e">
        <f t="shared" si="1"/>
        <v>#VALUE!</v>
      </c>
    </row>
    <row r="115" spans="2:7">
      <c r="B115" s="3188">
        <v>113</v>
      </c>
      <c r="C115" s="3179" t="s">
        <v>4034</v>
      </c>
      <c r="D115" s="3179" t="s">
        <v>3916</v>
      </c>
      <c r="E115" s="3179" t="s">
        <v>3794</v>
      </c>
      <c r="F115" s="3190">
        <v>0.63225799999999999</v>
      </c>
      <c r="G115" s="3191" t="e">
        <f t="shared" si="1"/>
        <v>#VALUE!</v>
      </c>
    </row>
    <row r="116" spans="2:7">
      <c r="B116" s="3188">
        <v>114</v>
      </c>
      <c r="C116" s="3179" t="s">
        <v>4035</v>
      </c>
      <c r="D116" s="3179" t="s">
        <v>3916</v>
      </c>
      <c r="E116" s="3179" t="s">
        <v>3794</v>
      </c>
      <c r="F116" s="3190">
        <v>5</v>
      </c>
      <c r="G116" s="3191" t="e">
        <f t="shared" si="1"/>
        <v>#VALUE!</v>
      </c>
    </row>
    <row r="117" spans="2:7">
      <c r="B117" s="3188">
        <v>115</v>
      </c>
      <c r="C117" s="3179" t="s">
        <v>4036</v>
      </c>
      <c r="D117" s="3179" t="s">
        <v>3916</v>
      </c>
      <c r="E117" s="3179" t="s">
        <v>3794</v>
      </c>
      <c r="F117" s="3190">
        <v>2.4885000000000002</v>
      </c>
      <c r="G117" s="3191" t="e">
        <f t="shared" si="1"/>
        <v>#VALUE!</v>
      </c>
    </row>
    <row r="118" spans="2:7">
      <c r="B118" s="3188">
        <v>116</v>
      </c>
      <c r="C118" s="3179" t="s">
        <v>4037</v>
      </c>
      <c r="D118" s="3179" t="s">
        <v>3916</v>
      </c>
      <c r="E118" s="3179" t="s">
        <v>3794</v>
      </c>
      <c r="F118" s="3190">
        <v>7.4417800000000005</v>
      </c>
      <c r="G118" s="3191" t="e">
        <f t="shared" si="1"/>
        <v>#VALUE!</v>
      </c>
    </row>
    <row r="119" spans="2:7">
      <c r="B119" s="3188">
        <v>117</v>
      </c>
      <c r="C119" s="3179" t="s">
        <v>4038</v>
      </c>
      <c r="D119" s="3179" t="s">
        <v>3916</v>
      </c>
      <c r="E119" s="3179" t="s">
        <v>3794</v>
      </c>
      <c r="F119" s="3190">
        <v>6.6315809999999997</v>
      </c>
      <c r="G119" s="3191" t="e">
        <f t="shared" si="1"/>
        <v>#VALUE!</v>
      </c>
    </row>
    <row r="120" spans="2:7">
      <c r="B120" s="3188">
        <v>118</v>
      </c>
      <c r="C120" s="3179" t="s">
        <v>4039</v>
      </c>
      <c r="D120" s="3179" t="s">
        <v>3916</v>
      </c>
      <c r="E120" s="3179" t="s">
        <v>3794</v>
      </c>
      <c r="F120" s="3190">
        <v>0.31451599999999996</v>
      </c>
      <c r="G120" s="3191" t="e">
        <f t="shared" si="1"/>
        <v>#VALUE!</v>
      </c>
    </row>
    <row r="121" spans="2:7">
      <c r="B121" s="3188">
        <v>119</v>
      </c>
      <c r="C121" s="3179" t="s">
        <v>4040</v>
      </c>
      <c r="D121" s="3179" t="s">
        <v>3916</v>
      </c>
      <c r="E121" s="3179" t="s">
        <v>3794</v>
      </c>
      <c r="F121" s="3190">
        <v>2.52</v>
      </c>
      <c r="G121" s="3191" t="e">
        <f t="shared" si="1"/>
        <v>#VALUE!</v>
      </c>
    </row>
    <row r="122" spans="2:7">
      <c r="B122" s="3188">
        <v>120</v>
      </c>
      <c r="C122" s="3179" t="s">
        <v>4041</v>
      </c>
      <c r="D122" s="3179" t="s">
        <v>3916</v>
      </c>
      <c r="E122" s="3179" t="s">
        <v>3794</v>
      </c>
      <c r="F122" s="3190">
        <v>1.132258</v>
      </c>
      <c r="G122" s="3191" t="e">
        <f t="shared" si="1"/>
        <v>#VALUE!</v>
      </c>
    </row>
    <row r="123" spans="2:7">
      <c r="B123" s="3188">
        <v>121</v>
      </c>
      <c r="C123" s="3179" t="s">
        <v>4042</v>
      </c>
      <c r="D123" s="3179" t="s">
        <v>3916</v>
      </c>
      <c r="E123" s="3179" t="s">
        <v>3794</v>
      </c>
      <c r="F123" s="3190">
        <v>2.2271070000000002</v>
      </c>
      <c r="G123" s="3191" t="e">
        <f t="shared" si="1"/>
        <v>#VALUE!</v>
      </c>
    </row>
    <row r="124" spans="2:7">
      <c r="B124" s="3188">
        <v>122</v>
      </c>
      <c r="C124" s="3179" t="s">
        <v>4043</v>
      </c>
      <c r="D124" s="3179" t="s">
        <v>3916</v>
      </c>
      <c r="E124" s="3179" t="s">
        <v>3794</v>
      </c>
      <c r="F124" s="3190">
        <v>2.051129</v>
      </c>
      <c r="G124" s="3191" t="e">
        <f t="shared" si="1"/>
        <v>#VALUE!</v>
      </c>
    </row>
    <row r="125" spans="2:7">
      <c r="B125" s="3188">
        <v>123</v>
      </c>
      <c r="C125" s="3179" t="s">
        <v>4044</v>
      </c>
      <c r="D125" s="3179" t="s">
        <v>3916</v>
      </c>
      <c r="E125" s="3179" t="s">
        <v>3794</v>
      </c>
      <c r="F125" s="3190">
        <v>2.283871</v>
      </c>
      <c r="G125" s="3191" t="e">
        <f t="shared" si="1"/>
        <v>#VALUE!</v>
      </c>
    </row>
    <row r="126" spans="2:7">
      <c r="B126" s="3188">
        <v>124</v>
      </c>
      <c r="C126" s="3179" t="s">
        <v>4045</v>
      </c>
      <c r="D126" s="3179" t="s">
        <v>3916</v>
      </c>
      <c r="E126" s="3179" t="s">
        <v>3794</v>
      </c>
      <c r="F126" s="3190">
        <v>0.10491800000000001</v>
      </c>
      <c r="G126" s="3191" t="e">
        <f t="shared" si="1"/>
        <v>#VALUE!</v>
      </c>
    </row>
    <row r="127" spans="2:7">
      <c r="B127" s="3188">
        <v>125</v>
      </c>
      <c r="C127" s="3179" t="s">
        <v>4046</v>
      </c>
      <c r="D127" s="3179" t="s">
        <v>3916</v>
      </c>
      <c r="E127" s="3179" t="s">
        <v>3794</v>
      </c>
      <c r="F127" s="3190">
        <v>10.827095999999999</v>
      </c>
      <c r="G127" s="3191" t="e">
        <f t="shared" si="1"/>
        <v>#VALUE!</v>
      </c>
    </row>
    <row r="128" spans="2:7">
      <c r="B128" s="3188">
        <v>126</v>
      </c>
      <c r="C128" s="3179" t="s">
        <v>4047</v>
      </c>
      <c r="D128" s="3179" t="s">
        <v>3916</v>
      </c>
      <c r="E128" s="3179" t="s">
        <v>3794</v>
      </c>
      <c r="F128" s="3190">
        <v>10.296774000000001</v>
      </c>
      <c r="G128" s="3191" t="e">
        <f t="shared" si="1"/>
        <v>#VALUE!</v>
      </c>
    </row>
    <row r="129" spans="2:7">
      <c r="B129" s="3188">
        <v>127</v>
      </c>
      <c r="C129" s="3179" t="s">
        <v>4048</v>
      </c>
      <c r="D129" s="3179" t="s">
        <v>3916</v>
      </c>
      <c r="E129" s="3179" t="s">
        <v>3794</v>
      </c>
      <c r="F129" s="3190">
        <v>5.76</v>
      </c>
      <c r="G129" s="3191" t="e">
        <f t="shared" si="1"/>
        <v>#VALUE!</v>
      </c>
    </row>
    <row r="130" spans="2:7">
      <c r="B130" s="3188">
        <v>128</v>
      </c>
      <c r="C130" s="3179" t="s">
        <v>4049</v>
      </c>
      <c r="D130" s="3179" t="s">
        <v>3916</v>
      </c>
      <c r="E130" s="3179" t="s">
        <v>3794</v>
      </c>
      <c r="F130" s="3190">
        <v>1.549669</v>
      </c>
      <c r="G130" s="3191" t="e">
        <f t="shared" si="1"/>
        <v>#VALUE!</v>
      </c>
    </row>
    <row r="131" spans="2:7">
      <c r="B131" s="3188">
        <v>129</v>
      </c>
      <c r="C131" s="3179" t="s">
        <v>4050</v>
      </c>
      <c r="D131" s="3179" t="s">
        <v>3916</v>
      </c>
      <c r="E131" s="3179" t="s">
        <v>3794</v>
      </c>
      <c r="F131" s="3190">
        <v>0.116129</v>
      </c>
      <c r="G131" s="3191" t="e">
        <f t="shared" si="1"/>
        <v>#VALUE!</v>
      </c>
    </row>
    <row r="132" spans="2:7">
      <c r="B132" s="3188">
        <v>130</v>
      </c>
      <c r="C132" s="3179" t="s">
        <v>4051</v>
      </c>
      <c r="D132" s="3179" t="s">
        <v>3916</v>
      </c>
      <c r="E132" s="3179" t="s">
        <v>3794</v>
      </c>
      <c r="F132" s="3190">
        <v>14.1</v>
      </c>
      <c r="G132" s="3191" t="e">
        <f t="shared" ref="G132:G195" si="2">F132*10000/E132/365</f>
        <v>#VALUE!</v>
      </c>
    </row>
    <row r="133" spans="2:7">
      <c r="B133" s="3188">
        <v>131</v>
      </c>
      <c r="C133" s="3179" t="s">
        <v>4052</v>
      </c>
      <c r="D133" s="3179" t="s">
        <v>3916</v>
      </c>
      <c r="E133" s="3179" t="s">
        <v>3794</v>
      </c>
      <c r="F133" s="3190">
        <v>3.213333</v>
      </c>
      <c r="G133" s="3191" t="e">
        <f t="shared" si="2"/>
        <v>#VALUE!</v>
      </c>
    </row>
    <row r="134" spans="2:7">
      <c r="B134" s="3188">
        <v>132</v>
      </c>
      <c r="C134" s="3179" t="s">
        <v>4053</v>
      </c>
      <c r="D134" s="3179" t="s">
        <v>3916</v>
      </c>
      <c r="E134" s="3179" t="s">
        <v>3794</v>
      </c>
      <c r="F134" s="3190">
        <v>0.244565</v>
      </c>
      <c r="G134" s="3191" t="e">
        <f t="shared" si="2"/>
        <v>#VALUE!</v>
      </c>
    </row>
    <row r="135" spans="2:7">
      <c r="B135" s="3188">
        <v>133</v>
      </c>
      <c r="C135" s="3179" t="s">
        <v>4054</v>
      </c>
      <c r="D135" s="3179" t="s">
        <v>3916</v>
      </c>
      <c r="E135" s="3179" t="s">
        <v>3794</v>
      </c>
      <c r="F135" s="3190">
        <v>22.806667000000001</v>
      </c>
      <c r="G135" s="3191" t="e">
        <f t="shared" si="2"/>
        <v>#VALUE!</v>
      </c>
    </row>
    <row r="136" spans="2:7">
      <c r="B136" s="3188">
        <v>134</v>
      </c>
      <c r="C136" s="3179" t="s">
        <v>4055</v>
      </c>
      <c r="D136" s="3179" t="s">
        <v>3916</v>
      </c>
      <c r="E136" s="3179" t="s">
        <v>3794</v>
      </c>
      <c r="F136" s="3190">
        <v>0.6</v>
      </c>
      <c r="G136" s="3191" t="e">
        <f t="shared" si="2"/>
        <v>#VALUE!</v>
      </c>
    </row>
    <row r="137" spans="2:7">
      <c r="B137" s="3188">
        <v>135</v>
      </c>
      <c r="C137" s="3179" t="s">
        <v>4056</v>
      </c>
      <c r="D137" s="3179" t="s">
        <v>3916</v>
      </c>
      <c r="E137" s="3179" t="s">
        <v>3794</v>
      </c>
      <c r="F137" s="3190">
        <v>9.625</v>
      </c>
      <c r="G137" s="3191" t="e">
        <f t="shared" si="2"/>
        <v>#VALUE!</v>
      </c>
    </row>
    <row r="138" spans="2:7">
      <c r="B138" s="3188">
        <v>136</v>
      </c>
      <c r="C138" s="3179" t="s">
        <v>4057</v>
      </c>
      <c r="D138" s="3179" t="s">
        <v>3916</v>
      </c>
      <c r="E138" s="3179" t="s">
        <v>3794</v>
      </c>
      <c r="F138" s="3190">
        <v>1.623853</v>
      </c>
      <c r="G138" s="3191" t="e">
        <f t="shared" si="2"/>
        <v>#VALUE!</v>
      </c>
    </row>
    <row r="139" spans="2:7">
      <c r="B139" s="3188">
        <v>137</v>
      </c>
      <c r="C139" s="3179" t="s">
        <v>4058</v>
      </c>
      <c r="D139" s="3179" t="s">
        <v>3916</v>
      </c>
      <c r="E139" s="3179" t="s">
        <v>3794</v>
      </c>
      <c r="F139" s="3190">
        <v>3.899451</v>
      </c>
      <c r="G139" s="3191" t="e">
        <f t="shared" si="2"/>
        <v>#VALUE!</v>
      </c>
    </row>
    <row r="140" spans="2:7">
      <c r="B140" s="3188">
        <v>138</v>
      </c>
      <c r="C140" s="3179" t="s">
        <v>4059</v>
      </c>
      <c r="D140" s="3179" t="s">
        <v>3916</v>
      </c>
      <c r="E140" s="3179" t="s">
        <v>3794</v>
      </c>
      <c r="F140" s="3190">
        <v>10.733333</v>
      </c>
      <c r="G140" s="3191" t="e">
        <f t="shared" si="2"/>
        <v>#VALUE!</v>
      </c>
    </row>
    <row r="141" spans="2:7">
      <c r="B141" s="3188">
        <v>139</v>
      </c>
      <c r="C141" s="3179" t="s">
        <v>4060</v>
      </c>
      <c r="D141" s="3179" t="s">
        <v>3916</v>
      </c>
      <c r="E141" s="3179" t="s">
        <v>3794</v>
      </c>
      <c r="F141" s="3190">
        <v>1.390968</v>
      </c>
      <c r="G141" s="3191" t="e">
        <f t="shared" si="2"/>
        <v>#VALUE!</v>
      </c>
    </row>
    <row r="142" spans="2:7">
      <c r="B142" s="3188">
        <v>140</v>
      </c>
      <c r="C142" s="3179" t="s">
        <v>4061</v>
      </c>
      <c r="D142" s="3179" t="s">
        <v>3916</v>
      </c>
      <c r="E142" s="3179" t="s">
        <v>3794</v>
      </c>
      <c r="F142" s="3190">
        <v>2.4</v>
      </c>
      <c r="G142" s="3191" t="e">
        <f t="shared" si="2"/>
        <v>#VALUE!</v>
      </c>
    </row>
    <row r="143" spans="2:7">
      <c r="B143" s="3188">
        <v>141</v>
      </c>
      <c r="C143" s="3179" t="s">
        <v>4062</v>
      </c>
      <c r="D143" s="3179" t="s">
        <v>3916</v>
      </c>
      <c r="E143" s="3179" t="s">
        <v>3794</v>
      </c>
      <c r="F143" s="3190">
        <v>6</v>
      </c>
      <c r="G143" s="3191" t="e">
        <f t="shared" si="2"/>
        <v>#VALUE!</v>
      </c>
    </row>
    <row r="144" spans="2:7">
      <c r="B144" s="3188">
        <v>142</v>
      </c>
      <c r="C144" s="3179" t="s">
        <v>4063</v>
      </c>
      <c r="D144" s="3179" t="s">
        <v>3916</v>
      </c>
      <c r="E144" s="3179" t="s">
        <v>3794</v>
      </c>
      <c r="F144" s="3190">
        <v>4.0983869999999998</v>
      </c>
      <c r="G144" s="3191" t="e">
        <f t="shared" si="2"/>
        <v>#VALUE!</v>
      </c>
    </row>
    <row r="145" spans="2:7">
      <c r="B145" s="3188">
        <v>143</v>
      </c>
      <c r="C145" s="3179" t="s">
        <v>4064</v>
      </c>
      <c r="D145" s="3179" t="s">
        <v>3916</v>
      </c>
      <c r="E145" s="3179" t="s">
        <v>3794</v>
      </c>
      <c r="F145" s="3190">
        <v>0.95</v>
      </c>
      <c r="G145" s="3191" t="e">
        <f t="shared" si="2"/>
        <v>#VALUE!</v>
      </c>
    </row>
    <row r="146" spans="2:7">
      <c r="B146" s="3188">
        <v>144</v>
      </c>
      <c r="C146" s="3179" t="s">
        <v>4065</v>
      </c>
      <c r="D146" s="3179" t="s">
        <v>3916</v>
      </c>
      <c r="E146" s="3179" t="s">
        <v>3794</v>
      </c>
      <c r="F146" s="3190">
        <v>11.277528999999998</v>
      </c>
      <c r="G146" s="3191" t="e">
        <f t="shared" si="2"/>
        <v>#VALUE!</v>
      </c>
    </row>
    <row r="147" spans="2:7">
      <c r="B147" s="3188">
        <v>145</v>
      </c>
      <c r="C147" s="3179" t="s">
        <v>4066</v>
      </c>
      <c r="D147" s="3179" t="s">
        <v>3916</v>
      </c>
      <c r="E147" s="3179" t="s">
        <v>3794</v>
      </c>
      <c r="F147" s="3190">
        <v>1.3843539999999999</v>
      </c>
      <c r="G147" s="3191" t="e">
        <f t="shared" si="2"/>
        <v>#VALUE!</v>
      </c>
    </row>
    <row r="148" spans="2:7">
      <c r="B148" s="3188">
        <v>146</v>
      </c>
      <c r="C148" s="3179" t="s">
        <v>4067</v>
      </c>
      <c r="D148" s="3179" t="s">
        <v>3916</v>
      </c>
      <c r="E148" s="3179" t="s">
        <v>3794</v>
      </c>
      <c r="F148" s="3190">
        <v>1.8</v>
      </c>
      <c r="G148" s="3191" t="e">
        <f t="shared" si="2"/>
        <v>#VALUE!</v>
      </c>
    </row>
    <row r="149" spans="2:7">
      <c r="B149" s="3188">
        <v>147</v>
      </c>
      <c r="C149" s="3179" t="s">
        <v>4068</v>
      </c>
      <c r="D149" s="3179" t="s">
        <v>3916</v>
      </c>
      <c r="E149" s="3179" t="s">
        <v>3794</v>
      </c>
      <c r="F149" s="3190">
        <v>0.4</v>
      </c>
      <c r="G149" s="3191" t="e">
        <f t="shared" si="2"/>
        <v>#VALUE!</v>
      </c>
    </row>
    <row r="150" spans="2:7">
      <c r="B150" s="3188">
        <v>148</v>
      </c>
      <c r="C150" s="3179" t="s">
        <v>4069</v>
      </c>
      <c r="D150" s="3179" t="s">
        <v>3916</v>
      </c>
      <c r="E150" s="3179" t="s">
        <v>3794</v>
      </c>
      <c r="F150" s="3190">
        <v>2.1</v>
      </c>
      <c r="G150" s="3191" t="e">
        <f t="shared" si="2"/>
        <v>#VALUE!</v>
      </c>
    </row>
    <row r="151" spans="2:7">
      <c r="B151" s="3188">
        <v>149</v>
      </c>
      <c r="C151" s="3179" t="s">
        <v>4070</v>
      </c>
      <c r="D151" s="3179" t="s">
        <v>3916</v>
      </c>
      <c r="E151" s="3179" t="s">
        <v>3794</v>
      </c>
      <c r="F151" s="3190">
        <v>3.8802400000000001</v>
      </c>
      <c r="G151" s="3191" t="e">
        <f t="shared" si="2"/>
        <v>#VALUE!</v>
      </c>
    </row>
    <row r="152" spans="2:7">
      <c r="B152" s="3188">
        <v>150</v>
      </c>
      <c r="C152" s="3179" t="s">
        <v>4071</v>
      </c>
      <c r="D152" s="3179" t="s">
        <v>3916</v>
      </c>
      <c r="E152" s="3179" t="s">
        <v>3794</v>
      </c>
      <c r="F152" s="3190">
        <v>0.9</v>
      </c>
      <c r="G152" s="3191" t="e">
        <f t="shared" si="2"/>
        <v>#VALUE!</v>
      </c>
    </row>
    <row r="153" spans="2:7">
      <c r="B153" s="3188">
        <v>151</v>
      </c>
      <c r="C153" s="3179" t="s">
        <v>4072</v>
      </c>
      <c r="D153" s="3179" t="s">
        <v>3916</v>
      </c>
      <c r="E153" s="3179" t="s">
        <v>3794</v>
      </c>
      <c r="F153" s="3190">
        <v>0.25</v>
      </c>
      <c r="G153" s="3191" t="e">
        <f t="shared" si="2"/>
        <v>#VALUE!</v>
      </c>
    </row>
    <row r="154" spans="2:7">
      <c r="B154" s="3188">
        <v>152</v>
      </c>
      <c r="C154" s="3179" t="s">
        <v>4073</v>
      </c>
      <c r="D154" s="3179" t="s">
        <v>3916</v>
      </c>
      <c r="E154" s="3179" t="s">
        <v>3794</v>
      </c>
      <c r="F154" s="3190">
        <v>1.17672</v>
      </c>
      <c r="G154" s="3191" t="e">
        <f t="shared" si="2"/>
        <v>#VALUE!</v>
      </c>
    </row>
    <row r="155" spans="2:7">
      <c r="B155" s="3188">
        <v>153</v>
      </c>
      <c r="C155" s="3179" t="s">
        <v>4074</v>
      </c>
      <c r="D155" s="3179" t="s">
        <v>3916</v>
      </c>
      <c r="E155" s="3179" t="s">
        <v>3794</v>
      </c>
      <c r="F155" s="3190">
        <v>1</v>
      </c>
      <c r="G155" s="3191" t="e">
        <f t="shared" si="2"/>
        <v>#VALUE!</v>
      </c>
    </row>
    <row r="156" spans="2:7">
      <c r="B156" s="3188">
        <v>154</v>
      </c>
      <c r="C156" s="3179" t="s">
        <v>4075</v>
      </c>
      <c r="D156" s="3179" t="s">
        <v>3916</v>
      </c>
      <c r="E156" s="3179" t="s">
        <v>3794</v>
      </c>
      <c r="F156" s="3190">
        <v>7.5322580000000006</v>
      </c>
      <c r="G156" s="3191" t="e">
        <f t="shared" si="2"/>
        <v>#VALUE!</v>
      </c>
    </row>
    <row r="157" spans="2:7">
      <c r="B157" s="3188">
        <v>155</v>
      </c>
      <c r="C157" s="3179" t="s">
        <v>4076</v>
      </c>
      <c r="D157" s="3179" t="s">
        <v>3916</v>
      </c>
      <c r="E157" s="3179" t="s">
        <v>3794</v>
      </c>
      <c r="F157" s="3190">
        <v>0.96</v>
      </c>
      <c r="G157" s="3191" t="e">
        <f t="shared" si="2"/>
        <v>#VALUE!</v>
      </c>
    </row>
    <row r="158" spans="2:7">
      <c r="B158" s="3188">
        <v>156</v>
      </c>
      <c r="C158" s="3179" t="s">
        <v>4077</v>
      </c>
      <c r="D158" s="3179" t="s">
        <v>3916</v>
      </c>
      <c r="E158" s="3179" t="s">
        <v>3794</v>
      </c>
      <c r="F158" s="3190">
        <v>4.9800000000000004</v>
      </c>
      <c r="G158" s="3191" t="e">
        <f t="shared" si="2"/>
        <v>#VALUE!</v>
      </c>
    </row>
    <row r="159" spans="2:7">
      <c r="B159" s="3188">
        <v>157</v>
      </c>
      <c r="C159" s="3179" t="s">
        <v>4078</v>
      </c>
      <c r="D159" s="3179" t="s">
        <v>3916</v>
      </c>
      <c r="E159" s="3179" t="s">
        <v>3794</v>
      </c>
      <c r="F159" s="3190">
        <v>6</v>
      </c>
      <c r="G159" s="3191" t="e">
        <f t="shared" si="2"/>
        <v>#VALUE!</v>
      </c>
    </row>
    <row r="160" spans="2:7">
      <c r="B160" s="3188">
        <v>158</v>
      </c>
      <c r="C160" s="3179" t="s">
        <v>4079</v>
      </c>
      <c r="D160" s="3179" t="s">
        <v>3916</v>
      </c>
      <c r="E160" s="3179" t="s">
        <v>3794</v>
      </c>
      <c r="F160" s="3190">
        <v>0.4</v>
      </c>
      <c r="G160" s="3191" t="e">
        <f t="shared" si="2"/>
        <v>#VALUE!</v>
      </c>
    </row>
    <row r="161" spans="2:7">
      <c r="B161" s="3188">
        <v>159</v>
      </c>
      <c r="C161" s="3179" t="s">
        <v>4080</v>
      </c>
      <c r="D161" s="3179" t="s">
        <v>3916</v>
      </c>
      <c r="E161" s="3179" t="s">
        <v>3794</v>
      </c>
      <c r="F161" s="3190">
        <v>2.4</v>
      </c>
      <c r="G161" s="3191" t="e">
        <f t="shared" si="2"/>
        <v>#VALUE!</v>
      </c>
    </row>
    <row r="162" spans="2:7">
      <c r="B162" s="3188">
        <v>160</v>
      </c>
      <c r="C162" s="3179" t="s">
        <v>4081</v>
      </c>
      <c r="D162" s="3179" t="s">
        <v>3916</v>
      </c>
      <c r="E162" s="3179" t="s">
        <v>3794</v>
      </c>
      <c r="F162" s="3190">
        <v>4.8129029999999995</v>
      </c>
      <c r="G162" s="3191" t="e">
        <f t="shared" si="2"/>
        <v>#VALUE!</v>
      </c>
    </row>
    <row r="163" spans="2:7">
      <c r="B163" s="3188">
        <v>161</v>
      </c>
      <c r="C163" s="3179" t="s">
        <v>4082</v>
      </c>
      <c r="D163" s="3179" t="s">
        <v>3916</v>
      </c>
      <c r="E163" s="3179" t="s">
        <v>3794</v>
      </c>
      <c r="F163" s="3190">
        <v>9</v>
      </c>
      <c r="G163" s="3191" t="e">
        <f t="shared" si="2"/>
        <v>#VALUE!</v>
      </c>
    </row>
    <row r="164" spans="2:7">
      <c r="B164" s="3188">
        <v>162</v>
      </c>
      <c r="C164" s="3179" t="s">
        <v>4083</v>
      </c>
      <c r="D164" s="3179" t="s">
        <v>3916</v>
      </c>
      <c r="E164" s="3179" t="s">
        <v>3794</v>
      </c>
      <c r="F164" s="3190">
        <v>7.2</v>
      </c>
      <c r="G164" s="3191" t="e">
        <f t="shared" si="2"/>
        <v>#VALUE!</v>
      </c>
    </row>
    <row r="165" spans="2:7">
      <c r="B165" s="3188">
        <v>163</v>
      </c>
      <c r="C165" s="3179" t="s">
        <v>4084</v>
      </c>
      <c r="D165" s="3179" t="s">
        <v>3916</v>
      </c>
      <c r="E165" s="3179" t="s">
        <v>3794</v>
      </c>
      <c r="F165" s="3190">
        <v>2.4</v>
      </c>
      <c r="G165" s="3191" t="e">
        <f t="shared" si="2"/>
        <v>#VALUE!</v>
      </c>
    </row>
    <row r="166" spans="2:7">
      <c r="B166" s="3188">
        <v>164</v>
      </c>
      <c r="C166" s="3179" t="s">
        <v>4085</v>
      </c>
      <c r="D166" s="3179" t="s">
        <v>3916</v>
      </c>
      <c r="E166" s="3179" t="s">
        <v>3794</v>
      </c>
      <c r="F166" s="3190">
        <v>9</v>
      </c>
      <c r="G166" s="3191" t="e">
        <f t="shared" si="2"/>
        <v>#VALUE!</v>
      </c>
    </row>
    <row r="167" spans="2:7">
      <c r="B167" s="3188">
        <v>165</v>
      </c>
      <c r="C167" s="3179" t="s">
        <v>4086</v>
      </c>
      <c r="D167" s="3179" t="s">
        <v>3916</v>
      </c>
      <c r="E167" s="3179" t="s">
        <v>3794</v>
      </c>
      <c r="F167" s="3190">
        <v>6</v>
      </c>
      <c r="G167" s="3191" t="e">
        <f t="shared" si="2"/>
        <v>#VALUE!</v>
      </c>
    </row>
    <row r="168" spans="2:7">
      <c r="B168" s="3188">
        <v>166</v>
      </c>
      <c r="C168" s="3179" t="s">
        <v>4087</v>
      </c>
      <c r="D168" s="3179" t="s">
        <v>3916</v>
      </c>
      <c r="E168" s="3179" t="s">
        <v>3794</v>
      </c>
      <c r="F168" s="3190">
        <v>1.5</v>
      </c>
      <c r="G168" s="3191" t="e">
        <f t="shared" si="2"/>
        <v>#VALUE!</v>
      </c>
    </row>
    <row r="169" spans="2:7">
      <c r="B169" s="3188">
        <v>167</v>
      </c>
      <c r="C169" s="3179" t="s">
        <v>4088</v>
      </c>
      <c r="D169" s="3179" t="s">
        <v>3916</v>
      </c>
      <c r="E169" s="3179" t="s">
        <v>3794</v>
      </c>
      <c r="F169" s="3190">
        <v>1.359194</v>
      </c>
      <c r="G169" s="3191" t="e">
        <f t="shared" si="2"/>
        <v>#VALUE!</v>
      </c>
    </row>
    <row r="170" spans="2:7">
      <c r="B170" s="3188">
        <v>168</v>
      </c>
      <c r="C170" s="3179" t="s">
        <v>4089</v>
      </c>
      <c r="D170" s="3179" t="s">
        <v>3916</v>
      </c>
      <c r="E170" s="3179" t="s">
        <v>3794</v>
      </c>
      <c r="F170" s="3190">
        <v>4.882200000000001</v>
      </c>
      <c r="G170" s="3191" t="e">
        <f t="shared" si="2"/>
        <v>#VALUE!</v>
      </c>
    </row>
    <row r="171" spans="2:7">
      <c r="B171" s="3188">
        <v>169</v>
      </c>
      <c r="C171" s="3179" t="s">
        <v>4090</v>
      </c>
      <c r="D171" s="3179" t="s">
        <v>3860</v>
      </c>
      <c r="E171" s="3179">
        <v>28.28</v>
      </c>
      <c r="F171" s="3190">
        <v>0.5657120000000001</v>
      </c>
      <c r="G171" s="3191">
        <f t="shared" si="2"/>
        <v>0.54805370948053711</v>
      </c>
    </row>
    <row r="172" spans="2:7">
      <c r="B172" s="3188">
        <v>170</v>
      </c>
      <c r="C172" s="3179" t="s">
        <v>4091</v>
      </c>
      <c r="D172" s="3179" t="s">
        <v>3860</v>
      </c>
      <c r="E172" s="3179">
        <v>45.46</v>
      </c>
      <c r="F172" s="3190">
        <v>1.6365599999999996</v>
      </c>
      <c r="G172" s="3191">
        <f t="shared" si="2"/>
        <v>0.98630136986301342</v>
      </c>
    </row>
    <row r="173" spans="2:7">
      <c r="B173" s="3188">
        <v>171</v>
      </c>
      <c r="C173" s="3179" t="s">
        <v>4092</v>
      </c>
      <c r="D173" s="3179" t="s">
        <v>3860</v>
      </c>
      <c r="E173" s="3179">
        <v>27.15</v>
      </c>
      <c r="F173" s="3190">
        <v>0.34681899999999999</v>
      </c>
      <c r="G173" s="3191">
        <f t="shared" si="2"/>
        <v>0.34997754736496889</v>
      </c>
    </row>
    <row r="174" spans="2:7">
      <c r="B174" s="3188">
        <v>172</v>
      </c>
      <c r="C174" s="3179" t="s">
        <v>4093</v>
      </c>
      <c r="D174" s="3179" t="s">
        <v>3860</v>
      </c>
      <c r="E174" s="3179">
        <v>30.65</v>
      </c>
      <c r="F174" s="3190">
        <v>0.75398999999999994</v>
      </c>
      <c r="G174" s="3191">
        <f t="shared" si="2"/>
        <v>0.67397260273972603</v>
      </c>
    </row>
    <row r="175" spans="2:7">
      <c r="B175" s="3188">
        <v>173</v>
      </c>
      <c r="C175" s="3179" t="s">
        <v>4094</v>
      </c>
      <c r="D175" s="3179" t="s">
        <v>3860</v>
      </c>
      <c r="E175" s="3179">
        <v>8.82</v>
      </c>
      <c r="F175" s="3190">
        <v>0.31185000000000002</v>
      </c>
      <c r="G175" s="3191">
        <f t="shared" si="2"/>
        <v>0.96868884540117417</v>
      </c>
    </row>
    <row r="176" spans="2:7">
      <c r="B176" s="3188">
        <v>174</v>
      </c>
      <c r="C176" s="3179" t="s">
        <v>4095</v>
      </c>
      <c r="D176" s="3179" t="s">
        <v>3860</v>
      </c>
      <c r="E176" s="3179">
        <v>22.62</v>
      </c>
      <c r="F176" s="3190">
        <v>1.4929199999999998</v>
      </c>
      <c r="G176" s="3191">
        <f t="shared" si="2"/>
        <v>1.8082191780821915</v>
      </c>
    </row>
    <row r="177" spans="2:7">
      <c r="B177" s="3188">
        <v>175</v>
      </c>
      <c r="C177" s="3179" t="s">
        <v>4096</v>
      </c>
      <c r="D177" s="3179" t="s">
        <v>3860</v>
      </c>
      <c r="E177" s="3179">
        <v>13.59</v>
      </c>
      <c r="F177" s="3190">
        <v>1.0563960000000001</v>
      </c>
      <c r="G177" s="3191">
        <f t="shared" si="2"/>
        <v>2.1296803652968039</v>
      </c>
    </row>
    <row r="178" spans="2:7">
      <c r="B178" s="3188">
        <v>176</v>
      </c>
      <c r="C178" s="3179" t="s">
        <v>4097</v>
      </c>
      <c r="D178" s="3179" t="s">
        <v>3860</v>
      </c>
      <c r="E178" s="3179">
        <v>13.59</v>
      </c>
      <c r="F178" s="3190">
        <v>1.1959200000000001</v>
      </c>
      <c r="G178" s="3191">
        <f t="shared" si="2"/>
        <v>2.4109589041095894</v>
      </c>
    </row>
    <row r="179" spans="2:7">
      <c r="B179" s="3188">
        <v>177</v>
      </c>
      <c r="C179" s="3179" t="s">
        <v>4098</v>
      </c>
      <c r="D179" s="3179" t="s">
        <v>3860</v>
      </c>
      <c r="E179" s="3179">
        <v>13.52</v>
      </c>
      <c r="F179" s="3190">
        <v>0.89232000000000011</v>
      </c>
      <c r="G179" s="3191">
        <f t="shared" si="2"/>
        <v>1.8082191780821921</v>
      </c>
    </row>
    <row r="180" spans="2:7">
      <c r="B180" s="3188">
        <v>178</v>
      </c>
      <c r="C180" s="3179" t="s">
        <v>4099</v>
      </c>
      <c r="D180" s="3179" t="s">
        <v>3860</v>
      </c>
      <c r="E180" s="3179">
        <v>16.86</v>
      </c>
      <c r="F180" s="3190">
        <v>1.4836799999999999</v>
      </c>
      <c r="G180" s="3191">
        <f t="shared" si="2"/>
        <v>2.4109589041095889</v>
      </c>
    </row>
    <row r="181" spans="2:7">
      <c r="B181" s="3188">
        <v>179</v>
      </c>
      <c r="C181" s="3179" t="s">
        <v>4100</v>
      </c>
      <c r="D181" s="3179" t="s">
        <v>3860</v>
      </c>
      <c r="E181" s="3179">
        <v>12.78</v>
      </c>
      <c r="F181" s="3190">
        <v>1.0736239999999999</v>
      </c>
      <c r="G181" s="3191">
        <f t="shared" si="2"/>
        <v>2.3015928141145201</v>
      </c>
    </row>
    <row r="182" spans="2:7">
      <c r="B182" s="3188">
        <v>180</v>
      </c>
      <c r="C182" s="3179" t="s">
        <v>4101</v>
      </c>
      <c r="D182" s="3179" t="s">
        <v>3860</v>
      </c>
      <c r="E182" s="3179">
        <v>12.48</v>
      </c>
      <c r="F182" s="3190">
        <v>0.8049599999999999</v>
      </c>
      <c r="G182" s="3191">
        <f t="shared" si="2"/>
        <v>1.7671232876712326</v>
      </c>
    </row>
    <row r="183" spans="2:7">
      <c r="B183" s="3188">
        <v>181</v>
      </c>
      <c r="C183" s="3179" t="s">
        <v>4102</v>
      </c>
      <c r="D183" s="3179" t="s">
        <v>3860</v>
      </c>
      <c r="E183" s="3179">
        <v>13.38</v>
      </c>
      <c r="F183" s="3190">
        <v>1.43835</v>
      </c>
      <c r="G183" s="3191">
        <f t="shared" si="2"/>
        <v>2.9452054794520546</v>
      </c>
    </row>
    <row r="184" spans="2:7">
      <c r="B184" s="3188">
        <v>182</v>
      </c>
      <c r="C184" s="3179" t="s">
        <v>4103</v>
      </c>
      <c r="D184" s="3179" t="s">
        <v>3860</v>
      </c>
      <c r="E184" s="3179">
        <v>26.28</v>
      </c>
      <c r="F184" s="3190">
        <v>2.7777959999999999</v>
      </c>
      <c r="G184" s="3191">
        <f t="shared" si="2"/>
        <v>2.8958904109589043</v>
      </c>
    </row>
    <row r="185" spans="2:7">
      <c r="B185" s="3188">
        <v>183</v>
      </c>
      <c r="C185" s="3179" t="s">
        <v>4104</v>
      </c>
      <c r="D185" s="3179" t="s">
        <v>3860</v>
      </c>
      <c r="E185" s="3179">
        <v>14.78</v>
      </c>
      <c r="F185" s="3190">
        <v>1.4684649999999999</v>
      </c>
      <c r="G185" s="3191">
        <f t="shared" si="2"/>
        <v>2.7220512725452761</v>
      </c>
    </row>
    <row r="186" spans="2:7">
      <c r="B186" s="3188">
        <v>184</v>
      </c>
      <c r="C186" s="3179" t="s">
        <v>4105</v>
      </c>
      <c r="D186" s="3179" t="s">
        <v>3860</v>
      </c>
      <c r="E186" s="3179">
        <v>17.239999999999998</v>
      </c>
      <c r="F186" s="3190">
        <v>1.8964000000000001</v>
      </c>
      <c r="G186" s="3191">
        <f t="shared" si="2"/>
        <v>3.0136986301369864</v>
      </c>
    </row>
    <row r="187" spans="2:7">
      <c r="B187" s="3188">
        <v>185</v>
      </c>
      <c r="C187" s="3179" t="s">
        <v>4106</v>
      </c>
      <c r="D187" s="3179" t="s">
        <v>3860</v>
      </c>
      <c r="E187" s="3179">
        <v>21.98</v>
      </c>
      <c r="F187" s="3190">
        <v>2.3505840000000005</v>
      </c>
      <c r="G187" s="3191">
        <f t="shared" si="2"/>
        <v>2.929916362321912</v>
      </c>
    </row>
    <row r="188" spans="2:7">
      <c r="B188" s="3188">
        <v>186</v>
      </c>
      <c r="C188" s="3179" t="s">
        <v>4107</v>
      </c>
      <c r="D188" s="3179" t="s">
        <v>3860</v>
      </c>
      <c r="E188" s="3179">
        <v>4.03</v>
      </c>
      <c r="F188" s="3190">
        <v>0.48171899999999995</v>
      </c>
      <c r="G188" s="3191">
        <f t="shared" si="2"/>
        <v>3.274883578639654</v>
      </c>
    </row>
    <row r="189" spans="2:7">
      <c r="B189" s="3188">
        <v>187</v>
      </c>
      <c r="C189" s="3179" t="s">
        <v>4108</v>
      </c>
      <c r="D189" s="3179" t="s">
        <v>3860</v>
      </c>
      <c r="E189" s="3179">
        <v>25.33</v>
      </c>
      <c r="F189" s="3190">
        <v>3.4432459999999998</v>
      </c>
      <c r="G189" s="3191">
        <f t="shared" si="2"/>
        <v>3.7242600414257825</v>
      </c>
    </row>
    <row r="190" spans="2:7">
      <c r="B190" s="3188">
        <v>188</v>
      </c>
      <c r="C190" s="3179" t="s">
        <v>4109</v>
      </c>
      <c r="D190" s="3179" t="s">
        <v>3860</v>
      </c>
      <c r="E190" s="3179">
        <v>8.99</v>
      </c>
      <c r="F190" s="3190">
        <v>0.94394999999999996</v>
      </c>
      <c r="G190" s="3191">
        <f t="shared" si="2"/>
        <v>2.8767123287671232</v>
      </c>
    </row>
    <row r="191" spans="2:7">
      <c r="B191" s="3188">
        <v>189</v>
      </c>
      <c r="C191" s="3179" t="s">
        <v>4110</v>
      </c>
      <c r="D191" s="3179" t="s">
        <v>3860</v>
      </c>
      <c r="E191" s="3179">
        <v>18</v>
      </c>
      <c r="F191" s="3190">
        <v>4.6817419999999998</v>
      </c>
      <c r="G191" s="3191">
        <f t="shared" si="2"/>
        <v>7.1259391171993913</v>
      </c>
    </row>
    <row r="192" spans="2:7">
      <c r="B192" s="3188">
        <v>190</v>
      </c>
      <c r="C192" s="3179" t="s">
        <v>4111</v>
      </c>
      <c r="D192" s="3179" t="s">
        <v>3860</v>
      </c>
      <c r="E192" s="3179">
        <v>16.739999999999998</v>
      </c>
      <c r="F192" s="3190">
        <v>2.8912769999999997</v>
      </c>
      <c r="G192" s="3191">
        <f t="shared" si="2"/>
        <v>4.7319634703196352</v>
      </c>
    </row>
    <row r="193" spans="2:7">
      <c r="B193" s="3188">
        <v>191</v>
      </c>
      <c r="C193" s="3179" t="s">
        <v>4112</v>
      </c>
      <c r="D193" s="3179" t="s">
        <v>3860</v>
      </c>
      <c r="E193" s="3179">
        <v>21.33</v>
      </c>
      <c r="F193" s="3190">
        <v>1.40778</v>
      </c>
      <c r="G193" s="3191">
        <f t="shared" si="2"/>
        <v>1.8082191780821921</v>
      </c>
    </row>
    <row r="194" spans="2:7">
      <c r="B194" s="3188">
        <v>192</v>
      </c>
      <c r="C194" s="3179" t="s">
        <v>4113</v>
      </c>
      <c r="D194" s="3179" t="s">
        <v>3860</v>
      </c>
      <c r="E194" s="3179">
        <v>27.41</v>
      </c>
      <c r="F194" s="3190">
        <v>5.9205600000000009</v>
      </c>
      <c r="G194" s="3191">
        <f t="shared" si="2"/>
        <v>5.9178082191780819</v>
      </c>
    </row>
    <row r="195" spans="2:7">
      <c r="B195" s="3188">
        <v>193</v>
      </c>
      <c r="C195" s="3192" t="s">
        <v>4114</v>
      </c>
      <c r="D195" s="3179" t="s">
        <v>3860</v>
      </c>
      <c r="E195" s="3179">
        <v>11.28</v>
      </c>
      <c r="F195" s="3190">
        <v>0.99263999999999997</v>
      </c>
      <c r="G195" s="3191">
        <f t="shared" si="2"/>
        <v>2.4109589041095889</v>
      </c>
    </row>
    <row r="196" spans="2:7">
      <c r="B196" s="3188">
        <v>194</v>
      </c>
      <c r="C196" s="3179" t="s">
        <v>4115</v>
      </c>
      <c r="D196" s="3179" t="s">
        <v>3860</v>
      </c>
      <c r="E196" s="3179">
        <v>18.010000000000002</v>
      </c>
      <c r="F196" s="3190">
        <v>3.9712049999999994</v>
      </c>
      <c r="G196" s="3191">
        <f t="shared" ref="G196:G259" si="3">F196*10000/E196/365</f>
        <v>6.0410958904109577</v>
      </c>
    </row>
    <row r="197" spans="2:7">
      <c r="B197" s="3188">
        <v>195</v>
      </c>
      <c r="C197" s="3179" t="s">
        <v>4116</v>
      </c>
      <c r="D197" s="3179" t="s">
        <v>3860</v>
      </c>
      <c r="E197" s="3179">
        <v>13.87</v>
      </c>
      <c r="F197" s="3190">
        <v>0.61028000000000004</v>
      </c>
      <c r="G197" s="3191">
        <f t="shared" si="3"/>
        <v>1.2054794520547947</v>
      </c>
    </row>
    <row r="198" spans="2:7">
      <c r="B198" s="3188">
        <v>196</v>
      </c>
      <c r="C198" s="3179" t="s">
        <v>4117</v>
      </c>
      <c r="D198" s="3179" t="s">
        <v>3860</v>
      </c>
      <c r="E198" s="3179">
        <v>30.78</v>
      </c>
      <c r="F198" s="3190">
        <v>1.1221510000000001</v>
      </c>
      <c r="G198" s="3191">
        <f t="shared" si="3"/>
        <v>0.99882595885960479</v>
      </c>
    </row>
    <row r="199" spans="2:7">
      <c r="B199" s="3188">
        <v>197</v>
      </c>
      <c r="C199" s="3179" t="s">
        <v>4118</v>
      </c>
      <c r="D199" s="3179" t="s">
        <v>3860</v>
      </c>
      <c r="E199" s="3179">
        <v>14.18</v>
      </c>
      <c r="F199" s="3190">
        <v>3.7874320000000008</v>
      </c>
      <c r="G199" s="3191">
        <f t="shared" si="3"/>
        <v>7.3177193423111868</v>
      </c>
    </row>
    <row r="200" spans="2:7">
      <c r="B200" s="3188">
        <v>198</v>
      </c>
      <c r="C200" s="3179" t="s">
        <v>4119</v>
      </c>
      <c r="D200" s="3179" t="s">
        <v>3860</v>
      </c>
      <c r="E200" s="3179">
        <v>18.02</v>
      </c>
      <c r="F200" s="3190">
        <v>1.1497919999999999</v>
      </c>
      <c r="G200" s="3191">
        <f t="shared" si="3"/>
        <v>1.7481215696410382</v>
      </c>
    </row>
    <row r="201" spans="2:7">
      <c r="B201" s="3188">
        <v>199</v>
      </c>
      <c r="C201" s="3179" t="s">
        <v>4120</v>
      </c>
      <c r="D201" s="3179" t="s">
        <v>3860</v>
      </c>
      <c r="E201" s="3179">
        <v>14.04</v>
      </c>
      <c r="F201" s="3190">
        <v>0.94729200000000002</v>
      </c>
      <c r="G201" s="3191">
        <f t="shared" si="3"/>
        <v>1.8485189087928815</v>
      </c>
    </row>
    <row r="202" spans="2:7">
      <c r="B202" s="3188">
        <v>200</v>
      </c>
      <c r="C202" s="3192" t="s">
        <v>4121</v>
      </c>
      <c r="D202" s="3179" t="s">
        <v>3860</v>
      </c>
      <c r="E202" s="3179">
        <v>27.15</v>
      </c>
      <c r="F202" s="3190">
        <v>6.8207810000000002</v>
      </c>
      <c r="G202" s="3191">
        <f t="shared" si="3"/>
        <v>6.8828991649637992</v>
      </c>
    </row>
    <row r="203" spans="2:7">
      <c r="B203" s="3188">
        <v>201</v>
      </c>
      <c r="C203" s="3179" t="s">
        <v>4122</v>
      </c>
      <c r="D203" s="3179" t="s">
        <v>3860</v>
      </c>
      <c r="E203" s="3179">
        <v>30.65</v>
      </c>
      <c r="F203" s="3190">
        <v>5.4896339999999997</v>
      </c>
      <c r="G203" s="3191">
        <f t="shared" si="3"/>
        <v>4.9070450736329301</v>
      </c>
    </row>
    <row r="204" spans="2:7">
      <c r="B204" s="3188">
        <v>202</v>
      </c>
      <c r="C204" s="3179" t="s">
        <v>4123</v>
      </c>
      <c r="D204" s="3179" t="s">
        <v>3860</v>
      </c>
      <c r="E204" s="3179">
        <v>15.36</v>
      </c>
      <c r="F204" s="3190">
        <v>2.1196799999999998</v>
      </c>
      <c r="G204" s="3191">
        <f t="shared" si="3"/>
        <v>3.7808219178082192</v>
      </c>
    </row>
    <row r="205" spans="2:7">
      <c r="B205" s="3188">
        <v>203</v>
      </c>
      <c r="C205" s="3179" t="s">
        <v>4124</v>
      </c>
      <c r="D205" s="3179" t="s">
        <v>3860</v>
      </c>
      <c r="E205" s="3179">
        <v>8.82</v>
      </c>
      <c r="F205" s="3190">
        <v>1.6817849999999999</v>
      </c>
      <c r="G205" s="3191">
        <f t="shared" si="3"/>
        <v>5.2240704500978463</v>
      </c>
    </row>
    <row r="206" spans="2:7">
      <c r="B206" s="3188">
        <v>204</v>
      </c>
      <c r="C206" s="3179" t="s">
        <v>4125</v>
      </c>
      <c r="D206" s="3179" t="s">
        <v>3860</v>
      </c>
      <c r="E206" s="3179">
        <v>13.52</v>
      </c>
      <c r="F206" s="3190">
        <v>2.6769600000000007</v>
      </c>
      <c r="G206" s="3191">
        <f t="shared" si="3"/>
        <v>5.4246575342465766</v>
      </c>
    </row>
    <row r="207" spans="2:7">
      <c r="B207" s="3188">
        <v>205</v>
      </c>
      <c r="C207" s="3179" t="s">
        <v>4126</v>
      </c>
      <c r="D207" s="3179" t="s">
        <v>3860</v>
      </c>
      <c r="E207" s="3179">
        <v>22.62</v>
      </c>
      <c r="F207" s="3190">
        <v>4.5805499999999997</v>
      </c>
      <c r="G207" s="3191">
        <f t="shared" si="3"/>
        <v>5.5479452054794525</v>
      </c>
    </row>
    <row r="208" spans="2:7">
      <c r="B208" s="3188">
        <v>206</v>
      </c>
      <c r="C208" s="3179" t="s">
        <v>4127</v>
      </c>
      <c r="D208" s="3179" t="s">
        <v>3860</v>
      </c>
      <c r="E208" s="3179">
        <v>12.48</v>
      </c>
      <c r="F208" s="3190">
        <v>0.8049599999999999</v>
      </c>
      <c r="G208" s="3191">
        <f t="shared" si="3"/>
        <v>1.7671232876712326</v>
      </c>
    </row>
    <row r="209" spans="2:7">
      <c r="B209" s="3188">
        <v>207</v>
      </c>
      <c r="C209" s="3179" t="s">
        <v>4128</v>
      </c>
      <c r="D209" s="3179" t="s">
        <v>3860</v>
      </c>
      <c r="E209" s="3179">
        <v>18.02</v>
      </c>
      <c r="F209" s="3190">
        <v>3.823728</v>
      </c>
      <c r="G209" s="3191">
        <f t="shared" si="3"/>
        <v>5.8135222659754007</v>
      </c>
    </row>
    <row r="210" spans="2:7">
      <c r="B210" s="3188">
        <v>208</v>
      </c>
      <c r="C210" s="3179" t="s">
        <v>4129</v>
      </c>
      <c r="D210" s="3179" t="s">
        <v>3860</v>
      </c>
      <c r="E210" s="3179">
        <v>13.87</v>
      </c>
      <c r="F210" s="3190">
        <v>2.7856330000000007</v>
      </c>
      <c r="G210" s="3191">
        <f t="shared" si="3"/>
        <v>5.5024305932780928</v>
      </c>
    </row>
    <row r="211" spans="2:7">
      <c r="B211" s="3188">
        <v>209</v>
      </c>
      <c r="C211" s="3179" t="s">
        <v>4130</v>
      </c>
      <c r="D211" s="3179" t="s">
        <v>3860</v>
      </c>
      <c r="E211" s="3179">
        <v>13.59</v>
      </c>
      <c r="F211" s="3190">
        <v>2.9354399999999994</v>
      </c>
      <c r="G211" s="3191">
        <f t="shared" si="3"/>
        <v>5.917808219178081</v>
      </c>
    </row>
    <row r="212" spans="2:7">
      <c r="B212" s="3188">
        <v>210</v>
      </c>
      <c r="C212" s="3179" t="s">
        <v>4131</v>
      </c>
      <c r="D212" s="3179" t="s">
        <v>3860</v>
      </c>
      <c r="E212" s="3179">
        <v>14.04</v>
      </c>
      <c r="F212" s="3190">
        <v>1.9375200000000001</v>
      </c>
      <c r="G212" s="3191">
        <f t="shared" si="3"/>
        <v>3.7808219178082196</v>
      </c>
    </row>
    <row r="213" spans="2:7">
      <c r="B213" s="3188">
        <v>211</v>
      </c>
      <c r="C213" s="3179" t="s">
        <v>4132</v>
      </c>
      <c r="D213" s="3179" t="s">
        <v>3695</v>
      </c>
      <c r="E213" s="3179">
        <v>55.49</v>
      </c>
      <c r="F213" s="3190">
        <v>16.20288</v>
      </c>
      <c r="G213" s="3191">
        <f t="shared" si="3"/>
        <v>7.9999012533419576</v>
      </c>
    </row>
    <row r="214" spans="2:7">
      <c r="B214" s="3188">
        <v>212</v>
      </c>
      <c r="C214" s="3179" t="s">
        <v>4133</v>
      </c>
      <c r="D214" s="3179" t="s">
        <v>3695</v>
      </c>
      <c r="E214" s="3179">
        <v>35</v>
      </c>
      <c r="F214" s="3190">
        <v>16.900000000000002</v>
      </c>
      <c r="G214" s="3191">
        <f t="shared" si="3"/>
        <v>13.228962818003916</v>
      </c>
    </row>
    <row r="215" spans="2:7">
      <c r="B215" s="3188">
        <v>213</v>
      </c>
      <c r="C215" s="3179" t="s">
        <v>4134</v>
      </c>
      <c r="D215" s="3179" t="s">
        <v>3695</v>
      </c>
      <c r="E215" s="3179">
        <v>175.8</v>
      </c>
      <c r="F215" s="3190">
        <v>53.633900000000011</v>
      </c>
      <c r="G215" s="3191">
        <f t="shared" si="3"/>
        <v>8.3584864494210436</v>
      </c>
    </row>
    <row r="216" spans="2:7">
      <c r="B216" s="3188">
        <v>214</v>
      </c>
      <c r="C216" s="3179" t="s">
        <v>4135</v>
      </c>
      <c r="D216" s="3179" t="s">
        <v>3695</v>
      </c>
      <c r="E216" s="3179">
        <v>44.84</v>
      </c>
      <c r="F216" s="3190">
        <v>20.370812000000001</v>
      </c>
      <c r="G216" s="3191">
        <f t="shared" si="3"/>
        <v>12.446575342465753</v>
      </c>
    </row>
    <row r="217" spans="2:7">
      <c r="B217" s="3188">
        <v>215</v>
      </c>
      <c r="C217" s="3179" t="s">
        <v>4136</v>
      </c>
      <c r="D217" s="3179" t="s">
        <v>3695</v>
      </c>
      <c r="E217" s="3179">
        <v>39.15</v>
      </c>
      <c r="F217" s="3190">
        <v>41.076380999999998</v>
      </c>
      <c r="G217" s="3191">
        <f t="shared" si="3"/>
        <v>28.745346139715533</v>
      </c>
    </row>
    <row r="218" spans="2:7">
      <c r="B218" s="3188">
        <v>216</v>
      </c>
      <c r="C218" s="3179" t="s">
        <v>4137</v>
      </c>
      <c r="D218" s="3179" t="s">
        <v>3695</v>
      </c>
      <c r="E218" s="3179">
        <v>153.4</v>
      </c>
      <c r="F218" s="3190">
        <v>95.153040000000004</v>
      </c>
      <c r="G218" s="3191">
        <f t="shared" si="3"/>
        <v>16.994345519815685</v>
      </c>
    </row>
    <row r="219" spans="2:7">
      <c r="B219" s="3188">
        <v>217</v>
      </c>
      <c r="C219" s="3179" t="s">
        <v>4138</v>
      </c>
      <c r="D219" s="3179" t="s">
        <v>3695</v>
      </c>
      <c r="E219" s="3179">
        <v>88.42</v>
      </c>
      <c r="F219" s="3190">
        <v>78.220129999999997</v>
      </c>
      <c r="G219" s="3191">
        <f t="shared" si="3"/>
        <v>24.236793262542101</v>
      </c>
    </row>
    <row r="220" spans="2:7">
      <c r="B220" s="3188">
        <v>218</v>
      </c>
      <c r="C220" s="3179" t="s">
        <v>4139</v>
      </c>
      <c r="D220" s="3179" t="s">
        <v>3695</v>
      </c>
      <c r="E220" s="3179">
        <v>156.55000000000001</v>
      </c>
      <c r="F220" s="3190">
        <v>106.26823199999998</v>
      </c>
      <c r="G220" s="3191">
        <f t="shared" si="3"/>
        <v>18.597626387473035</v>
      </c>
    </row>
    <row r="221" spans="2:7">
      <c r="B221" s="3188">
        <v>219</v>
      </c>
      <c r="C221" s="3179" t="s">
        <v>4140</v>
      </c>
      <c r="D221" s="3179" t="s">
        <v>3695</v>
      </c>
      <c r="E221" s="3179">
        <v>54.46</v>
      </c>
      <c r="F221" s="3190">
        <v>46.154578999999998</v>
      </c>
      <c r="G221" s="3191">
        <f t="shared" si="3"/>
        <v>23.219041749883036</v>
      </c>
    </row>
    <row r="222" spans="2:7">
      <c r="B222" s="3188">
        <v>220</v>
      </c>
      <c r="C222" s="3179" t="s">
        <v>4141</v>
      </c>
      <c r="D222" s="3179" t="s">
        <v>3695</v>
      </c>
      <c r="E222" s="3179">
        <v>112.1</v>
      </c>
      <c r="F222" s="3190">
        <v>1.7415</v>
      </c>
      <c r="G222" s="3191">
        <f t="shared" si="3"/>
        <v>0.42562291496095706</v>
      </c>
    </row>
    <row r="223" spans="2:7">
      <c r="B223" s="3188">
        <v>221</v>
      </c>
      <c r="C223" s="3179" t="s">
        <v>4142</v>
      </c>
      <c r="D223" s="3179" t="s">
        <v>3695</v>
      </c>
      <c r="E223" s="3179">
        <v>49.99</v>
      </c>
      <c r="F223" s="3190">
        <v>47.060730000000007</v>
      </c>
      <c r="G223" s="3191">
        <f t="shared" si="3"/>
        <v>25.791859741811376</v>
      </c>
    </row>
    <row r="224" spans="2:7">
      <c r="B224" s="3188">
        <v>222</v>
      </c>
      <c r="C224" s="3179" t="s">
        <v>4143</v>
      </c>
      <c r="D224" s="3179" t="s">
        <v>3695</v>
      </c>
      <c r="E224" s="3179">
        <v>139.55000000000001</v>
      </c>
      <c r="F224" s="3190">
        <v>94.064639000000014</v>
      </c>
      <c r="G224" s="3191">
        <f t="shared" si="3"/>
        <v>18.467312054892684</v>
      </c>
    </row>
    <row r="225" spans="2:7">
      <c r="B225" s="3188">
        <v>223</v>
      </c>
      <c r="C225" s="3179" t="s">
        <v>4144</v>
      </c>
      <c r="D225" s="3179" t="s">
        <v>3695</v>
      </c>
      <c r="E225" s="3179">
        <v>8</v>
      </c>
      <c r="F225" s="3190">
        <v>2.4120000000000004</v>
      </c>
      <c r="G225" s="3191">
        <f t="shared" si="3"/>
        <v>8.2602739726027412</v>
      </c>
    </row>
    <row r="226" spans="2:7">
      <c r="B226" s="3188">
        <v>224</v>
      </c>
      <c r="C226" s="3179" t="s">
        <v>4145</v>
      </c>
      <c r="D226" s="3179" t="s">
        <v>3695</v>
      </c>
      <c r="E226" s="3179">
        <v>27.04</v>
      </c>
      <c r="F226" s="3190">
        <v>5.7719499999999995</v>
      </c>
      <c r="G226" s="3191">
        <f t="shared" si="3"/>
        <v>5.8482106670989698</v>
      </c>
    </row>
    <row r="227" spans="2:7">
      <c r="B227" s="3188">
        <v>225</v>
      </c>
      <c r="C227" s="3179" t="s">
        <v>4146</v>
      </c>
      <c r="D227" s="3179" t="s">
        <v>3695</v>
      </c>
      <c r="E227" s="3179">
        <v>114.45</v>
      </c>
      <c r="F227" s="3190">
        <v>52.628831000000012</v>
      </c>
      <c r="G227" s="3191">
        <f t="shared" si="3"/>
        <v>12.598390395997537</v>
      </c>
    </row>
    <row r="228" spans="2:7">
      <c r="B228" s="3188">
        <v>226</v>
      </c>
      <c r="C228" s="3179" t="s">
        <v>4147</v>
      </c>
      <c r="D228" s="3179" t="s">
        <v>3695</v>
      </c>
      <c r="E228" s="3179">
        <v>59.72</v>
      </c>
      <c r="F228" s="3190">
        <v>51.063960000000009</v>
      </c>
      <c r="G228" s="3191">
        <f t="shared" si="3"/>
        <v>23.426198974208411</v>
      </c>
    </row>
    <row r="229" spans="2:7">
      <c r="B229" s="3188">
        <v>227</v>
      </c>
      <c r="C229" s="3179" t="s">
        <v>4148</v>
      </c>
      <c r="D229" s="3179" t="s">
        <v>3695</v>
      </c>
      <c r="E229" s="3179">
        <v>138.41999999999999</v>
      </c>
      <c r="F229" s="3190">
        <v>22.271832</v>
      </c>
      <c r="G229" s="3191">
        <f t="shared" si="3"/>
        <v>4.4082298662201405</v>
      </c>
    </row>
    <row r="230" spans="2:7">
      <c r="B230" s="3188">
        <v>228</v>
      </c>
      <c r="C230" s="3179" t="s">
        <v>4149</v>
      </c>
      <c r="D230" s="3179" t="s">
        <v>3695</v>
      </c>
      <c r="E230" s="3179">
        <v>77.180000000000007</v>
      </c>
      <c r="F230" s="3190">
        <v>69.595651999999973</v>
      </c>
      <c r="G230" s="3191">
        <f t="shared" si="3"/>
        <v>24.704977867074646</v>
      </c>
    </row>
    <row r="231" spans="2:7">
      <c r="B231" s="3188">
        <v>229</v>
      </c>
      <c r="C231" s="3179" t="s">
        <v>4150</v>
      </c>
      <c r="D231" s="3179" t="s">
        <v>3695</v>
      </c>
      <c r="E231" s="3179">
        <v>103.97</v>
      </c>
      <c r="F231" s="3190">
        <v>17.633545000000002</v>
      </c>
      <c r="G231" s="3191">
        <f t="shared" si="3"/>
        <v>4.6466367405771685</v>
      </c>
    </row>
    <row r="232" spans="2:7">
      <c r="B232" s="3188">
        <v>230</v>
      </c>
      <c r="C232" s="3179" t="s">
        <v>4151</v>
      </c>
      <c r="D232" s="3179" t="s">
        <v>3695</v>
      </c>
      <c r="E232" s="3179">
        <v>10.119999999999999</v>
      </c>
      <c r="F232" s="3190">
        <v>4.5700559999999992</v>
      </c>
      <c r="G232" s="3191">
        <f t="shared" si="3"/>
        <v>12.372234555200606</v>
      </c>
    </row>
    <row r="233" spans="2:7">
      <c r="B233" s="3188">
        <v>231</v>
      </c>
      <c r="C233" s="3179" t="s">
        <v>4152</v>
      </c>
      <c r="D233" s="3179" t="s">
        <v>3695</v>
      </c>
      <c r="E233" s="3179">
        <v>85.44</v>
      </c>
      <c r="F233" s="3190">
        <v>53.692415999999987</v>
      </c>
      <c r="G233" s="3191">
        <f t="shared" si="3"/>
        <v>17.217054024934583</v>
      </c>
    </row>
    <row r="234" spans="2:7">
      <c r="B234" s="3188">
        <v>232</v>
      </c>
      <c r="C234" s="3179" t="s">
        <v>4153</v>
      </c>
      <c r="D234" s="3179" t="s">
        <v>3695</v>
      </c>
      <c r="E234" s="3179">
        <v>25</v>
      </c>
      <c r="F234" s="3190">
        <v>1.8346819999999999</v>
      </c>
      <c r="G234" s="3191">
        <f t="shared" si="3"/>
        <v>2.010610410958904</v>
      </c>
    </row>
    <row r="235" spans="2:7">
      <c r="B235" s="3188">
        <v>233</v>
      </c>
      <c r="C235" s="3179" t="s">
        <v>4154</v>
      </c>
      <c r="D235" s="3179" t="s">
        <v>3695</v>
      </c>
      <c r="E235" s="3179">
        <v>117.86</v>
      </c>
      <c r="F235" s="3190">
        <v>83.422361999999993</v>
      </c>
      <c r="G235" s="3191">
        <f t="shared" si="3"/>
        <v>19.392025830507055</v>
      </c>
    </row>
    <row r="236" spans="2:7">
      <c r="B236" s="3188">
        <v>234</v>
      </c>
      <c r="C236" s="3179" t="s">
        <v>4155</v>
      </c>
      <c r="D236" s="3179" t="s">
        <v>3695</v>
      </c>
      <c r="E236" s="3179">
        <v>64.400000000000006</v>
      </c>
      <c r="F236" s="3190">
        <v>11.986832</v>
      </c>
      <c r="G236" s="3191">
        <f t="shared" si="3"/>
        <v>5.0994775801922909</v>
      </c>
    </row>
    <row r="237" spans="2:7">
      <c r="B237" s="3188">
        <v>235</v>
      </c>
      <c r="C237" s="3179" t="s">
        <v>4156</v>
      </c>
      <c r="D237" s="3179" t="s">
        <v>3695</v>
      </c>
      <c r="E237" s="3179">
        <v>146.22999999999999</v>
      </c>
      <c r="F237" s="3190">
        <v>23.211224999999999</v>
      </c>
      <c r="G237" s="3191">
        <f t="shared" si="3"/>
        <v>4.3487928099756532</v>
      </c>
    </row>
    <row r="238" spans="2:7">
      <c r="B238" s="3188">
        <v>236</v>
      </c>
      <c r="C238" s="3179" t="s">
        <v>4157</v>
      </c>
      <c r="D238" s="3179" t="s">
        <v>3695</v>
      </c>
      <c r="E238" s="3179">
        <v>118.82</v>
      </c>
      <c r="F238" s="3190">
        <v>14.845822999999998</v>
      </c>
      <c r="G238" s="3191">
        <f t="shared" si="3"/>
        <v>3.423117965934428</v>
      </c>
    </row>
    <row r="239" spans="2:7">
      <c r="B239" s="3188">
        <v>237</v>
      </c>
      <c r="C239" s="3179" t="s">
        <v>4158</v>
      </c>
      <c r="D239" s="3179" t="s">
        <v>3695</v>
      </c>
      <c r="E239" s="3179">
        <v>185.95</v>
      </c>
      <c r="F239" s="3190">
        <v>46.301549999999999</v>
      </c>
      <c r="G239" s="3191">
        <f t="shared" si="3"/>
        <v>6.8219178082191778</v>
      </c>
    </row>
    <row r="240" spans="2:7">
      <c r="B240" s="3188">
        <v>238</v>
      </c>
      <c r="C240" s="3179" t="s">
        <v>4159</v>
      </c>
      <c r="D240" s="3179" t="s">
        <v>3695</v>
      </c>
      <c r="E240" s="3179">
        <v>157.27000000000001</v>
      </c>
      <c r="F240" s="3190">
        <v>103.33788299999999</v>
      </c>
      <c r="G240" s="3191">
        <f t="shared" si="3"/>
        <v>18.002002140982569</v>
      </c>
    </row>
    <row r="241" spans="2:7">
      <c r="B241" s="3188">
        <v>239</v>
      </c>
      <c r="C241" s="3179" t="s">
        <v>4160</v>
      </c>
      <c r="D241" s="3179" t="s">
        <v>3695</v>
      </c>
      <c r="E241" s="3179">
        <v>381.66</v>
      </c>
      <c r="F241" s="3190">
        <v>186.30012500000004</v>
      </c>
      <c r="G241" s="3191">
        <f t="shared" si="3"/>
        <v>13.373455467428158</v>
      </c>
    </row>
    <row r="242" spans="2:7">
      <c r="B242" s="3188">
        <v>240</v>
      </c>
      <c r="C242" s="3179" t="s">
        <v>4161</v>
      </c>
      <c r="D242" s="3179" t="s">
        <v>3695</v>
      </c>
      <c r="E242" s="3179">
        <v>243.32</v>
      </c>
      <c r="F242" s="3190">
        <v>136.061149</v>
      </c>
      <c r="G242" s="3191">
        <f t="shared" si="3"/>
        <v>15.32016567618267</v>
      </c>
    </row>
    <row r="243" spans="2:7">
      <c r="B243" s="3188">
        <v>241</v>
      </c>
      <c r="C243" s="3179" t="s">
        <v>4162</v>
      </c>
      <c r="D243" s="3179" t="s">
        <v>3695</v>
      </c>
      <c r="E243" s="3179">
        <v>105.69</v>
      </c>
      <c r="F243" s="3190">
        <v>72.342590000000015</v>
      </c>
      <c r="G243" s="3191">
        <f t="shared" si="3"/>
        <v>18.752850478978978</v>
      </c>
    </row>
    <row r="244" spans="2:7">
      <c r="B244" s="3188">
        <v>242</v>
      </c>
      <c r="C244" s="3179" t="s">
        <v>4163</v>
      </c>
      <c r="D244" s="3179" t="s">
        <v>3695</v>
      </c>
      <c r="E244" s="3179">
        <v>141.47999999999999</v>
      </c>
      <c r="F244" s="3190">
        <v>19.283805999999998</v>
      </c>
      <c r="G244" s="3191">
        <f t="shared" si="3"/>
        <v>3.7342624544444059</v>
      </c>
    </row>
    <row r="245" spans="2:7">
      <c r="B245" s="3188">
        <v>243</v>
      </c>
      <c r="C245" s="3179" t="s">
        <v>4164</v>
      </c>
      <c r="D245" s="3179" t="s">
        <v>3695</v>
      </c>
      <c r="E245" s="3179">
        <v>289.76</v>
      </c>
      <c r="F245" s="3190">
        <v>64.644794999999988</v>
      </c>
      <c r="G245" s="3191">
        <f t="shared" si="3"/>
        <v>6.1122662685415605</v>
      </c>
    </row>
    <row r="246" spans="2:7">
      <c r="B246" s="3188">
        <v>244</v>
      </c>
      <c r="C246" s="3179" t="s">
        <v>4165</v>
      </c>
      <c r="D246" s="3179" t="s">
        <v>3695</v>
      </c>
      <c r="E246" s="3179">
        <v>41.62</v>
      </c>
      <c r="F246" s="3190">
        <v>34.713939000000003</v>
      </c>
      <c r="G246" s="3191">
        <f t="shared" si="3"/>
        <v>22.851197066742152</v>
      </c>
    </row>
    <row r="247" spans="2:7">
      <c r="B247" s="3188">
        <v>245</v>
      </c>
      <c r="C247" s="3179" t="s">
        <v>4166</v>
      </c>
      <c r="D247" s="3179" t="s">
        <v>3695</v>
      </c>
      <c r="E247" s="3179">
        <v>64.16</v>
      </c>
      <c r="F247" s="3190">
        <v>15.522384000000002</v>
      </c>
      <c r="G247" s="3191">
        <f t="shared" si="3"/>
        <v>6.6282854507566711</v>
      </c>
    </row>
    <row r="248" spans="2:7">
      <c r="B248" s="3188">
        <v>246</v>
      </c>
      <c r="C248" s="3179" t="s">
        <v>4167</v>
      </c>
      <c r="D248" s="3179" t="s">
        <v>3695</v>
      </c>
      <c r="E248" s="3179">
        <v>32.9</v>
      </c>
      <c r="F248" s="3190">
        <v>37.105719999999991</v>
      </c>
      <c r="G248" s="3191">
        <f t="shared" si="3"/>
        <v>30.899546154807005</v>
      </c>
    </row>
    <row r="249" spans="2:7">
      <c r="B249" s="3188">
        <v>247</v>
      </c>
      <c r="C249" s="3179" t="s">
        <v>4168</v>
      </c>
      <c r="D249" s="3179" t="s">
        <v>3695</v>
      </c>
      <c r="E249" s="3179">
        <v>106.29</v>
      </c>
      <c r="F249" s="3190">
        <v>22.977318</v>
      </c>
      <c r="G249" s="3191">
        <f t="shared" si="3"/>
        <v>5.9226226516495952</v>
      </c>
    </row>
    <row r="250" spans="2:7">
      <c r="B250" s="3188">
        <v>248</v>
      </c>
      <c r="C250" s="3179" t="s">
        <v>4169</v>
      </c>
      <c r="D250" s="3179" t="s">
        <v>3695</v>
      </c>
      <c r="E250" s="3179">
        <v>5</v>
      </c>
      <c r="F250" s="3190">
        <v>1.768543</v>
      </c>
      <c r="G250" s="3191">
        <f t="shared" si="3"/>
        <v>9.6906465753424662</v>
      </c>
    </row>
    <row r="251" spans="2:7">
      <c r="B251" s="3188">
        <v>249</v>
      </c>
      <c r="C251" s="3179" t="s">
        <v>4170</v>
      </c>
      <c r="D251" s="3179" t="s">
        <v>3695</v>
      </c>
      <c r="E251" s="3179">
        <v>49.51</v>
      </c>
      <c r="F251" s="3190">
        <v>50.814114000000004</v>
      </c>
      <c r="G251" s="3191">
        <f t="shared" si="3"/>
        <v>28.118915508974247</v>
      </c>
    </row>
    <row r="252" spans="2:7">
      <c r="B252" s="3188">
        <v>250</v>
      </c>
      <c r="C252" s="3179" t="s">
        <v>4171</v>
      </c>
      <c r="D252" s="3179" t="s">
        <v>3692</v>
      </c>
      <c r="E252" s="3179">
        <v>1187.68</v>
      </c>
      <c r="F252" s="3190">
        <v>25.500248000000003</v>
      </c>
      <c r="G252" s="3191">
        <f t="shared" si="3"/>
        <v>0.58823667276273861</v>
      </c>
    </row>
    <row r="253" spans="2:7">
      <c r="B253" s="3188">
        <v>251</v>
      </c>
      <c r="C253" s="3179" t="s">
        <v>4172</v>
      </c>
      <c r="D253" s="3179" t="s">
        <v>3875</v>
      </c>
      <c r="E253" s="3179">
        <v>1</v>
      </c>
      <c r="F253" s="3190">
        <v>0.66</v>
      </c>
      <c r="G253" s="3191">
        <f t="shared" si="3"/>
        <v>18.082191780821919</v>
      </c>
    </row>
    <row r="254" spans="2:7">
      <c r="B254" s="3188">
        <v>252</v>
      </c>
      <c r="C254" s="3179" t="s">
        <v>4173</v>
      </c>
      <c r="D254" s="3179" t="s">
        <v>3695</v>
      </c>
      <c r="E254" s="3179">
        <v>89.92</v>
      </c>
      <c r="F254" s="3190">
        <v>13.667999999999999</v>
      </c>
      <c r="G254" s="3191">
        <f t="shared" si="3"/>
        <v>4.1644323112172774</v>
      </c>
    </row>
    <row r="255" spans="2:7">
      <c r="B255" s="3188">
        <v>253</v>
      </c>
      <c r="C255" s="3179" t="s">
        <v>4174</v>
      </c>
      <c r="D255" s="3179" t="s">
        <v>3695</v>
      </c>
      <c r="E255" s="3179">
        <v>146.04</v>
      </c>
      <c r="F255" s="3190">
        <v>69.121960000000001</v>
      </c>
      <c r="G255" s="3191">
        <f t="shared" si="3"/>
        <v>12.967353661785289</v>
      </c>
    </row>
    <row r="256" spans="2:7">
      <c r="B256" s="3188">
        <v>254</v>
      </c>
      <c r="C256" s="3179" t="s">
        <v>4175</v>
      </c>
      <c r="D256" s="3179" t="s">
        <v>3695</v>
      </c>
      <c r="E256" s="3179">
        <v>40.75</v>
      </c>
      <c r="F256" s="3190">
        <v>30.100692000000006</v>
      </c>
      <c r="G256" s="3191">
        <f t="shared" si="3"/>
        <v>20.237459954618036</v>
      </c>
    </row>
    <row r="257" spans="2:7">
      <c r="B257" s="3188">
        <v>255</v>
      </c>
      <c r="C257" s="3179" t="s">
        <v>4176</v>
      </c>
      <c r="D257" s="3179" t="s">
        <v>3695</v>
      </c>
      <c r="E257" s="3179">
        <v>38.08</v>
      </c>
      <c r="F257" s="3190">
        <v>52.514892999999979</v>
      </c>
      <c r="G257" s="3191">
        <f t="shared" si="3"/>
        <v>37.782673103487959</v>
      </c>
    </row>
    <row r="258" spans="2:7">
      <c r="B258" s="3188">
        <v>256</v>
      </c>
      <c r="C258" s="3179" t="s">
        <v>4177</v>
      </c>
      <c r="D258" s="3179" t="s">
        <v>3875</v>
      </c>
      <c r="E258" s="3179">
        <v>12</v>
      </c>
      <c r="F258" s="3190">
        <v>1.8891880000000001</v>
      </c>
      <c r="G258" s="3191">
        <f t="shared" si="3"/>
        <v>4.3132146118721462</v>
      </c>
    </row>
    <row r="259" spans="2:7">
      <c r="B259" s="3188">
        <v>257</v>
      </c>
      <c r="C259" s="3179" t="s">
        <v>4178</v>
      </c>
      <c r="D259" s="3179" t="s">
        <v>3695</v>
      </c>
      <c r="E259" s="3179">
        <v>102.98</v>
      </c>
      <c r="F259" s="3190">
        <v>14.064929000000001</v>
      </c>
      <c r="G259" s="3191">
        <f t="shared" si="3"/>
        <v>3.7418966842876795</v>
      </c>
    </row>
    <row r="260" spans="2:7">
      <c r="B260" s="3188">
        <v>258</v>
      </c>
      <c r="C260" s="3179" t="s">
        <v>4179</v>
      </c>
      <c r="D260" s="3179" t="s">
        <v>3695</v>
      </c>
      <c r="E260" s="3179">
        <v>119.87</v>
      </c>
      <c r="F260" s="3190">
        <v>14.600393000000004</v>
      </c>
      <c r="G260" s="3191">
        <f t="shared" ref="G260:G323" si="4">F260*10000/E260/365</f>
        <v>3.33703818406013</v>
      </c>
    </row>
    <row r="261" spans="2:7">
      <c r="B261" s="3188">
        <v>259</v>
      </c>
      <c r="C261" s="3179" t="s">
        <v>4180</v>
      </c>
      <c r="D261" s="3179" t="s">
        <v>3695</v>
      </c>
      <c r="E261" s="3179">
        <v>81.540000000000006</v>
      </c>
      <c r="F261" s="3190">
        <v>11.026281000000001</v>
      </c>
      <c r="G261" s="3191">
        <f t="shared" si="4"/>
        <v>3.7048061124719025</v>
      </c>
    </row>
    <row r="262" spans="2:7">
      <c r="B262" s="3188">
        <v>260</v>
      </c>
      <c r="C262" s="3179" t="s">
        <v>4181</v>
      </c>
      <c r="D262" s="3179" t="s">
        <v>3695</v>
      </c>
      <c r="E262" s="3179">
        <v>78.72</v>
      </c>
      <c r="F262" s="3190">
        <v>47.095577999999989</v>
      </c>
      <c r="G262" s="3191">
        <f t="shared" si="4"/>
        <v>16.390876628800534</v>
      </c>
    </row>
    <row r="263" spans="2:7">
      <c r="B263" s="3188">
        <v>261</v>
      </c>
      <c r="C263" s="3179" t="s">
        <v>4182</v>
      </c>
      <c r="D263" s="3179" t="s">
        <v>3695</v>
      </c>
      <c r="E263" s="3179">
        <v>30</v>
      </c>
      <c r="F263" s="3190">
        <v>33.057586000000001</v>
      </c>
      <c r="G263" s="3191">
        <f t="shared" si="4"/>
        <v>30.189576255707763</v>
      </c>
    </row>
    <row r="264" spans="2:7">
      <c r="B264" s="3188">
        <v>262</v>
      </c>
      <c r="C264" s="3179" t="s">
        <v>4183</v>
      </c>
      <c r="D264" s="3179" t="s">
        <v>3695</v>
      </c>
      <c r="E264" s="3179">
        <v>20</v>
      </c>
      <c r="F264" s="3190">
        <v>8.7251619999999992</v>
      </c>
      <c r="G264" s="3191">
        <f t="shared" si="4"/>
        <v>11.952276712328768</v>
      </c>
    </row>
    <row r="265" spans="2:7">
      <c r="B265" s="3188">
        <v>263</v>
      </c>
      <c r="C265" s="3179" t="s">
        <v>4184</v>
      </c>
      <c r="D265" s="3179" t="s">
        <v>3695</v>
      </c>
      <c r="E265" s="3179">
        <v>15</v>
      </c>
      <c r="F265" s="3190">
        <v>6.24</v>
      </c>
      <c r="G265" s="3191">
        <f t="shared" si="4"/>
        <v>11.397260273972602</v>
      </c>
    </row>
    <row r="266" spans="2:7">
      <c r="B266" s="3188">
        <v>264</v>
      </c>
      <c r="C266" s="3179" t="s">
        <v>4185</v>
      </c>
      <c r="D266" s="3179" t="s">
        <v>3695</v>
      </c>
      <c r="E266" s="3179">
        <v>498.22</v>
      </c>
      <c r="F266" s="3190">
        <v>185.20966699999994</v>
      </c>
      <c r="G266" s="3191">
        <f t="shared" si="4"/>
        <v>10.184732551994687</v>
      </c>
    </row>
    <row r="267" spans="2:7">
      <c r="B267" s="3188">
        <v>265</v>
      </c>
      <c r="C267" s="3179" t="s">
        <v>4186</v>
      </c>
      <c r="D267" s="3179" t="s">
        <v>3695</v>
      </c>
      <c r="E267" s="3179">
        <v>186.25</v>
      </c>
      <c r="F267" s="3190">
        <v>52.101804000000001</v>
      </c>
      <c r="G267" s="3191">
        <f t="shared" si="4"/>
        <v>7.664143274800038</v>
      </c>
    </row>
    <row r="268" spans="2:7">
      <c r="B268" s="3188">
        <v>266</v>
      </c>
      <c r="C268" s="3179" t="s">
        <v>4187</v>
      </c>
      <c r="D268" s="3179" t="s">
        <v>3695</v>
      </c>
      <c r="E268" s="3179">
        <v>81.93</v>
      </c>
      <c r="F268" s="3190">
        <v>55.628957999999983</v>
      </c>
      <c r="G268" s="3191">
        <f t="shared" si="4"/>
        <v>18.602234115658366</v>
      </c>
    </row>
    <row r="269" spans="2:7">
      <c r="B269" s="3188">
        <v>267</v>
      </c>
      <c r="C269" s="3179" t="s">
        <v>4188</v>
      </c>
      <c r="D269" s="3179" t="s">
        <v>3695</v>
      </c>
      <c r="E269" s="3179">
        <v>390.03</v>
      </c>
      <c r="F269" s="3190">
        <v>107.12018399999998</v>
      </c>
      <c r="G269" s="3191">
        <f t="shared" si="4"/>
        <v>7.5245482697326764</v>
      </c>
    </row>
    <row r="270" spans="2:7">
      <c r="B270" s="3188">
        <v>268</v>
      </c>
      <c r="C270" s="3179" t="s">
        <v>4189</v>
      </c>
      <c r="D270" s="3179" t="s">
        <v>3695</v>
      </c>
      <c r="E270" s="3179">
        <v>30.79</v>
      </c>
      <c r="F270" s="3190">
        <v>36.396774000000001</v>
      </c>
      <c r="G270" s="3191">
        <f t="shared" si="4"/>
        <v>32.386225735984375</v>
      </c>
    </row>
    <row r="271" spans="2:7">
      <c r="B271" s="3188">
        <v>269</v>
      </c>
      <c r="C271" s="3179" t="s">
        <v>4190</v>
      </c>
      <c r="D271" s="3179" t="s">
        <v>3695</v>
      </c>
      <c r="E271" s="3179">
        <v>87.67</v>
      </c>
      <c r="F271" s="3190">
        <v>59.260268000000003</v>
      </c>
      <c r="G271" s="3191">
        <f t="shared" si="4"/>
        <v>18.519094174761836</v>
      </c>
    </row>
    <row r="272" spans="2:7">
      <c r="B272" s="3188">
        <v>270</v>
      </c>
      <c r="C272" s="3179" t="s">
        <v>4191</v>
      </c>
      <c r="D272" s="3179" t="s">
        <v>3695</v>
      </c>
      <c r="E272" s="3179">
        <v>86.17</v>
      </c>
      <c r="F272" s="3190">
        <v>43.179787000000012</v>
      </c>
      <c r="G272" s="3191">
        <f t="shared" si="4"/>
        <v>13.728767123287673</v>
      </c>
    </row>
    <row r="273" spans="2:7">
      <c r="B273" s="3188">
        <v>271</v>
      </c>
      <c r="C273" s="3179" t="s">
        <v>4192</v>
      </c>
      <c r="D273" s="3179" t="s">
        <v>3695</v>
      </c>
      <c r="E273" s="3179">
        <v>31.46</v>
      </c>
      <c r="F273" s="3190">
        <v>15.072088000000001</v>
      </c>
      <c r="G273" s="3191">
        <f t="shared" si="4"/>
        <v>13.125680794921145</v>
      </c>
    </row>
    <row r="274" spans="2:7">
      <c r="B274" s="3188">
        <v>272</v>
      </c>
      <c r="C274" s="3179" t="s">
        <v>4193</v>
      </c>
      <c r="D274" s="3179" t="s">
        <v>3695</v>
      </c>
      <c r="E274" s="3179">
        <v>8</v>
      </c>
      <c r="F274" s="3190">
        <v>9.4799999999999986</v>
      </c>
      <c r="G274" s="3191">
        <f t="shared" si="4"/>
        <v>32.465753424657528</v>
      </c>
    </row>
    <row r="275" spans="2:7">
      <c r="B275" s="3188">
        <v>273</v>
      </c>
      <c r="C275" s="3192" t="s">
        <v>4194</v>
      </c>
      <c r="D275" s="3179" t="s">
        <v>3695</v>
      </c>
      <c r="E275" s="3179">
        <v>127.01</v>
      </c>
      <c r="F275" s="3190">
        <v>89.482014000000035</v>
      </c>
      <c r="G275" s="3191">
        <f t="shared" si="4"/>
        <v>19.302118159178502</v>
      </c>
    </row>
    <row r="276" spans="2:7">
      <c r="B276" s="3188">
        <v>274</v>
      </c>
      <c r="C276" s="3179" t="s">
        <v>4195</v>
      </c>
      <c r="D276" s="3179" t="s">
        <v>3695</v>
      </c>
      <c r="E276" s="3179">
        <v>183.36</v>
      </c>
      <c r="F276" s="3190">
        <v>40.416773999999997</v>
      </c>
      <c r="G276" s="3191">
        <f t="shared" si="4"/>
        <v>6.0389882019651431</v>
      </c>
    </row>
    <row r="277" spans="2:7">
      <c r="B277" s="3188">
        <v>275</v>
      </c>
      <c r="C277" s="3179" t="s">
        <v>4196</v>
      </c>
      <c r="D277" s="3179" t="s">
        <v>3695</v>
      </c>
      <c r="E277" s="3179">
        <v>187.62</v>
      </c>
      <c r="F277" s="3190">
        <v>113.73226000000001</v>
      </c>
      <c r="G277" s="3191">
        <f t="shared" si="4"/>
        <v>16.607783438690564</v>
      </c>
    </row>
    <row r="278" spans="2:7">
      <c r="B278" s="3188">
        <v>276</v>
      </c>
      <c r="C278" s="3179" t="s">
        <v>4197</v>
      </c>
      <c r="D278" s="3179" t="s">
        <v>3695</v>
      </c>
      <c r="E278" s="3179">
        <v>120.81</v>
      </c>
      <c r="F278" s="3190">
        <v>63.585867000000015</v>
      </c>
      <c r="G278" s="3191">
        <f t="shared" si="4"/>
        <v>14.419986325181737</v>
      </c>
    </row>
    <row r="279" spans="2:7">
      <c r="B279" s="3188">
        <v>277</v>
      </c>
      <c r="C279" s="3179" t="s">
        <v>4198</v>
      </c>
      <c r="D279" s="3179" t="s">
        <v>3695</v>
      </c>
      <c r="E279" s="3179">
        <v>55.22</v>
      </c>
      <c r="F279" s="3190">
        <v>34.376730999999992</v>
      </c>
      <c r="G279" s="3191">
        <f t="shared" si="4"/>
        <v>17.055926232802285</v>
      </c>
    </row>
    <row r="280" spans="2:7">
      <c r="B280" s="3188">
        <v>278</v>
      </c>
      <c r="C280" s="3179" t="s">
        <v>4199</v>
      </c>
      <c r="D280" s="3179" t="s">
        <v>3695</v>
      </c>
      <c r="E280" s="3179">
        <v>24.49</v>
      </c>
      <c r="F280" s="3190">
        <v>11.576688000000001</v>
      </c>
      <c r="G280" s="3191">
        <f t="shared" si="4"/>
        <v>12.950981390223577</v>
      </c>
    </row>
    <row r="281" spans="2:7">
      <c r="B281" s="3188">
        <v>279</v>
      </c>
      <c r="C281" s="3179" t="s">
        <v>4200</v>
      </c>
      <c r="D281" s="3179" t="s">
        <v>3695</v>
      </c>
      <c r="E281" s="3179">
        <v>96.24</v>
      </c>
      <c r="F281" s="3190">
        <v>66.99326600000002</v>
      </c>
      <c r="G281" s="3191">
        <f t="shared" si="4"/>
        <v>19.071404251927266</v>
      </c>
    </row>
    <row r="282" spans="2:7">
      <c r="B282" s="3188">
        <v>280</v>
      </c>
      <c r="C282" s="3179" t="s">
        <v>4201</v>
      </c>
      <c r="D282" s="3179" t="s">
        <v>3695</v>
      </c>
      <c r="E282" s="3179">
        <v>161.56</v>
      </c>
      <c r="F282" s="3190">
        <v>46.602818999999997</v>
      </c>
      <c r="G282" s="3191">
        <f t="shared" si="4"/>
        <v>7.902881664049489</v>
      </c>
    </row>
    <row r="283" spans="2:7">
      <c r="B283" s="3188">
        <v>281</v>
      </c>
      <c r="C283" s="3179" t="s">
        <v>4202</v>
      </c>
      <c r="D283" s="3179" t="s">
        <v>3695</v>
      </c>
      <c r="E283" s="3179">
        <v>41.56</v>
      </c>
      <c r="F283" s="3190">
        <v>30.622420000000005</v>
      </c>
      <c r="G283" s="3191">
        <f t="shared" si="4"/>
        <v>20.186968502379795</v>
      </c>
    </row>
    <row r="284" spans="2:7">
      <c r="B284" s="3188">
        <v>282</v>
      </c>
      <c r="C284" s="3179" t="s">
        <v>4203</v>
      </c>
      <c r="D284" s="3179" t="s">
        <v>3695</v>
      </c>
      <c r="E284" s="3179">
        <v>25</v>
      </c>
      <c r="F284" s="3190">
        <v>12.360848000000001</v>
      </c>
      <c r="G284" s="3191">
        <f t="shared" si="4"/>
        <v>13.546134794520549</v>
      </c>
    </row>
    <row r="285" spans="2:7">
      <c r="B285" s="3188">
        <v>283</v>
      </c>
      <c r="C285" s="3179" t="s">
        <v>4204</v>
      </c>
      <c r="D285" s="3179" t="s">
        <v>3695</v>
      </c>
      <c r="E285" s="3179">
        <v>223.17</v>
      </c>
      <c r="F285" s="3190">
        <v>117.94156000000001</v>
      </c>
      <c r="G285" s="3191">
        <f t="shared" si="4"/>
        <v>14.478987392742557</v>
      </c>
    </row>
    <row r="286" spans="2:7">
      <c r="B286" s="3188">
        <v>284</v>
      </c>
      <c r="C286" s="3179" t="s">
        <v>4205</v>
      </c>
      <c r="D286" s="3179" t="s">
        <v>3695</v>
      </c>
      <c r="E286" s="3179">
        <v>85.52</v>
      </c>
      <c r="F286" s="3190">
        <v>24.683916</v>
      </c>
      <c r="G286" s="3191">
        <f t="shared" si="4"/>
        <v>7.9077604213385957</v>
      </c>
    </row>
    <row r="287" spans="2:7">
      <c r="B287" s="3188">
        <v>285</v>
      </c>
      <c r="C287" s="3179" t="s">
        <v>4206</v>
      </c>
      <c r="D287" s="3179" t="s">
        <v>3695</v>
      </c>
      <c r="E287" s="3179">
        <v>122.48</v>
      </c>
      <c r="F287" s="3190">
        <v>122.82117700000001</v>
      </c>
      <c r="G287" s="3191">
        <f t="shared" si="4"/>
        <v>27.473577346706872</v>
      </c>
    </row>
    <row r="288" spans="2:7">
      <c r="B288" s="3188">
        <v>286</v>
      </c>
      <c r="C288" s="3179" t="s">
        <v>4207</v>
      </c>
      <c r="D288" s="3179" t="s">
        <v>3695</v>
      </c>
      <c r="E288" s="3179">
        <v>82.21</v>
      </c>
      <c r="F288" s="3190">
        <v>34.722349999999999</v>
      </c>
      <c r="G288" s="3191">
        <f t="shared" si="4"/>
        <v>11.571551639386604</v>
      </c>
    </row>
    <row r="289" spans="2:7">
      <c r="B289" s="3188">
        <v>287</v>
      </c>
      <c r="C289" s="3179" t="s">
        <v>4208</v>
      </c>
      <c r="D289" s="3179" t="s">
        <v>3695</v>
      </c>
      <c r="E289" s="3179">
        <v>105.68</v>
      </c>
      <c r="F289" s="3190">
        <v>31.578560000000003</v>
      </c>
      <c r="G289" s="3191">
        <f t="shared" si="4"/>
        <v>8.1866580942208582</v>
      </c>
    </row>
    <row r="290" spans="2:7">
      <c r="B290" s="3188">
        <v>288</v>
      </c>
      <c r="C290" s="3179" t="s">
        <v>4209</v>
      </c>
      <c r="D290" s="3179" t="s">
        <v>3695</v>
      </c>
      <c r="E290" s="3179">
        <v>66.97</v>
      </c>
      <c r="F290" s="3190">
        <v>25.385993999999993</v>
      </c>
      <c r="G290" s="3191">
        <f t="shared" si="4"/>
        <v>10.385346945371163</v>
      </c>
    </row>
    <row r="291" spans="2:7">
      <c r="B291" s="3188">
        <v>289</v>
      </c>
      <c r="C291" s="3179" t="s">
        <v>4210</v>
      </c>
      <c r="D291" s="3179" t="s">
        <v>3695</v>
      </c>
      <c r="E291" s="3179">
        <v>130.22999999999999</v>
      </c>
      <c r="F291" s="3190">
        <v>34.683661999999991</v>
      </c>
      <c r="G291" s="3191">
        <f t="shared" si="4"/>
        <v>7.2966084240842592</v>
      </c>
    </row>
    <row r="292" spans="2:7">
      <c r="B292" s="3188">
        <v>290</v>
      </c>
      <c r="C292" s="3179" t="s">
        <v>4211</v>
      </c>
      <c r="D292" s="3179" t="s">
        <v>3695</v>
      </c>
      <c r="E292" s="3179">
        <v>224.33</v>
      </c>
      <c r="F292" s="3190">
        <v>122.172105</v>
      </c>
      <c r="G292" s="3191">
        <f t="shared" si="4"/>
        <v>14.920790616075021</v>
      </c>
    </row>
    <row r="293" spans="2:7">
      <c r="B293" s="3188">
        <v>291</v>
      </c>
      <c r="C293" s="3179" t="s">
        <v>4212</v>
      </c>
      <c r="D293" s="3179" t="s">
        <v>3695</v>
      </c>
      <c r="E293" s="3179">
        <v>202.8</v>
      </c>
      <c r="F293" s="3190">
        <v>50.757986000000002</v>
      </c>
      <c r="G293" s="3191">
        <f t="shared" si="4"/>
        <v>6.8571486855259254</v>
      </c>
    </row>
    <row r="294" spans="2:7">
      <c r="B294" s="3188">
        <v>292</v>
      </c>
      <c r="C294" s="3179" t="s">
        <v>4213</v>
      </c>
      <c r="D294" s="3179" t="s">
        <v>3695</v>
      </c>
      <c r="E294" s="3179">
        <v>58.99</v>
      </c>
      <c r="F294" s="3190">
        <v>55.639690000000016</v>
      </c>
      <c r="G294" s="3191">
        <f t="shared" si="4"/>
        <v>25.841245439788963</v>
      </c>
    </row>
    <row r="295" spans="2:7">
      <c r="B295" s="3188">
        <v>293</v>
      </c>
      <c r="C295" s="3179" t="s">
        <v>4214</v>
      </c>
      <c r="D295" s="3179" t="s">
        <v>3695</v>
      </c>
      <c r="E295" s="3179">
        <v>31.8</v>
      </c>
      <c r="F295" s="3190">
        <v>3.3185530000000001</v>
      </c>
      <c r="G295" s="3191">
        <f t="shared" si="4"/>
        <v>2.8590962350305849</v>
      </c>
    </row>
    <row r="296" spans="2:7">
      <c r="B296" s="3188">
        <v>294</v>
      </c>
      <c r="C296" s="3179" t="s">
        <v>4215</v>
      </c>
      <c r="D296" s="3179" t="s">
        <v>3695</v>
      </c>
      <c r="E296" s="3179">
        <v>529.83000000000004</v>
      </c>
      <c r="F296" s="3190">
        <v>159.34313399999996</v>
      </c>
      <c r="G296" s="3191">
        <f t="shared" si="4"/>
        <v>8.2395585660843889</v>
      </c>
    </row>
    <row r="297" spans="2:7">
      <c r="B297" s="3188">
        <v>295</v>
      </c>
      <c r="C297" s="3179" t="s">
        <v>4216</v>
      </c>
      <c r="D297" s="3179" t="s">
        <v>3695</v>
      </c>
      <c r="E297" s="3179">
        <v>148.18</v>
      </c>
      <c r="F297" s="3190">
        <v>119.664151</v>
      </c>
      <c r="G297" s="3191">
        <f t="shared" si="4"/>
        <v>22.124914903569707</v>
      </c>
    </row>
    <row r="298" spans="2:7">
      <c r="B298" s="3188">
        <v>296</v>
      </c>
      <c r="C298" s="3179" t="s">
        <v>4217</v>
      </c>
      <c r="D298" s="3179" t="s">
        <v>3695</v>
      </c>
      <c r="E298" s="3179">
        <v>50.98</v>
      </c>
      <c r="F298" s="3190">
        <v>52.60116399999999</v>
      </c>
      <c r="G298" s="3191">
        <f t="shared" si="4"/>
        <v>28.268493150684925</v>
      </c>
    </row>
    <row r="299" spans="2:7">
      <c r="B299" s="3188">
        <v>297</v>
      </c>
      <c r="C299" s="3179" t="s">
        <v>4218</v>
      </c>
      <c r="D299" s="3179" t="s">
        <v>3695</v>
      </c>
      <c r="E299" s="3179">
        <v>80.52</v>
      </c>
      <c r="F299" s="3190">
        <v>59.06479199999999</v>
      </c>
      <c r="G299" s="3191">
        <f t="shared" si="4"/>
        <v>20.097037747790047</v>
      </c>
    </row>
    <row r="300" spans="2:7">
      <c r="B300" s="3188">
        <v>298</v>
      </c>
      <c r="C300" s="3179" t="s">
        <v>4219</v>
      </c>
      <c r="D300" s="3179" t="s">
        <v>3695</v>
      </c>
      <c r="E300" s="3179">
        <v>47.28</v>
      </c>
      <c r="F300" s="3190">
        <v>19.050119999999996</v>
      </c>
      <c r="G300" s="3191">
        <f t="shared" si="4"/>
        <v>11.038940268409704</v>
      </c>
    </row>
    <row r="301" spans="2:7">
      <c r="B301" s="3188">
        <v>299</v>
      </c>
      <c r="C301" s="3179" t="s">
        <v>4220</v>
      </c>
      <c r="D301" s="3179" t="s">
        <v>3875</v>
      </c>
      <c r="E301" s="3179">
        <v>1</v>
      </c>
      <c r="F301" s="3190">
        <v>4</v>
      </c>
      <c r="G301" s="3191">
        <f t="shared" si="4"/>
        <v>109.58904109589041</v>
      </c>
    </row>
    <row r="302" spans="2:7">
      <c r="B302" s="3188">
        <v>300</v>
      </c>
      <c r="C302" s="3179" t="s">
        <v>4221</v>
      </c>
      <c r="D302" s="3179" t="s">
        <v>3695</v>
      </c>
      <c r="E302" s="3179">
        <v>20</v>
      </c>
      <c r="F302" s="3190">
        <v>5.2151020000000008</v>
      </c>
      <c r="G302" s="3191">
        <f t="shared" si="4"/>
        <v>7.1439753424657546</v>
      </c>
    </row>
    <row r="303" spans="2:7">
      <c r="B303" s="3188">
        <v>301</v>
      </c>
      <c r="C303" s="3179" t="s">
        <v>4222</v>
      </c>
      <c r="D303" s="3179" t="s">
        <v>3695</v>
      </c>
      <c r="E303" s="3179">
        <v>148.72999999999999</v>
      </c>
      <c r="F303" s="3190">
        <v>10.334892</v>
      </c>
      <c r="G303" s="3191">
        <f t="shared" si="4"/>
        <v>1.9037700936421522</v>
      </c>
    </row>
    <row r="304" spans="2:7">
      <c r="B304" s="3188">
        <v>302</v>
      </c>
      <c r="C304" s="3179" t="s">
        <v>4223</v>
      </c>
      <c r="D304" s="3179" t="s">
        <v>3695</v>
      </c>
      <c r="E304" s="3179">
        <v>58.46</v>
      </c>
      <c r="F304" s="3190">
        <v>11.755079999999998</v>
      </c>
      <c r="G304" s="3191">
        <f t="shared" si="4"/>
        <v>5.5090144765886038</v>
      </c>
    </row>
    <row r="305" spans="2:7">
      <c r="B305" s="3188">
        <v>303</v>
      </c>
      <c r="C305" s="3179" t="s">
        <v>4224</v>
      </c>
      <c r="D305" s="3179" t="s">
        <v>3695</v>
      </c>
      <c r="E305" s="3179">
        <v>156.31</v>
      </c>
      <c r="F305" s="3190">
        <v>105.88725100000001</v>
      </c>
      <c r="G305" s="3191">
        <f t="shared" si="4"/>
        <v>18.559404870721423</v>
      </c>
    </row>
    <row r="306" spans="2:7">
      <c r="B306" s="3188">
        <v>304</v>
      </c>
      <c r="C306" s="3179" t="s">
        <v>4225</v>
      </c>
      <c r="D306" s="3179" t="s">
        <v>3695</v>
      </c>
      <c r="E306" s="3179">
        <v>25.96</v>
      </c>
      <c r="F306" s="3190">
        <v>23.66461</v>
      </c>
      <c r="G306" s="3191">
        <f t="shared" si="4"/>
        <v>24.974787344069906</v>
      </c>
    </row>
    <row r="307" spans="2:7">
      <c r="B307" s="3188">
        <v>305</v>
      </c>
      <c r="C307" s="3179" t="s">
        <v>4226</v>
      </c>
      <c r="D307" s="3179" t="s">
        <v>3695</v>
      </c>
      <c r="E307" s="3179">
        <v>20</v>
      </c>
      <c r="F307" s="3190">
        <v>3.72</v>
      </c>
      <c r="G307" s="3191">
        <f t="shared" si="4"/>
        <v>5.095890410958904</v>
      </c>
    </row>
    <row r="308" spans="2:7">
      <c r="B308" s="3188">
        <v>306</v>
      </c>
      <c r="C308" s="3179" t="s">
        <v>4227</v>
      </c>
      <c r="D308" s="3179" t="s">
        <v>3695</v>
      </c>
      <c r="E308" s="3179">
        <v>93.8</v>
      </c>
      <c r="F308" s="3190">
        <v>10.318</v>
      </c>
      <c r="G308" s="3191">
        <f t="shared" si="4"/>
        <v>3.0136986301369864</v>
      </c>
    </row>
    <row r="309" spans="2:7">
      <c r="B309" s="3188">
        <v>307</v>
      </c>
      <c r="C309" s="3179" t="s">
        <v>4228</v>
      </c>
      <c r="D309" s="3179" t="s">
        <v>3695</v>
      </c>
      <c r="E309" s="3179">
        <v>190</v>
      </c>
      <c r="F309" s="3190">
        <v>31.796328000000003</v>
      </c>
      <c r="G309" s="3191">
        <f t="shared" si="4"/>
        <v>4.5849067051189625</v>
      </c>
    </row>
    <row r="310" spans="2:7">
      <c r="B310" s="3188">
        <v>308</v>
      </c>
      <c r="C310" s="3179" t="s">
        <v>4229</v>
      </c>
      <c r="D310" s="3179" t="s">
        <v>3695</v>
      </c>
      <c r="E310" s="3179">
        <v>38.93</v>
      </c>
      <c r="F310" s="3190">
        <v>52.481328000000005</v>
      </c>
      <c r="G310" s="3191">
        <f t="shared" si="4"/>
        <v>36.934102305156081</v>
      </c>
    </row>
    <row r="311" spans="2:7">
      <c r="B311" s="3188">
        <v>309</v>
      </c>
      <c r="C311" s="3179" t="s">
        <v>4230</v>
      </c>
      <c r="D311" s="3179" t="s">
        <v>3695</v>
      </c>
      <c r="E311" s="3179">
        <v>98.95</v>
      </c>
      <c r="F311" s="3190">
        <v>6.6500249999999994</v>
      </c>
      <c r="G311" s="3191">
        <f t="shared" si="4"/>
        <v>1.8412578651179854</v>
      </c>
    </row>
    <row r="312" spans="2:7">
      <c r="B312" s="3188">
        <v>310</v>
      </c>
      <c r="C312" s="3179" t="s">
        <v>4231</v>
      </c>
      <c r="D312" s="3179" t="s">
        <v>3695</v>
      </c>
      <c r="E312" s="3179">
        <v>92.39</v>
      </c>
      <c r="F312" s="3190">
        <v>21.932744000000003</v>
      </c>
      <c r="G312" s="3191">
        <f t="shared" si="4"/>
        <v>6.5039192108497783</v>
      </c>
    </row>
    <row r="313" spans="2:7">
      <c r="B313" s="3188">
        <v>311</v>
      </c>
      <c r="C313" s="3179" t="s">
        <v>4232</v>
      </c>
      <c r="D313" s="3179" t="s">
        <v>3695</v>
      </c>
      <c r="E313" s="3179">
        <v>347.52</v>
      </c>
      <c r="F313" s="3190">
        <v>147.181916</v>
      </c>
      <c r="G313" s="3191">
        <f t="shared" si="4"/>
        <v>11.603307033477131</v>
      </c>
    </row>
    <row r="314" spans="2:7">
      <c r="B314" s="3188">
        <v>312</v>
      </c>
      <c r="C314" s="3179" t="s">
        <v>4233</v>
      </c>
      <c r="D314" s="3179" t="s">
        <v>3695</v>
      </c>
      <c r="E314" s="3179">
        <v>501.82</v>
      </c>
      <c r="F314" s="3190">
        <v>131.56111999999999</v>
      </c>
      <c r="G314" s="3191">
        <f t="shared" si="4"/>
        <v>7.1826835251192502</v>
      </c>
    </row>
    <row r="315" spans="2:7">
      <c r="B315" s="3188">
        <v>313</v>
      </c>
      <c r="C315" s="3179" t="s">
        <v>4234</v>
      </c>
      <c r="D315" s="3179" t="s">
        <v>3695</v>
      </c>
      <c r="E315" s="3179">
        <v>14.25</v>
      </c>
      <c r="F315" s="3190">
        <v>2.903092</v>
      </c>
      <c r="G315" s="3191">
        <f t="shared" si="4"/>
        <v>5.5815275174236962</v>
      </c>
    </row>
    <row r="316" spans="2:7">
      <c r="B316" s="3188">
        <v>314</v>
      </c>
      <c r="C316" s="3179" t="s">
        <v>4235</v>
      </c>
      <c r="D316" s="3179" t="s">
        <v>3695</v>
      </c>
      <c r="E316" s="3179">
        <v>32.36</v>
      </c>
      <c r="F316" s="3190">
        <v>32.016699000000003</v>
      </c>
      <c r="G316" s="3191">
        <f t="shared" si="4"/>
        <v>27.106608022757683</v>
      </c>
    </row>
    <row r="317" spans="2:7">
      <c r="B317" s="3188">
        <v>315</v>
      </c>
      <c r="C317" s="3179" t="s">
        <v>4236</v>
      </c>
      <c r="D317" s="3179" t="s">
        <v>3695</v>
      </c>
      <c r="E317" s="3179">
        <v>56.75</v>
      </c>
      <c r="F317" s="3190">
        <v>15.90625</v>
      </c>
      <c r="G317" s="3191">
        <f t="shared" si="4"/>
        <v>7.6790779071872546</v>
      </c>
    </row>
    <row r="318" spans="2:7">
      <c r="B318" s="3188">
        <v>316</v>
      </c>
      <c r="C318" s="3179" t="s">
        <v>4237</v>
      </c>
      <c r="D318" s="3179" t="s">
        <v>3695</v>
      </c>
      <c r="E318" s="3179">
        <v>26.82</v>
      </c>
      <c r="F318" s="3190">
        <v>21.398219999999998</v>
      </c>
      <c r="G318" s="3191">
        <f t="shared" si="4"/>
        <v>21.858784591339521</v>
      </c>
    </row>
    <row r="319" spans="2:7">
      <c r="B319" s="3188">
        <v>317</v>
      </c>
      <c r="C319" s="3179" t="s">
        <v>4238</v>
      </c>
      <c r="D319" s="3179" t="s">
        <v>3695</v>
      </c>
      <c r="E319" s="3179">
        <v>156.62</v>
      </c>
      <c r="F319" s="3190">
        <v>62.267451999999992</v>
      </c>
      <c r="G319" s="3191">
        <f t="shared" si="4"/>
        <v>10.892335519353182</v>
      </c>
    </row>
    <row r="320" spans="2:7">
      <c r="B320" s="3188">
        <v>318</v>
      </c>
      <c r="C320" s="3179" t="s">
        <v>4239</v>
      </c>
      <c r="D320" s="3179" t="s">
        <v>3695</v>
      </c>
      <c r="E320" s="3179">
        <v>137.21</v>
      </c>
      <c r="F320" s="3190">
        <v>64.771475000000009</v>
      </c>
      <c r="G320" s="3191">
        <f t="shared" si="4"/>
        <v>12.933175125020844</v>
      </c>
    </row>
    <row r="321" spans="2:7">
      <c r="B321" s="3188">
        <v>319</v>
      </c>
      <c r="C321" s="3179" t="s">
        <v>4240</v>
      </c>
      <c r="D321" s="3179" t="s">
        <v>3695</v>
      </c>
      <c r="E321" s="3179">
        <v>26.17</v>
      </c>
      <c r="F321" s="3190">
        <v>16.142298999999998</v>
      </c>
      <c r="G321" s="3191">
        <f t="shared" si="4"/>
        <v>16.899303290916606</v>
      </c>
    </row>
    <row r="322" spans="2:7">
      <c r="B322" s="3188">
        <v>320</v>
      </c>
      <c r="C322" s="3179" t="s">
        <v>4241</v>
      </c>
      <c r="D322" s="3179" t="s">
        <v>3695</v>
      </c>
      <c r="E322" s="3179">
        <v>109.54</v>
      </c>
      <c r="F322" s="3190">
        <v>34.831105999999998</v>
      </c>
      <c r="G322" s="3191">
        <f t="shared" si="4"/>
        <v>8.7116749745511104</v>
      </c>
    </row>
    <row r="323" spans="2:7">
      <c r="B323" s="3188">
        <v>321</v>
      </c>
      <c r="C323" s="3179" t="s">
        <v>4242</v>
      </c>
      <c r="D323" s="3179" t="s">
        <v>3695</v>
      </c>
      <c r="E323" s="3179">
        <v>20</v>
      </c>
      <c r="F323" s="3190">
        <v>22.751967999999998</v>
      </c>
      <c r="G323" s="3191">
        <f t="shared" si="4"/>
        <v>31.167079452054796</v>
      </c>
    </row>
    <row r="324" spans="2:7">
      <c r="B324" s="3188">
        <v>322</v>
      </c>
      <c r="C324" s="3179" t="s">
        <v>4243</v>
      </c>
      <c r="D324" s="3179" t="s">
        <v>3695</v>
      </c>
      <c r="E324" s="3179">
        <v>10</v>
      </c>
      <c r="F324" s="3190">
        <v>16.5</v>
      </c>
      <c r="G324" s="3191">
        <f t="shared" ref="G324:G379" si="5">F324*10000/E324/365</f>
        <v>45.205479452054796</v>
      </c>
    </row>
    <row r="325" spans="2:7">
      <c r="B325" s="3188">
        <v>323</v>
      </c>
      <c r="C325" s="3179" t="s">
        <v>4244</v>
      </c>
      <c r="D325" s="3179" t="s">
        <v>3695</v>
      </c>
      <c r="E325" s="3179">
        <v>70.81</v>
      </c>
      <c r="F325" s="3190">
        <v>44.183416999999992</v>
      </c>
      <c r="G325" s="3191">
        <f t="shared" si="5"/>
        <v>17.095107687367118</v>
      </c>
    </row>
    <row r="326" spans="2:7">
      <c r="B326" s="3188">
        <v>324</v>
      </c>
      <c r="C326" s="3179" t="s">
        <v>4245</v>
      </c>
      <c r="D326" s="3179" t="s">
        <v>3695</v>
      </c>
      <c r="E326" s="3179">
        <v>30</v>
      </c>
      <c r="F326" s="3190">
        <v>43.277563999999998</v>
      </c>
      <c r="G326" s="3191">
        <f t="shared" si="5"/>
        <v>39.522889497716889</v>
      </c>
    </row>
    <row r="327" spans="2:7">
      <c r="B327" s="3188">
        <v>325</v>
      </c>
      <c r="C327" s="3179" t="s">
        <v>4246</v>
      </c>
      <c r="D327" s="3179" t="s">
        <v>3695</v>
      </c>
      <c r="E327" s="3179">
        <v>145.02000000000001</v>
      </c>
      <c r="F327" s="3190">
        <v>56.244415000000004</v>
      </c>
      <c r="G327" s="3191">
        <f t="shared" si="5"/>
        <v>10.625726635721477</v>
      </c>
    </row>
    <row r="328" spans="2:7">
      <c r="B328" s="3188">
        <v>326</v>
      </c>
      <c r="C328" s="3179" t="s">
        <v>4247</v>
      </c>
      <c r="D328" s="3179" t="s">
        <v>3695</v>
      </c>
      <c r="E328" s="3179">
        <v>19.93</v>
      </c>
      <c r="F328" s="3190">
        <v>16.794392999999999</v>
      </c>
      <c r="G328" s="3191">
        <f t="shared" si="5"/>
        <v>23.086821684113577</v>
      </c>
    </row>
    <row r="329" spans="2:7">
      <c r="B329" s="3188">
        <v>327</v>
      </c>
      <c r="C329" s="3179" t="s">
        <v>4248</v>
      </c>
      <c r="D329" s="3179" t="s">
        <v>3695</v>
      </c>
      <c r="E329" s="3179">
        <v>27.27</v>
      </c>
      <c r="F329" s="3190">
        <v>22.102579999999996</v>
      </c>
      <c r="G329" s="3191">
        <f t="shared" si="5"/>
        <v>22.205725595390586</v>
      </c>
    </row>
    <row r="330" spans="2:7">
      <c r="B330" s="3188">
        <v>328</v>
      </c>
      <c r="C330" s="3179" t="s">
        <v>4249</v>
      </c>
      <c r="D330" s="3179" t="s">
        <v>3695</v>
      </c>
      <c r="E330" s="3179">
        <v>166.95</v>
      </c>
      <c r="F330" s="3190">
        <v>85.613564999999994</v>
      </c>
      <c r="G330" s="3191">
        <f t="shared" si="5"/>
        <v>14.049578456350231</v>
      </c>
    </row>
    <row r="331" spans="2:7">
      <c r="B331" s="3188">
        <v>329</v>
      </c>
      <c r="C331" s="3179" t="s">
        <v>4250</v>
      </c>
      <c r="D331" s="3179" t="s">
        <v>3695</v>
      </c>
      <c r="E331" s="3179">
        <v>64.400000000000006</v>
      </c>
      <c r="F331" s="3190">
        <v>30.968999999999998</v>
      </c>
      <c r="G331" s="3191">
        <f t="shared" si="5"/>
        <v>13.17493405938909</v>
      </c>
    </row>
    <row r="332" spans="2:7">
      <c r="B332" s="3188">
        <v>330</v>
      </c>
      <c r="C332" s="3179" t="s">
        <v>4251</v>
      </c>
      <c r="D332" s="3179" t="s">
        <v>3695</v>
      </c>
      <c r="E332" s="3179">
        <v>146.22999999999999</v>
      </c>
      <c r="F332" s="3190">
        <v>69.633675000000011</v>
      </c>
      <c r="G332" s="3191">
        <f t="shared" si="5"/>
        <v>13.046378429926961</v>
      </c>
    </row>
    <row r="333" spans="2:7">
      <c r="B333" s="3188">
        <v>331</v>
      </c>
      <c r="C333" s="3179" t="s">
        <v>4252</v>
      </c>
      <c r="D333" s="3179" t="s">
        <v>3695</v>
      </c>
      <c r="E333" s="3179">
        <v>89.93</v>
      </c>
      <c r="F333" s="3190">
        <v>33.933959999999992</v>
      </c>
      <c r="G333" s="3191">
        <f t="shared" si="5"/>
        <v>10.338013279735073</v>
      </c>
    </row>
    <row r="334" spans="2:7">
      <c r="B334" s="3188">
        <v>332</v>
      </c>
      <c r="C334" s="3179" t="s">
        <v>4253</v>
      </c>
      <c r="D334" s="3179" t="s">
        <v>3695</v>
      </c>
      <c r="E334" s="3179">
        <v>138.43</v>
      </c>
      <c r="F334" s="3190">
        <v>66.587476999999993</v>
      </c>
      <c r="G334" s="3191">
        <f t="shared" si="5"/>
        <v>13.178606070621715</v>
      </c>
    </row>
    <row r="335" spans="2:7">
      <c r="B335" s="3188">
        <v>333</v>
      </c>
      <c r="C335" s="3179" t="s">
        <v>4254</v>
      </c>
      <c r="D335" s="3179" t="s">
        <v>3695</v>
      </c>
      <c r="E335" s="3179">
        <v>108.59</v>
      </c>
      <c r="F335" s="3190">
        <v>47.664381999999989</v>
      </c>
      <c r="G335" s="3191">
        <f t="shared" si="5"/>
        <v>12.025725015674137</v>
      </c>
    </row>
    <row r="336" spans="2:7">
      <c r="B336" s="3188">
        <v>334</v>
      </c>
      <c r="C336" s="3179" t="s">
        <v>4255</v>
      </c>
      <c r="D336" s="3179" t="s">
        <v>3695</v>
      </c>
      <c r="E336" s="3179">
        <v>32.89</v>
      </c>
      <c r="F336" s="3190">
        <v>23.717021999999996</v>
      </c>
      <c r="G336" s="3191">
        <f t="shared" si="5"/>
        <v>19.756200202418189</v>
      </c>
    </row>
    <row r="337" spans="2:7">
      <c r="B337" s="3188">
        <v>335</v>
      </c>
      <c r="C337" s="3179" t="s">
        <v>4256</v>
      </c>
      <c r="D337" s="3179" t="s">
        <v>3695</v>
      </c>
      <c r="E337" s="3179">
        <v>118.82</v>
      </c>
      <c r="F337" s="3190">
        <v>54.186639999999997</v>
      </c>
      <c r="G337" s="3191">
        <f t="shared" si="5"/>
        <v>12.494239012388949</v>
      </c>
    </row>
    <row r="338" spans="2:7">
      <c r="B338" s="3188">
        <v>336</v>
      </c>
      <c r="C338" s="3179" t="s">
        <v>4257</v>
      </c>
      <c r="D338" s="3179" t="s">
        <v>3695</v>
      </c>
      <c r="E338" s="3179">
        <v>379.21</v>
      </c>
      <c r="F338" s="3190">
        <v>101.21457900000001</v>
      </c>
      <c r="G338" s="3191">
        <f t="shared" si="5"/>
        <v>7.3125765786333758</v>
      </c>
    </row>
    <row r="339" spans="2:7">
      <c r="B339" s="3188">
        <v>337</v>
      </c>
      <c r="C339" s="3179" t="s">
        <v>4258</v>
      </c>
      <c r="D339" s="3179" t="s">
        <v>3695</v>
      </c>
      <c r="E339" s="3179">
        <v>129.72999999999999</v>
      </c>
      <c r="F339" s="3190">
        <v>70.76934</v>
      </c>
      <c r="G339" s="3191">
        <f t="shared" si="5"/>
        <v>14.945548657960847</v>
      </c>
    </row>
    <row r="340" spans="2:7">
      <c r="B340" s="3188">
        <v>338</v>
      </c>
      <c r="C340" s="3179" t="s">
        <v>4259</v>
      </c>
      <c r="D340" s="3179" t="s">
        <v>3695</v>
      </c>
      <c r="E340" s="3179">
        <v>98.64</v>
      </c>
      <c r="F340" s="3190">
        <v>56.209866000000005</v>
      </c>
      <c r="G340" s="3191">
        <f t="shared" si="5"/>
        <v>15.612290437622907</v>
      </c>
    </row>
    <row r="341" spans="2:7">
      <c r="B341" s="3188">
        <v>339</v>
      </c>
      <c r="C341" s="3179" t="s">
        <v>4260</v>
      </c>
      <c r="D341" s="3179" t="s">
        <v>3695</v>
      </c>
      <c r="E341" s="3179">
        <v>25</v>
      </c>
      <c r="F341" s="3190">
        <v>29.270100999999997</v>
      </c>
      <c r="G341" s="3191">
        <f t="shared" si="5"/>
        <v>32.076823013698622</v>
      </c>
    </row>
    <row r="342" spans="2:7">
      <c r="B342" s="3188">
        <v>340</v>
      </c>
      <c r="C342" s="3179" t="s">
        <v>4261</v>
      </c>
      <c r="D342" s="3179" t="s">
        <v>3695</v>
      </c>
      <c r="E342" s="3179">
        <v>120.28</v>
      </c>
      <c r="F342" s="3190">
        <v>40.335496999999997</v>
      </c>
      <c r="G342" s="3191">
        <f t="shared" si="5"/>
        <v>9.1875798934905308</v>
      </c>
    </row>
    <row r="343" spans="2:7">
      <c r="B343" s="3188">
        <v>341</v>
      </c>
      <c r="C343" s="3179" t="s">
        <v>4262</v>
      </c>
      <c r="D343" s="3179" t="s">
        <v>3695</v>
      </c>
      <c r="E343" s="3179">
        <v>99.28</v>
      </c>
      <c r="F343" s="3190">
        <v>43.259864</v>
      </c>
      <c r="G343" s="3191">
        <f t="shared" si="5"/>
        <v>11.937970924905898</v>
      </c>
    </row>
    <row r="344" spans="2:7">
      <c r="B344" s="3188">
        <v>342</v>
      </c>
      <c r="C344" s="3179" t="s">
        <v>4263</v>
      </c>
      <c r="D344" s="3179" t="s">
        <v>3695</v>
      </c>
      <c r="E344" s="3179">
        <v>112.1</v>
      </c>
      <c r="F344" s="3190">
        <v>21.622700000000002</v>
      </c>
      <c r="G344" s="3191">
        <f t="shared" si="5"/>
        <v>5.2845917905979265</v>
      </c>
    </row>
    <row r="345" spans="2:7">
      <c r="B345" s="3188">
        <v>343</v>
      </c>
      <c r="C345" s="3179" t="s">
        <v>4264</v>
      </c>
      <c r="D345" s="3179" t="s">
        <v>3695</v>
      </c>
      <c r="E345" s="3179">
        <v>951.9</v>
      </c>
      <c r="F345" s="3190">
        <v>1.959057</v>
      </c>
      <c r="G345" s="3191">
        <f t="shared" si="5"/>
        <v>5.6384908625431183E-2</v>
      </c>
    </row>
    <row r="346" spans="2:7">
      <c r="B346" s="3188">
        <v>344</v>
      </c>
      <c r="C346" s="3179" t="s">
        <v>4265</v>
      </c>
      <c r="D346" s="3179" t="s">
        <v>3875</v>
      </c>
      <c r="E346" s="3179">
        <v>31.8</v>
      </c>
      <c r="F346" s="3190">
        <v>9.9194800000000001</v>
      </c>
      <c r="G346" s="3191">
        <f t="shared" si="5"/>
        <v>8.5461187214611876</v>
      </c>
    </row>
    <row r="347" spans="2:7">
      <c r="B347" s="3188">
        <v>345</v>
      </c>
      <c r="C347" s="3179" t="s">
        <v>4266</v>
      </c>
      <c r="D347" s="3179" t="s">
        <v>3695</v>
      </c>
      <c r="E347" s="3179">
        <v>15</v>
      </c>
      <c r="F347" s="3190">
        <v>1.6665000000000001</v>
      </c>
      <c r="G347" s="3191">
        <f t="shared" si="5"/>
        <v>3.043835616438356</v>
      </c>
    </row>
    <row r="348" spans="2:7">
      <c r="B348" s="3188">
        <v>346</v>
      </c>
      <c r="C348" s="3179" t="s">
        <v>4267</v>
      </c>
      <c r="D348" s="3179" t="s">
        <v>3695</v>
      </c>
      <c r="E348" s="3179">
        <v>141.47999999999999</v>
      </c>
      <c r="F348" s="3190">
        <v>45.106200000000001</v>
      </c>
      <c r="G348" s="3191">
        <f t="shared" si="5"/>
        <v>8.7347066820035568</v>
      </c>
    </row>
    <row r="349" spans="2:7">
      <c r="B349" s="3188">
        <v>347</v>
      </c>
      <c r="C349" s="3179" t="s">
        <v>4268</v>
      </c>
      <c r="D349" s="3179" t="s">
        <v>3695</v>
      </c>
      <c r="E349" s="3179">
        <v>25</v>
      </c>
      <c r="F349" s="3190">
        <v>0.3</v>
      </c>
      <c r="G349" s="3191">
        <f t="shared" si="5"/>
        <v>0.32876712328767121</v>
      </c>
    </row>
    <row r="350" spans="2:7">
      <c r="B350" s="3188">
        <v>348</v>
      </c>
      <c r="C350" s="3179" t="s">
        <v>4269</v>
      </c>
      <c r="D350" s="3179" t="s">
        <v>3695</v>
      </c>
      <c r="E350" s="3179">
        <v>38.6</v>
      </c>
      <c r="F350" s="3190">
        <v>25.034921000000001</v>
      </c>
      <c r="G350" s="3191">
        <f t="shared" si="5"/>
        <v>17.769125558946698</v>
      </c>
    </row>
    <row r="351" spans="2:7">
      <c r="B351" s="3188">
        <v>349</v>
      </c>
      <c r="C351" s="3179" t="s">
        <v>4270</v>
      </c>
      <c r="D351" s="3179" t="s">
        <v>3695</v>
      </c>
      <c r="E351" s="3179">
        <v>93.8</v>
      </c>
      <c r="F351" s="3190">
        <v>15.477</v>
      </c>
      <c r="G351" s="3191">
        <f t="shared" si="5"/>
        <v>4.5205479452054798</v>
      </c>
    </row>
    <row r="352" spans="2:7">
      <c r="B352" s="3188">
        <v>350</v>
      </c>
      <c r="C352" s="3179" t="s">
        <v>4271</v>
      </c>
      <c r="D352" s="3179" t="s">
        <v>3695</v>
      </c>
      <c r="E352" s="3179">
        <v>15.06</v>
      </c>
      <c r="F352" s="3190">
        <v>5.1881869999999992</v>
      </c>
      <c r="G352" s="3191">
        <f t="shared" si="5"/>
        <v>9.4383870909057812</v>
      </c>
    </row>
    <row r="353" spans="2:7">
      <c r="B353" s="3188">
        <v>351</v>
      </c>
      <c r="C353" s="3179" t="s">
        <v>4272</v>
      </c>
      <c r="D353" s="3179" t="s">
        <v>3695</v>
      </c>
      <c r="E353" s="3179">
        <v>951.9</v>
      </c>
      <c r="F353" s="3190">
        <v>0.90017200000000008</v>
      </c>
      <c r="G353" s="3191">
        <f t="shared" si="5"/>
        <v>2.5908442667656757E-2</v>
      </c>
    </row>
    <row r="354" spans="2:7">
      <c r="B354" s="3188">
        <v>352</v>
      </c>
      <c r="C354" s="3179" t="s">
        <v>4273</v>
      </c>
      <c r="D354" s="3179" t="s">
        <v>3695</v>
      </c>
      <c r="E354" s="3179">
        <v>951.9</v>
      </c>
      <c r="F354" s="3190">
        <v>75.845939999999999</v>
      </c>
      <c r="G354" s="3191">
        <f t="shared" si="5"/>
        <v>2.1829719076626848</v>
      </c>
    </row>
    <row r="355" spans="2:7">
      <c r="B355" s="3188">
        <v>353</v>
      </c>
      <c r="C355" s="3179" t="s">
        <v>4274</v>
      </c>
      <c r="D355" s="3179" t="s">
        <v>3695</v>
      </c>
      <c r="E355" s="3179">
        <v>15</v>
      </c>
      <c r="F355" s="3190">
        <v>3.5550000000000002</v>
      </c>
      <c r="G355" s="3191">
        <f t="shared" si="5"/>
        <v>6.493150684931507</v>
      </c>
    </row>
    <row r="356" spans="2:7">
      <c r="B356" s="3188">
        <v>354</v>
      </c>
      <c r="C356" s="3179" t="s">
        <v>4275</v>
      </c>
      <c r="D356" s="3179" t="s">
        <v>3695</v>
      </c>
      <c r="E356" s="3179">
        <v>24.35</v>
      </c>
      <c r="F356" s="3190">
        <v>3.5867930000000001</v>
      </c>
      <c r="G356" s="3191">
        <f t="shared" si="5"/>
        <v>4.0356591938342099</v>
      </c>
    </row>
    <row r="357" spans="2:7">
      <c r="B357" s="3188">
        <v>355</v>
      </c>
      <c r="C357" s="3179" t="s">
        <v>4276</v>
      </c>
      <c r="D357" s="3179" t="s">
        <v>3695</v>
      </c>
      <c r="E357" s="3179">
        <v>27.04</v>
      </c>
      <c r="F357" s="3190">
        <v>18.791999999999998</v>
      </c>
      <c r="G357" s="3191">
        <f t="shared" si="5"/>
        <v>19.040285320580363</v>
      </c>
    </row>
    <row r="358" spans="2:7">
      <c r="B358" s="3188">
        <v>356</v>
      </c>
      <c r="C358" s="3179" t="s">
        <v>4277</v>
      </c>
      <c r="D358" s="3179" t="s">
        <v>3695</v>
      </c>
      <c r="E358" s="3179">
        <v>152.75</v>
      </c>
      <c r="F358" s="3190">
        <v>31.97925</v>
      </c>
      <c r="G358" s="3191">
        <f t="shared" si="5"/>
        <v>5.7358025244938675</v>
      </c>
    </row>
    <row r="359" spans="2:7">
      <c r="B359" s="3188">
        <v>357</v>
      </c>
      <c r="C359" s="3179" t="s">
        <v>4278</v>
      </c>
      <c r="D359" s="3179" t="s">
        <v>3695</v>
      </c>
      <c r="E359" s="3179">
        <v>98.95</v>
      </c>
      <c r="F359" s="3190">
        <v>6.1294199999999996</v>
      </c>
      <c r="G359" s="3191">
        <f t="shared" si="5"/>
        <v>1.6971128354572322</v>
      </c>
    </row>
    <row r="360" spans="2:7">
      <c r="B360" s="3188">
        <v>358</v>
      </c>
      <c r="C360" s="3179" t="s">
        <v>4279</v>
      </c>
      <c r="D360" s="3179" t="s">
        <v>3695</v>
      </c>
      <c r="E360" s="3179">
        <v>15</v>
      </c>
      <c r="F360" s="3190">
        <v>20.79</v>
      </c>
      <c r="G360" s="3191">
        <f t="shared" si="5"/>
        <v>37.972602739726028</v>
      </c>
    </row>
    <row r="361" spans="2:7">
      <c r="B361" s="3188">
        <v>359</v>
      </c>
      <c r="C361" s="3179" t="s">
        <v>4280</v>
      </c>
      <c r="D361" s="3179" t="s">
        <v>3695</v>
      </c>
      <c r="E361" s="3179">
        <v>169.76</v>
      </c>
      <c r="F361" s="3190">
        <v>69.251544000000024</v>
      </c>
      <c r="G361" s="3191">
        <f t="shared" si="5"/>
        <v>11.17638180574026</v>
      </c>
    </row>
    <row r="362" spans="2:7">
      <c r="B362" s="3188">
        <v>360</v>
      </c>
      <c r="C362" s="3179" t="s">
        <v>4281</v>
      </c>
      <c r="D362" s="3179" t="s">
        <v>3695</v>
      </c>
      <c r="E362" s="3179">
        <v>107.87</v>
      </c>
      <c r="F362" s="3190">
        <v>22.157841000000001</v>
      </c>
      <c r="G362" s="3191">
        <f t="shared" si="5"/>
        <v>5.6277383608630887</v>
      </c>
    </row>
    <row r="363" spans="2:7">
      <c r="B363" s="3188">
        <v>361</v>
      </c>
      <c r="C363" s="3179" t="s">
        <v>4282</v>
      </c>
      <c r="D363" s="3179" t="s">
        <v>3695</v>
      </c>
      <c r="E363" s="3179">
        <v>56.75</v>
      </c>
      <c r="F363" s="3190">
        <v>35.973943999999996</v>
      </c>
      <c r="G363" s="3191">
        <f t="shared" si="5"/>
        <v>17.367180737432861</v>
      </c>
    </row>
    <row r="364" spans="2:7">
      <c r="B364" s="3188">
        <v>362</v>
      </c>
      <c r="C364" s="3179" t="s">
        <v>4283</v>
      </c>
      <c r="D364" s="3179" t="s">
        <v>3695</v>
      </c>
      <c r="E364" s="3179">
        <v>280.93</v>
      </c>
      <c r="F364" s="3190">
        <v>63.945094999999995</v>
      </c>
      <c r="G364" s="3191">
        <f t="shared" si="5"/>
        <v>6.2361456980703522</v>
      </c>
    </row>
    <row r="365" spans="2:7">
      <c r="B365" s="3188">
        <v>363</v>
      </c>
      <c r="C365" s="3179" t="s">
        <v>4284</v>
      </c>
      <c r="D365" s="3179" t="s">
        <v>3695</v>
      </c>
      <c r="E365" s="3179">
        <v>15</v>
      </c>
      <c r="F365" s="3190">
        <v>5.9058060000000001</v>
      </c>
      <c r="G365" s="3191">
        <f t="shared" si="5"/>
        <v>10.786860273972602</v>
      </c>
    </row>
    <row r="366" spans="2:7">
      <c r="B366" s="3188">
        <v>364</v>
      </c>
      <c r="C366" s="3179" t="s">
        <v>4285</v>
      </c>
      <c r="D366" s="3179" t="s">
        <v>3695</v>
      </c>
      <c r="E366" s="3179">
        <v>58.46</v>
      </c>
      <c r="F366" s="3190">
        <v>1.828568</v>
      </c>
      <c r="G366" s="3191">
        <f t="shared" si="5"/>
        <v>0.85695780746933869</v>
      </c>
    </row>
    <row r="367" spans="2:7">
      <c r="B367" s="3188">
        <v>365</v>
      </c>
      <c r="C367" s="3179" t="s">
        <v>4286</v>
      </c>
      <c r="D367" s="3179" t="s">
        <v>3695</v>
      </c>
      <c r="E367" s="3179">
        <v>228.37</v>
      </c>
      <c r="F367" s="3190">
        <v>91.07011900000002</v>
      </c>
      <c r="G367" s="3191">
        <f t="shared" si="5"/>
        <v>10.925567077219679</v>
      </c>
    </row>
    <row r="368" spans="2:7">
      <c r="B368" s="3188">
        <v>366</v>
      </c>
      <c r="C368" s="3179" t="s">
        <v>4287</v>
      </c>
      <c r="D368" s="3179" t="s">
        <v>3875</v>
      </c>
      <c r="E368" s="3179">
        <v>1</v>
      </c>
      <c r="F368" s="3190">
        <v>2.16</v>
      </c>
      <c r="G368" s="3191">
        <f t="shared" si="5"/>
        <v>59.178082191780824</v>
      </c>
    </row>
    <row r="369" spans="2:7">
      <c r="B369" s="3188">
        <v>367</v>
      </c>
      <c r="C369" s="3179" t="s">
        <v>4288</v>
      </c>
      <c r="D369" s="3179" t="s">
        <v>3695</v>
      </c>
      <c r="E369" s="3179">
        <v>55.49</v>
      </c>
      <c r="F369" s="3190">
        <v>24.820005000000002</v>
      </c>
      <c r="G369" s="3191">
        <f t="shared" si="5"/>
        <v>12.25446273177692</v>
      </c>
    </row>
    <row r="370" spans="2:7">
      <c r="B370" s="3188">
        <v>368</v>
      </c>
      <c r="C370" s="3179" t="s">
        <v>4289</v>
      </c>
      <c r="D370" s="3179" t="s">
        <v>3695</v>
      </c>
      <c r="E370" s="3179">
        <v>108.08</v>
      </c>
      <c r="F370" s="3190">
        <v>58.514111999999997</v>
      </c>
      <c r="G370" s="3191">
        <f t="shared" si="5"/>
        <v>14.832775316102735</v>
      </c>
    </row>
    <row r="371" spans="2:7">
      <c r="B371" s="3188">
        <v>369</v>
      </c>
      <c r="C371" s="3179" t="s">
        <v>4290</v>
      </c>
      <c r="D371" s="3179" t="s">
        <v>3695</v>
      </c>
      <c r="E371" s="3179">
        <v>241.58</v>
      </c>
      <c r="F371" s="3190">
        <v>5.9303939999999997</v>
      </c>
      <c r="G371" s="3191">
        <f t="shared" si="5"/>
        <v>0.67255794331155505</v>
      </c>
    </row>
    <row r="372" spans="2:7">
      <c r="B372" s="3188">
        <v>370</v>
      </c>
      <c r="C372" s="3179" t="s">
        <v>4291</v>
      </c>
      <c r="D372" s="3179" t="s">
        <v>3695</v>
      </c>
      <c r="E372" s="3179">
        <v>40.75</v>
      </c>
      <c r="F372" s="3190">
        <v>22.054525000000002</v>
      </c>
      <c r="G372" s="3191">
        <f t="shared" si="5"/>
        <v>14.827817463652408</v>
      </c>
    </row>
    <row r="373" spans="2:7">
      <c r="B373" s="3188">
        <v>371</v>
      </c>
      <c r="C373" s="3179" t="s">
        <v>4292</v>
      </c>
      <c r="D373" s="3179" t="s">
        <v>3695</v>
      </c>
      <c r="E373" s="3179">
        <v>28.64</v>
      </c>
      <c r="F373" s="3190">
        <v>7.8036799999999999</v>
      </c>
      <c r="G373" s="3191">
        <f t="shared" si="5"/>
        <v>7.4650646667176863</v>
      </c>
    </row>
    <row r="374" spans="2:7">
      <c r="B374" s="3188">
        <v>372</v>
      </c>
      <c r="C374" s="3179" t="s">
        <v>4293</v>
      </c>
      <c r="D374" s="3179" t="s">
        <v>3695</v>
      </c>
      <c r="E374" s="3179">
        <v>15</v>
      </c>
      <c r="F374" s="3190">
        <v>11.34</v>
      </c>
      <c r="G374" s="3191">
        <f t="shared" si="5"/>
        <v>20.712328767123289</v>
      </c>
    </row>
    <row r="375" spans="2:7">
      <c r="B375" s="3188">
        <v>373</v>
      </c>
      <c r="C375" s="3179" t="s">
        <v>4294</v>
      </c>
      <c r="D375" s="3179" t="s">
        <v>3695</v>
      </c>
      <c r="E375" s="3179">
        <v>138.34</v>
      </c>
      <c r="F375" s="3190">
        <v>25.130075000000001</v>
      </c>
      <c r="G375" s="3191">
        <f t="shared" si="5"/>
        <v>4.9768339271320814</v>
      </c>
    </row>
    <row r="376" spans="2:7">
      <c r="B376" s="3188">
        <v>374</v>
      </c>
      <c r="C376" s="3179" t="s">
        <v>4295</v>
      </c>
      <c r="D376" s="3179" t="s">
        <v>3695</v>
      </c>
      <c r="E376" s="3179">
        <v>8</v>
      </c>
      <c r="F376" s="3190">
        <v>0.80400000000000005</v>
      </c>
      <c r="G376" s="3191">
        <f t="shared" si="5"/>
        <v>2.7534246575342469</v>
      </c>
    </row>
    <row r="377" spans="2:7">
      <c r="B377" s="3188">
        <v>375</v>
      </c>
      <c r="C377" s="3179" t="s">
        <v>4296</v>
      </c>
      <c r="D377" s="3179" t="s">
        <v>3695</v>
      </c>
      <c r="E377" s="3179">
        <v>20</v>
      </c>
      <c r="F377" s="3190">
        <v>13.304</v>
      </c>
      <c r="G377" s="3191">
        <f t="shared" si="5"/>
        <v>18.224657534246575</v>
      </c>
    </row>
    <row r="378" spans="2:7">
      <c r="B378" s="3188">
        <v>376</v>
      </c>
      <c r="C378" s="3179" t="s">
        <v>4297</v>
      </c>
      <c r="D378" s="3179" t="s">
        <v>3695</v>
      </c>
      <c r="E378" s="3179">
        <v>271.37</v>
      </c>
      <c r="F378" s="3190">
        <v>35.986319999999999</v>
      </c>
      <c r="G378" s="3191">
        <f t="shared" si="5"/>
        <v>3.6331450615118315</v>
      </c>
    </row>
    <row r="379" spans="2:7">
      <c r="E379" s="3179">
        <f>SUM(E3:E378)</f>
        <v>49246.630000000012</v>
      </c>
      <c r="F379" s="3193">
        <f>SUM(F3:F378)</f>
        <v>13844.516566999988</v>
      </c>
      <c r="G379" s="3191">
        <f t="shared" si="5"/>
        <v>7.7020868992136968</v>
      </c>
    </row>
    <row r="381" spans="2:7">
      <c r="D381" s="3194" t="s">
        <v>4298</v>
      </c>
      <c r="E381" s="3194"/>
      <c r="F381" s="3195">
        <v>1745.7434437699999</v>
      </c>
    </row>
    <row r="382" spans="2:7">
      <c r="D382" s="3194" t="s">
        <v>4299</v>
      </c>
      <c r="E382" s="3194"/>
      <c r="F382" s="3195">
        <v>567.75236000000007</v>
      </c>
    </row>
    <row r="383" spans="2:7">
      <c r="D383" s="3194" t="s">
        <v>4300</v>
      </c>
      <c r="E383" s="3194"/>
      <c r="F383" s="3195">
        <v>172.06623410999998</v>
      </c>
    </row>
    <row r="885" spans="4:9">
      <c r="D885" s="3196"/>
      <c r="E885" s="3196"/>
      <c r="F885" s="3197"/>
    </row>
    <row r="886" spans="4:9">
      <c r="D886" s="3196"/>
      <c r="E886" s="3196"/>
      <c r="F886" s="3197"/>
    </row>
    <row r="887" spans="4:9">
      <c r="D887" s="3196"/>
      <c r="E887" s="3196"/>
      <c r="F887" s="3197"/>
      <c r="I887" s="3191"/>
    </row>
    <row r="888" spans="4:9">
      <c r="D888" s="3196"/>
      <c r="E888" s="3196"/>
      <c r="F888" s="3198"/>
    </row>
    <row r="889" spans="4:9">
      <c r="D889" s="3199"/>
      <c r="E889" s="3199"/>
      <c r="F889" s="3200"/>
    </row>
    <row r="890" spans="4:9">
      <c r="F890" s="3179"/>
    </row>
    <row r="891" spans="4:9">
      <c r="F891" s="3179"/>
    </row>
    <row r="892" spans="4:9">
      <c r="F892" s="3179"/>
    </row>
  </sheetData>
  <mergeCells count="1">
    <mergeCell ref="B1:F1"/>
  </mergeCells>
  <phoneticPr fontId="134" type="noConversion"/>
  <conditionalFormatting sqref="C2:C1048576">
    <cfRule type="duplicateValues" dxfId="15" priority="1"/>
  </conditionalFormatting>
  <pageMargins left="0.75" right="0.75" top="1" bottom="1" header="0.5" footer="0.5"/>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4"/>
      <c r="M2" s="2505"/>
      <c r="N2" s="2505"/>
      <c r="O2" s="2505"/>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4"/>
      <c r="M3" s="2505"/>
      <c r="N3" s="2505"/>
      <c r="O3" s="2505"/>
      <c r="P3" s="341"/>
      <c r="Q3" s="341"/>
      <c r="R3" s="341"/>
      <c r="S3" s="341"/>
      <c r="T3" s="341"/>
      <c r="U3" s="341"/>
      <c r="V3" s="341"/>
      <c r="W3" s="341"/>
      <c r="X3" s="341"/>
      <c r="Y3" s="341"/>
      <c r="Z3" s="341"/>
      <c r="AA3" s="341"/>
      <c r="AB3" s="676"/>
      <c r="AC3" s="663"/>
    </row>
    <row r="4" spans="1:29" ht="15">
      <c r="A4" s="345" t="s">
        <v>1769</v>
      </c>
      <c r="B4" s="346"/>
      <c r="C4" s="3459" t="s">
        <v>1770</v>
      </c>
      <c r="D4" s="3460"/>
      <c r="E4" s="3461" t="s">
        <v>1771</v>
      </c>
      <c r="F4" s="3462"/>
      <c r="G4" s="3459" t="s">
        <v>1772</v>
      </c>
      <c r="H4" s="3460"/>
      <c r="I4" s="3459" t="s">
        <v>1773</v>
      </c>
      <c r="J4" s="3460"/>
      <c r="K4" s="537" t="s">
        <v>1774</v>
      </c>
      <c r="L4" s="2487"/>
      <c r="M4" s="2488"/>
      <c r="N4" s="2488"/>
      <c r="O4" s="2488"/>
      <c r="P4" s="3463" t="s">
        <v>1775</v>
      </c>
      <c r="Q4" s="3464"/>
      <c r="R4" s="3469" t="s">
        <v>1771</v>
      </c>
      <c r="S4" s="3470"/>
      <c r="T4" s="3469" t="s">
        <v>1772</v>
      </c>
      <c r="U4" s="3470"/>
      <c r="V4" s="3445" t="s">
        <v>1773</v>
      </c>
      <c r="W4" s="3445"/>
      <c r="X4" s="1265"/>
      <c r="Y4" s="3469" t="s">
        <v>1775</v>
      </c>
      <c r="Z4" s="3470"/>
      <c r="AA4" s="3456" t="s">
        <v>1771</v>
      </c>
      <c r="AB4" s="3457" t="s">
        <v>1772</v>
      </c>
      <c r="AC4" s="3456" t="s">
        <v>1773</v>
      </c>
    </row>
    <row r="5" spans="1:29" ht="15">
      <c r="A5" s="348"/>
      <c r="B5" s="349"/>
      <c r="C5" s="3477" t="s">
        <v>1673</v>
      </c>
      <c r="D5" s="3478"/>
      <c r="E5" s="3484" t="s">
        <v>1674</v>
      </c>
      <c r="F5" s="3485"/>
      <c r="G5" s="3477" t="s">
        <v>1675</v>
      </c>
      <c r="H5" s="3478"/>
      <c r="I5" s="3477" t="s">
        <v>1676</v>
      </c>
      <c r="J5" s="3478"/>
      <c r="K5" s="537"/>
      <c r="L5" s="2487"/>
      <c r="M5" s="2488"/>
      <c r="N5" s="2488"/>
      <c r="O5" s="2488"/>
      <c r="P5" s="3465"/>
      <c r="Q5" s="3466"/>
      <c r="R5" s="3471"/>
      <c r="S5" s="3472"/>
      <c r="T5" s="3471"/>
      <c r="U5" s="3472"/>
      <c r="V5" s="3445"/>
      <c r="W5" s="3445"/>
      <c r="X5" s="1265"/>
      <c r="Y5" s="3471"/>
      <c r="Z5" s="3472"/>
      <c r="AA5" s="3457"/>
      <c r="AB5" s="3457"/>
      <c r="AC5" s="3457"/>
    </row>
    <row r="6" spans="1:29" ht="15.75" thickBot="1">
      <c r="A6" s="350"/>
      <c r="B6" s="351"/>
      <c r="C6" s="3511" t="s">
        <v>1919</v>
      </c>
      <c r="D6" s="3512"/>
      <c r="E6" s="3513" t="s">
        <v>1919</v>
      </c>
      <c r="F6" s="3514"/>
      <c r="G6" s="3511" t="s">
        <v>1919</v>
      </c>
      <c r="H6" s="3512"/>
      <c r="I6" s="3511" t="s">
        <v>1919</v>
      </c>
      <c r="J6" s="3512"/>
      <c r="K6" s="537" t="s">
        <v>1678</v>
      </c>
      <c r="L6" s="2487"/>
      <c r="M6" s="2488"/>
      <c r="N6" s="2488"/>
      <c r="O6" s="2488"/>
      <c r="P6" s="3467"/>
      <c r="Q6" s="3468"/>
      <c r="R6" s="3471"/>
      <c r="S6" s="3472"/>
      <c r="T6" s="3473"/>
      <c r="U6" s="3474"/>
      <c r="V6" s="3445"/>
      <c r="W6" s="3445"/>
      <c r="X6" s="1265"/>
      <c r="Y6" s="3473"/>
      <c r="Z6" s="3474"/>
      <c r="AA6" s="3458"/>
      <c r="AB6" s="3458"/>
      <c r="AC6" s="3458"/>
    </row>
    <row r="7" spans="1:29" s="102" customFormat="1" ht="15.75" thickBot="1">
      <c r="A7" s="352" t="s">
        <v>1679</v>
      </c>
      <c r="B7" s="353"/>
      <c r="C7" s="354">
        <f>'数据-取费表'!B2</f>
        <v>45785</v>
      </c>
      <c r="D7" s="355">
        <v>100</v>
      </c>
      <c r="E7" s="356"/>
      <c r="F7" s="357">
        <f>SUMIF(65:65,YEAR(E7)&amp;"-"&amp;INT((MONTH(E7)+2)/3),66:66)</f>
        <v>0</v>
      </c>
      <c r="G7" s="1822"/>
      <c r="H7" s="355">
        <f>SUMIF(65:65,YEAR(G7)&amp;"-"&amp;INT((MONTH(G7)+2)/3),66:66)</f>
        <v>0</v>
      </c>
      <c r="I7" s="1822"/>
      <c r="J7" s="355">
        <f>SUMIF(65:65,YEAR(I7)&amp;"-"&amp;INT((MONTH(I7)+2)/3),66:66)</f>
        <v>0</v>
      </c>
      <c r="K7" s="38"/>
      <c r="L7" s="2489"/>
      <c r="M7" s="2440"/>
      <c r="N7" s="2440"/>
      <c r="O7" s="2440"/>
      <c r="P7" s="3479" t="s">
        <v>1680</v>
      </c>
      <c r="Q7" s="3481"/>
      <c r="R7" s="664" t="s">
        <v>14</v>
      </c>
      <c r="S7" s="665">
        <f t="shared" ref="S7:S15" si="0">F7</f>
        <v>0</v>
      </c>
      <c r="T7" s="664" t="s">
        <v>14</v>
      </c>
      <c r="U7" s="665">
        <f t="shared" ref="U7:U15" si="1">H7</f>
        <v>0</v>
      </c>
      <c r="V7" s="664" t="s">
        <v>14</v>
      </c>
      <c r="W7" s="665">
        <f t="shared" ref="W7:W15" si="2">J7</f>
        <v>0</v>
      </c>
      <c r="X7" s="666"/>
      <c r="Y7" s="3479" t="s">
        <v>1680</v>
      </c>
      <c r="Z7" s="3480"/>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9"/>
      <c r="M8" s="2440"/>
      <c r="N8" s="2440"/>
      <c r="O8" s="2440"/>
      <c r="P8" s="3479" t="s">
        <v>1683</v>
      </c>
      <c r="Q8" s="3480"/>
      <c r="R8" s="664" t="s">
        <v>14</v>
      </c>
      <c r="S8" s="665">
        <f t="shared" si="0"/>
        <v>0</v>
      </c>
      <c r="T8" s="664" t="s">
        <v>14</v>
      </c>
      <c r="U8" s="665">
        <f t="shared" si="1"/>
        <v>0</v>
      </c>
      <c r="V8" s="664" t="s">
        <v>14</v>
      </c>
      <c r="W8" s="665">
        <f t="shared" si="2"/>
        <v>0</v>
      </c>
      <c r="X8" s="666"/>
      <c r="Y8" s="3479" t="s">
        <v>1683</v>
      </c>
      <c r="Z8" s="3480"/>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9"/>
      <c r="M9" s="2440"/>
      <c r="N9" s="2440"/>
      <c r="O9" s="2540"/>
      <c r="P9" s="3444" t="s">
        <v>1686</v>
      </c>
      <c r="Q9" s="530" t="str">
        <f t="shared" ref="Q9:Q15" si="6">B9</f>
        <v>用途</v>
      </c>
      <c r="R9" s="664" t="s">
        <v>14</v>
      </c>
      <c r="S9" s="665">
        <f t="shared" si="0"/>
        <v>100</v>
      </c>
      <c r="T9" s="664" t="s">
        <v>14</v>
      </c>
      <c r="U9" s="665">
        <f t="shared" si="1"/>
        <v>100</v>
      </c>
      <c r="V9" s="664" t="s">
        <v>14</v>
      </c>
      <c r="W9" s="665">
        <f t="shared" si="2"/>
        <v>100</v>
      </c>
      <c r="X9" s="666"/>
      <c r="Y9" s="330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114</v>
      </c>
      <c r="G10" s="371"/>
      <c r="H10" s="119">
        <f>ROUND(100/'数据-取费表'!G16,0)</f>
        <v>114</v>
      </c>
      <c r="I10" s="371"/>
      <c r="J10" s="119">
        <f>ROUND(100/'数据-取费表'!G16,0)</f>
        <v>114</v>
      </c>
      <c r="K10" s="592"/>
      <c r="L10" s="2490"/>
      <c r="M10" s="2491"/>
      <c r="N10" s="2491"/>
      <c r="O10" s="2541"/>
      <c r="P10" s="3444"/>
      <c r="Q10" s="530" t="str">
        <f t="shared" si="6"/>
        <v>土地使用年限（年）</v>
      </c>
      <c r="R10" s="664" t="s">
        <v>14</v>
      </c>
      <c r="S10" s="665">
        <f t="shared" si="0"/>
        <v>114</v>
      </c>
      <c r="T10" s="664" t="s">
        <v>14</v>
      </c>
      <c r="U10" s="665">
        <f t="shared" si="1"/>
        <v>114</v>
      </c>
      <c r="V10" s="664" t="s">
        <v>14</v>
      </c>
      <c r="W10" s="665">
        <f t="shared" si="2"/>
        <v>114</v>
      </c>
      <c r="X10" s="666"/>
      <c r="Y10" s="3300"/>
      <c r="Z10" s="50" t="str">
        <f t="shared" si="7"/>
        <v>土地使用年限（年）</v>
      </c>
      <c r="AA10" s="50">
        <f t="shared" si="3"/>
        <v>0.8771929824561403</v>
      </c>
      <c r="AB10" s="50">
        <f t="shared" si="4"/>
        <v>0.8771929824561403</v>
      </c>
      <c r="AC10" s="50">
        <f t="shared" si="5"/>
        <v>0.8771929824561403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2"/>
      <c r="M11" s="2488"/>
      <c r="N11" s="2488"/>
      <c r="O11" s="2542"/>
      <c r="P11" s="3444"/>
      <c r="Q11" s="530" t="str">
        <f t="shared" si="6"/>
        <v>容积率</v>
      </c>
      <c r="R11" s="664" t="s">
        <v>14</v>
      </c>
      <c r="S11" s="665" t="e">
        <f t="shared" si="0"/>
        <v>#N/A</v>
      </c>
      <c r="T11" s="664" t="s">
        <v>14</v>
      </c>
      <c r="U11" s="665" t="e">
        <f t="shared" si="1"/>
        <v>#N/A</v>
      </c>
      <c r="V11" s="664" t="s">
        <v>14</v>
      </c>
      <c r="W11" s="665" t="e">
        <f t="shared" si="2"/>
        <v>#N/A</v>
      </c>
      <c r="X11" s="666"/>
      <c r="Y11" s="330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9"/>
      <c r="M12" s="2440"/>
      <c r="N12" s="2440"/>
      <c r="O12" s="2540"/>
      <c r="P12" s="3444"/>
      <c r="Q12" s="530">
        <f t="shared" si="6"/>
        <v>111</v>
      </c>
      <c r="R12" s="664" t="s">
        <v>14</v>
      </c>
      <c r="S12" s="665">
        <f t="shared" si="0"/>
        <v>100</v>
      </c>
      <c r="T12" s="664" t="s">
        <v>14</v>
      </c>
      <c r="U12" s="665">
        <f t="shared" si="1"/>
        <v>100</v>
      </c>
      <c r="V12" s="664" t="s">
        <v>14</v>
      </c>
      <c r="W12" s="665">
        <f t="shared" si="2"/>
        <v>100</v>
      </c>
      <c r="X12" s="666"/>
      <c r="Y12" s="330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3"/>
      <c r="M13" s="2488"/>
      <c r="N13" s="2488"/>
      <c r="O13" s="2542"/>
      <c r="P13" s="3444"/>
      <c r="Q13" s="530">
        <f t="shared" si="6"/>
        <v>111</v>
      </c>
      <c r="R13" s="664" t="s">
        <v>14</v>
      </c>
      <c r="S13" s="665">
        <f t="shared" si="0"/>
        <v>100</v>
      </c>
      <c r="T13" s="664" t="s">
        <v>14</v>
      </c>
      <c r="U13" s="665">
        <f t="shared" si="1"/>
        <v>100</v>
      </c>
      <c r="V13" s="664" t="s">
        <v>14</v>
      </c>
      <c r="W13" s="665">
        <f t="shared" si="2"/>
        <v>100</v>
      </c>
      <c r="X13" s="666"/>
      <c r="Y13" s="330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3"/>
      <c r="M14" s="2488"/>
      <c r="N14" s="2488"/>
      <c r="O14" s="2542"/>
      <c r="P14" s="3444"/>
      <c r="Q14" s="530">
        <f t="shared" si="6"/>
        <v>111</v>
      </c>
      <c r="R14" s="664" t="s">
        <v>14</v>
      </c>
      <c r="S14" s="665">
        <f t="shared" si="0"/>
        <v>100</v>
      </c>
      <c r="T14" s="664" t="s">
        <v>14</v>
      </c>
      <c r="U14" s="665">
        <f t="shared" si="1"/>
        <v>100</v>
      </c>
      <c r="V14" s="664" t="s">
        <v>14</v>
      </c>
      <c r="W14" s="665">
        <f t="shared" si="2"/>
        <v>100</v>
      </c>
      <c r="X14" s="666"/>
      <c r="Y14" s="3300"/>
      <c r="Z14" s="50">
        <f t="shared" si="7"/>
        <v>111</v>
      </c>
      <c r="AA14" s="50">
        <f t="shared" si="3"/>
        <v>1</v>
      </c>
      <c r="AB14" s="50">
        <f t="shared" si="4"/>
        <v>1</v>
      </c>
      <c r="AC14" s="50">
        <f t="shared" si="5"/>
        <v>1</v>
      </c>
    </row>
    <row r="15" spans="1:29" ht="15">
      <c r="A15" s="379" t="s">
        <v>1690</v>
      </c>
      <c r="B15" s="554" t="s">
        <v>1920</v>
      </c>
      <c r="C15" s="1819">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3"/>
      <c r="M15" s="2488"/>
      <c r="N15" s="2488"/>
      <c r="O15" s="2542"/>
      <c r="P15" s="3446" t="s">
        <v>1691</v>
      </c>
      <c r="Q15" s="1263" t="str">
        <f t="shared" si="6"/>
        <v>产业集聚程度</v>
      </c>
      <c r="R15" s="667" t="s">
        <v>14</v>
      </c>
      <c r="S15" s="668">
        <f t="shared" si="0"/>
        <v>100</v>
      </c>
      <c r="T15" s="667" t="s">
        <v>14</v>
      </c>
      <c r="U15" s="668">
        <f t="shared" si="1"/>
        <v>100</v>
      </c>
      <c r="V15" s="667" t="s">
        <v>14</v>
      </c>
      <c r="W15" s="668">
        <f t="shared" si="2"/>
        <v>100</v>
      </c>
      <c r="X15" s="1265"/>
      <c r="Y15" s="3446"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3"/>
      <c r="M16" s="2488"/>
      <c r="N16" s="2488"/>
      <c r="O16" s="2542"/>
      <c r="P16" s="3447"/>
      <c r="Q16" s="1263"/>
      <c r="R16" s="667"/>
      <c r="S16" s="668"/>
      <c r="T16" s="667"/>
      <c r="U16" s="668"/>
      <c r="V16" s="667"/>
      <c r="W16" s="668"/>
      <c r="X16" s="1265"/>
      <c r="Y16" s="3447"/>
      <c r="Z16" s="1264"/>
      <c r="AA16" s="1264">
        <v>1</v>
      </c>
      <c r="AB16" s="1264">
        <v>1</v>
      </c>
      <c r="AC16" s="1264">
        <v>1</v>
      </c>
    </row>
    <row r="17" spans="1:29" ht="15">
      <c r="A17" s="367"/>
      <c r="B17" s="556" t="s">
        <v>1833</v>
      </c>
      <c r="C17" s="1754">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3"/>
      <c r="M17" s="2488"/>
      <c r="N17" s="2488"/>
      <c r="O17" s="2542"/>
      <c r="P17" s="3447"/>
      <c r="Q17" s="1263" t="str">
        <f>B17</f>
        <v>交通便捷度</v>
      </c>
      <c r="R17" s="667" t="s">
        <v>14</v>
      </c>
      <c r="S17" s="668">
        <f>F17</f>
        <v>100</v>
      </c>
      <c r="T17" s="667" t="s">
        <v>14</v>
      </c>
      <c r="U17" s="668">
        <f>H17</f>
        <v>100</v>
      </c>
      <c r="V17" s="667" t="s">
        <v>14</v>
      </c>
      <c r="W17" s="668">
        <f>J17</f>
        <v>100</v>
      </c>
      <c r="X17" s="1265"/>
      <c r="Y17" s="3447"/>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3"/>
      <c r="M18" s="2488"/>
      <c r="N18" s="2488"/>
      <c r="O18" s="2542"/>
      <c r="P18" s="3447"/>
      <c r="Q18" s="1263"/>
      <c r="R18" s="667"/>
      <c r="S18" s="668"/>
      <c r="T18" s="667"/>
      <c r="U18" s="668"/>
      <c r="V18" s="667"/>
      <c r="W18" s="668"/>
      <c r="X18" s="1265"/>
      <c r="Y18" s="3447"/>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3"/>
      <c r="M19" s="2488"/>
      <c r="N19" s="2488"/>
      <c r="O19" s="2542"/>
      <c r="P19" s="3447"/>
      <c r="Q19" s="1263" t="str">
        <f t="shared" ref="Q19:Q33" si="8">B19</f>
        <v>区域土地利用方向</v>
      </c>
      <c r="R19" s="667" t="s">
        <v>14</v>
      </c>
      <c r="S19" s="668">
        <f>F19</f>
        <v>100</v>
      </c>
      <c r="T19" s="667" t="s">
        <v>14</v>
      </c>
      <c r="U19" s="668">
        <f>H19</f>
        <v>100</v>
      </c>
      <c r="V19" s="667" t="s">
        <v>14</v>
      </c>
      <c r="W19" s="668">
        <f>J19</f>
        <v>100</v>
      </c>
      <c r="X19" s="1265"/>
      <c r="Y19" s="3447"/>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3"/>
      <c r="M20" s="2488"/>
      <c r="N20" s="2488"/>
      <c r="O20" s="2542"/>
      <c r="P20" s="3447"/>
      <c r="Q20" s="1263"/>
      <c r="R20" s="667"/>
      <c r="S20" s="668"/>
      <c r="T20" s="667"/>
      <c r="U20" s="668"/>
      <c r="V20" s="667"/>
      <c r="W20" s="668"/>
      <c r="X20" s="1265"/>
      <c r="Y20" s="3447"/>
      <c r="Z20" s="1264"/>
      <c r="AA20" s="1264"/>
      <c r="AB20" s="1264"/>
      <c r="AC20" s="1264"/>
    </row>
    <row r="21" spans="1:29" ht="15">
      <c r="A21" s="348"/>
      <c r="B21" s="556" t="s">
        <v>1921</v>
      </c>
      <c r="C21" s="1754">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3"/>
      <c r="M21" s="2488"/>
      <c r="N21" s="2488"/>
      <c r="O21" s="2542"/>
      <c r="P21" s="3447"/>
      <c r="Q21" s="1263" t="str">
        <f t="shared" si="8"/>
        <v>环境状况</v>
      </c>
      <c r="R21" s="667" t="s">
        <v>14</v>
      </c>
      <c r="S21" s="668">
        <f>F21</f>
        <v>100</v>
      </c>
      <c r="T21" s="667" t="s">
        <v>14</v>
      </c>
      <c r="U21" s="668">
        <f>H21</f>
        <v>100</v>
      </c>
      <c r="V21" s="667" t="s">
        <v>14</v>
      </c>
      <c r="W21" s="668">
        <f>J21</f>
        <v>100</v>
      </c>
      <c r="X21" s="1265"/>
      <c r="Y21" s="3447"/>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3"/>
      <c r="M22" s="2488"/>
      <c r="N22" s="2488"/>
      <c r="O22" s="2542"/>
      <c r="P22" s="3447"/>
      <c r="Q22" s="1263"/>
      <c r="R22" s="667"/>
      <c r="S22" s="668"/>
      <c r="T22" s="667"/>
      <c r="U22" s="668"/>
      <c r="V22" s="667"/>
      <c r="W22" s="668"/>
      <c r="X22" s="1265"/>
      <c r="Y22" s="3447"/>
      <c r="Z22" s="1264"/>
      <c r="AA22" s="1264">
        <v>1</v>
      </c>
      <c r="AB22" s="1264">
        <v>1</v>
      </c>
      <c r="AC22" s="1264">
        <v>1</v>
      </c>
    </row>
    <row r="23" spans="1:29" s="102" customFormat="1" ht="15">
      <c r="A23" s="443"/>
      <c r="B23" s="557" t="s">
        <v>1778</v>
      </c>
      <c r="C23" s="1754">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9"/>
      <c r="M23" s="2440"/>
      <c r="N23" s="2440"/>
      <c r="O23" s="2540"/>
      <c r="P23" s="3447"/>
      <c r="Q23" s="530" t="str">
        <f t="shared" si="8"/>
        <v>公共配套设施</v>
      </c>
      <c r="R23" s="664" t="s">
        <v>14</v>
      </c>
      <c r="S23" s="665">
        <f>F23</f>
        <v>100</v>
      </c>
      <c r="T23" s="664" t="s">
        <v>14</v>
      </c>
      <c r="U23" s="665">
        <f>H23</f>
        <v>100</v>
      </c>
      <c r="V23" s="664" t="s">
        <v>14</v>
      </c>
      <c r="W23" s="665">
        <f>J23</f>
        <v>100</v>
      </c>
      <c r="X23" s="666"/>
      <c r="Y23" s="3447"/>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9"/>
      <c r="M24" s="2440"/>
      <c r="N24" s="2440"/>
      <c r="O24" s="2540"/>
      <c r="P24" s="3447"/>
      <c r="Q24" s="530"/>
      <c r="R24" s="664"/>
      <c r="S24" s="665"/>
      <c r="T24" s="664"/>
      <c r="U24" s="665"/>
      <c r="V24" s="664"/>
      <c r="W24" s="665"/>
      <c r="X24" s="666"/>
      <c r="Y24" s="3447"/>
      <c r="Z24" s="50"/>
      <c r="AA24" s="50">
        <v>1</v>
      </c>
      <c r="AB24" s="50">
        <v>1</v>
      </c>
      <c r="AC24" s="50">
        <v>1</v>
      </c>
    </row>
    <row r="25" spans="1:29" s="102" customFormat="1" ht="15">
      <c r="A25" s="443"/>
      <c r="B25" s="557" t="s">
        <v>1779</v>
      </c>
      <c r="C25" s="1754">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9"/>
      <c r="M25" s="2440"/>
      <c r="N25" s="2440"/>
      <c r="O25" s="2540"/>
      <c r="P25" s="3447"/>
      <c r="Q25" s="530" t="str">
        <f t="shared" ref="Q25" si="9">B25</f>
        <v>基础设施水平</v>
      </c>
      <c r="R25" s="664" t="s">
        <v>14</v>
      </c>
      <c r="S25" s="665">
        <f>F25</f>
        <v>100</v>
      </c>
      <c r="T25" s="664" t="s">
        <v>14</v>
      </c>
      <c r="U25" s="665">
        <f>H25</f>
        <v>100</v>
      </c>
      <c r="V25" s="664" t="s">
        <v>14</v>
      </c>
      <c r="W25" s="665">
        <f>J25</f>
        <v>100</v>
      </c>
      <c r="X25" s="666"/>
      <c r="Y25" s="3447"/>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9"/>
      <c r="M26" s="2440"/>
      <c r="N26" s="2440"/>
      <c r="O26" s="2540"/>
      <c r="P26" s="3447"/>
      <c r="Q26" s="530"/>
      <c r="R26" s="664"/>
      <c r="S26" s="665"/>
      <c r="T26" s="664"/>
      <c r="U26" s="665"/>
      <c r="V26" s="664"/>
      <c r="W26" s="665"/>
      <c r="X26" s="666"/>
      <c r="Y26" s="3447"/>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3"/>
      <c r="M27" s="2488"/>
      <c r="N27" s="2488"/>
      <c r="O27" s="2542"/>
      <c r="P27" s="3447"/>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47"/>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3"/>
      <c r="M28" s="2488"/>
      <c r="N28" s="2488"/>
      <c r="O28" s="2542"/>
      <c r="P28" s="3447"/>
      <c r="Q28" s="1263" t="str">
        <f t="shared" si="8"/>
        <v>毗邻道路的类型与等级</v>
      </c>
      <c r="R28" s="667" t="s">
        <v>14</v>
      </c>
      <c r="S28" s="668">
        <f t="shared" si="10"/>
        <v>100</v>
      </c>
      <c r="T28" s="667" t="s">
        <v>14</v>
      </c>
      <c r="U28" s="668">
        <f t="shared" si="11"/>
        <v>100</v>
      </c>
      <c r="V28" s="667" t="s">
        <v>14</v>
      </c>
      <c r="W28" s="668">
        <f t="shared" si="12"/>
        <v>100</v>
      </c>
      <c r="X28" s="1265"/>
      <c r="Y28" s="3447"/>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3"/>
      <c r="M29" s="2488"/>
      <c r="N29" s="2488"/>
      <c r="O29" s="2542"/>
      <c r="P29" s="3447"/>
      <c r="Q29" s="1263"/>
      <c r="R29" s="667"/>
      <c r="S29" s="668"/>
      <c r="T29" s="667"/>
      <c r="U29" s="668"/>
      <c r="V29" s="667"/>
      <c r="W29" s="668"/>
      <c r="X29" s="1265"/>
      <c r="Y29" s="3447"/>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3"/>
      <c r="M30" s="2488"/>
      <c r="N30" s="2488"/>
      <c r="O30" s="2542"/>
      <c r="P30" s="3447"/>
      <c r="Q30" s="1263" t="str">
        <f t="shared" si="8"/>
        <v>土地级别</v>
      </c>
      <c r="R30" s="667" t="s">
        <v>14</v>
      </c>
      <c r="S30" s="668">
        <f t="shared" si="10"/>
        <v>100</v>
      </c>
      <c r="T30" s="667" t="s">
        <v>14</v>
      </c>
      <c r="U30" s="668">
        <f t="shared" si="11"/>
        <v>100</v>
      </c>
      <c r="V30" s="667" t="s">
        <v>14</v>
      </c>
      <c r="W30" s="668">
        <f t="shared" si="12"/>
        <v>100</v>
      </c>
      <c r="X30" s="1265"/>
      <c r="Y30" s="3447"/>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3"/>
      <c r="M31" s="2488"/>
      <c r="N31" s="2488"/>
      <c r="O31" s="2542"/>
      <c r="P31" s="3447"/>
      <c r="Q31" s="1263">
        <f t="shared" si="8"/>
        <v>111</v>
      </c>
      <c r="R31" s="667" t="s">
        <v>14</v>
      </c>
      <c r="S31" s="668">
        <f t="shared" si="10"/>
        <v>100</v>
      </c>
      <c r="T31" s="667" t="s">
        <v>14</v>
      </c>
      <c r="U31" s="668">
        <f t="shared" si="11"/>
        <v>100</v>
      </c>
      <c r="V31" s="667" t="s">
        <v>14</v>
      </c>
      <c r="W31" s="668">
        <f t="shared" si="12"/>
        <v>100</v>
      </c>
      <c r="X31" s="1265"/>
      <c r="Y31" s="3447"/>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3"/>
      <c r="M32" s="2488"/>
      <c r="N32" s="2488"/>
      <c r="O32" s="2542"/>
      <c r="P32" s="3501" t="s">
        <v>1696</v>
      </c>
      <c r="Q32" s="1263">
        <f t="shared" si="8"/>
        <v>111</v>
      </c>
      <c r="R32" s="667" t="s">
        <v>14</v>
      </c>
      <c r="S32" s="668">
        <f t="shared" si="10"/>
        <v>100</v>
      </c>
      <c r="T32" s="667" t="s">
        <v>14</v>
      </c>
      <c r="U32" s="668">
        <f t="shared" si="11"/>
        <v>100</v>
      </c>
      <c r="V32" s="667" t="s">
        <v>14</v>
      </c>
      <c r="W32" s="668">
        <f t="shared" si="12"/>
        <v>100</v>
      </c>
      <c r="X32" s="1265"/>
      <c r="Y32" s="3451"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2"/>
      <c r="M33" s="2494"/>
      <c r="N33" s="2494"/>
      <c r="O33" s="2543"/>
      <c r="P33" s="3451"/>
      <c r="Q33" s="1263">
        <f t="shared" si="8"/>
        <v>111</v>
      </c>
      <c r="R33" s="669" t="s">
        <v>14</v>
      </c>
      <c r="S33" s="670">
        <f t="shared" si="10"/>
        <v>100</v>
      </c>
      <c r="T33" s="669" t="s">
        <v>14</v>
      </c>
      <c r="U33" s="670">
        <f t="shared" si="11"/>
        <v>100</v>
      </c>
      <c r="V33" s="669" t="s">
        <v>14</v>
      </c>
      <c r="W33" s="670">
        <f t="shared" si="12"/>
        <v>100</v>
      </c>
      <c r="X33" s="671"/>
      <c r="Y33" s="3451"/>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3"/>
      <c r="M34" s="2488"/>
      <c r="N34" s="2488"/>
      <c r="O34" s="2542"/>
      <c r="P34" s="3451"/>
      <c r="Q34" s="1263" t="str">
        <f>B34</f>
        <v>宗地面积</v>
      </c>
      <c r="R34" s="667" t="s">
        <v>14</v>
      </c>
      <c r="S34" s="668" t="e">
        <f t="shared" si="10"/>
        <v>#N/A</v>
      </c>
      <c r="T34" s="667" t="s">
        <v>14</v>
      </c>
      <c r="U34" s="668" t="e">
        <f t="shared" si="11"/>
        <v>#N/A</v>
      </c>
      <c r="V34" s="667" t="s">
        <v>14</v>
      </c>
      <c r="W34" s="668" t="e">
        <f t="shared" si="12"/>
        <v>#N/A</v>
      </c>
      <c r="X34" s="1265"/>
      <c r="Y34" s="3451"/>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3"/>
      <c r="M35" s="2488"/>
      <c r="N35" s="2488"/>
      <c r="O35" s="2542"/>
      <c r="P35" s="3451"/>
      <c r="Q35" s="1263" t="str">
        <f t="shared" ref="Q35:Q40" si="14">B35</f>
        <v>宗地形状</v>
      </c>
      <c r="R35" s="667" t="s">
        <v>14</v>
      </c>
      <c r="S35" s="668">
        <f t="shared" si="10"/>
        <v>100</v>
      </c>
      <c r="T35" s="667" t="s">
        <v>14</v>
      </c>
      <c r="U35" s="668">
        <f t="shared" si="11"/>
        <v>100</v>
      </c>
      <c r="V35" s="667" t="s">
        <v>14</v>
      </c>
      <c r="W35" s="668">
        <f t="shared" si="12"/>
        <v>100</v>
      </c>
      <c r="X35" s="1265"/>
      <c r="Y35" s="3451"/>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9"/>
      <c r="M36" s="2440"/>
      <c r="N36" s="2440"/>
      <c r="O36" s="2540"/>
      <c r="P36" s="3451"/>
      <c r="Q36" s="1263" t="str">
        <f t="shared" si="14"/>
        <v>宗地开发程度</v>
      </c>
      <c r="R36" s="664" t="s">
        <v>14</v>
      </c>
      <c r="S36" s="665">
        <f t="shared" si="10"/>
        <v>100</v>
      </c>
      <c r="T36" s="664" t="s">
        <v>14</v>
      </c>
      <c r="U36" s="665">
        <f t="shared" si="11"/>
        <v>100</v>
      </c>
      <c r="V36" s="664" t="s">
        <v>14</v>
      </c>
      <c r="W36" s="665">
        <f t="shared" si="12"/>
        <v>100</v>
      </c>
      <c r="X36" s="666"/>
      <c r="Y36" s="3451"/>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3"/>
      <c r="M37" s="2488"/>
      <c r="N37" s="2488"/>
      <c r="O37" s="2542"/>
      <c r="P37" s="3451" t="s">
        <v>1696</v>
      </c>
      <c r="Q37" s="1263" t="str">
        <f t="shared" si="14"/>
        <v>工程地质条件</v>
      </c>
      <c r="R37" s="667" t="s">
        <v>14</v>
      </c>
      <c r="S37" s="668">
        <f t="shared" si="10"/>
        <v>100</v>
      </c>
      <c r="T37" s="667" t="s">
        <v>14</v>
      </c>
      <c r="U37" s="668">
        <f t="shared" si="11"/>
        <v>100</v>
      </c>
      <c r="V37" s="667" t="s">
        <v>14</v>
      </c>
      <c r="W37" s="668">
        <f t="shared" si="12"/>
        <v>100</v>
      </c>
      <c r="X37" s="1265"/>
      <c r="Y37" s="3451"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3"/>
      <c r="M38" s="2488"/>
      <c r="N38" s="2488"/>
      <c r="O38" s="2542"/>
      <c r="P38" s="3451"/>
      <c r="Q38" s="1263">
        <f t="shared" si="14"/>
        <v>111</v>
      </c>
      <c r="R38" s="667" t="s">
        <v>14</v>
      </c>
      <c r="S38" s="668">
        <f t="shared" si="10"/>
        <v>100</v>
      </c>
      <c r="T38" s="667" t="s">
        <v>14</v>
      </c>
      <c r="U38" s="668">
        <f t="shared" si="11"/>
        <v>100</v>
      </c>
      <c r="V38" s="667" t="s">
        <v>14</v>
      </c>
      <c r="W38" s="668">
        <f t="shared" si="12"/>
        <v>100</v>
      </c>
      <c r="X38" s="1265"/>
      <c r="Y38" s="3451"/>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3"/>
      <c r="M39" s="2488"/>
      <c r="N39" s="2488"/>
      <c r="O39" s="2542"/>
      <c r="P39" s="3451"/>
      <c r="Q39" s="1263">
        <f t="shared" si="14"/>
        <v>111</v>
      </c>
      <c r="R39" s="667" t="s">
        <v>14</v>
      </c>
      <c r="S39" s="668">
        <f t="shared" si="10"/>
        <v>100</v>
      </c>
      <c r="T39" s="667" t="s">
        <v>14</v>
      </c>
      <c r="U39" s="668">
        <f t="shared" si="11"/>
        <v>100</v>
      </c>
      <c r="V39" s="667" t="s">
        <v>14</v>
      </c>
      <c r="W39" s="668">
        <f t="shared" si="12"/>
        <v>100</v>
      </c>
      <c r="X39" s="1265"/>
      <c r="Y39" s="3451"/>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2"/>
      <c r="M40" s="2494"/>
      <c r="N40" s="2494"/>
      <c r="O40" s="2543"/>
      <c r="P40" s="3451"/>
      <c r="Q40" s="1263">
        <f t="shared" si="14"/>
        <v>111</v>
      </c>
      <c r="R40" s="669" t="s">
        <v>14</v>
      </c>
      <c r="S40" s="670">
        <f t="shared" si="10"/>
        <v>100</v>
      </c>
      <c r="T40" s="669" t="s">
        <v>14</v>
      </c>
      <c r="U40" s="670">
        <f t="shared" si="11"/>
        <v>100</v>
      </c>
      <c r="V40" s="669" t="s">
        <v>14</v>
      </c>
      <c r="W40" s="670">
        <f t="shared" si="12"/>
        <v>100</v>
      </c>
      <c r="X40" s="671"/>
      <c r="Y40" s="3451"/>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5"/>
      <c r="M41" s="2488"/>
      <c r="N41" s="2488"/>
      <c r="O41" s="2488"/>
      <c r="P41" s="3444" t="str">
        <f>A41</f>
        <v>成交单价</v>
      </c>
      <c r="Q41" s="3444"/>
      <c r="R41" s="3445">
        <f>E41</f>
        <v>0</v>
      </c>
      <c r="S41" s="3445"/>
      <c r="T41" s="3445">
        <f>G41</f>
        <v>0</v>
      </c>
      <c r="U41" s="3445"/>
      <c r="V41" s="3445">
        <f>I41</f>
        <v>0</v>
      </c>
      <c r="W41" s="344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5"/>
      <c r="M42" s="2488"/>
      <c r="N42" s="2488"/>
      <c r="O42" s="2488"/>
      <c r="P42" s="3444" t="str">
        <f>A42</f>
        <v>比较价值（元/平方米）</v>
      </c>
      <c r="Q42" s="3444"/>
      <c r="R42" s="3503" t="e">
        <f>ROUND(PRODUCT(R41,AA7:AA40),0)</f>
        <v>#DIV/0!</v>
      </c>
      <c r="S42" s="3503"/>
      <c r="T42" s="3503" t="e">
        <f>ROUND(PRODUCT(T41,AB7:AB40),0)</f>
        <v>#DIV/0!</v>
      </c>
      <c r="U42" s="3503"/>
      <c r="V42" s="3503" t="e">
        <f>ROUND(PRODUCT(V41,AC7:AC40),0)</f>
        <v>#DIV/0!</v>
      </c>
      <c r="W42" s="3503"/>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5"/>
      <c r="M43" s="2488"/>
      <c r="N43" s="2488"/>
      <c r="O43" s="2488"/>
      <c r="P43" s="3441" t="str">
        <f>A43</f>
        <v>估价对象XX用房的比较价值（楼面单价，元/平方米）</v>
      </c>
      <c r="Q43" s="3442"/>
      <c r="R43" s="3504" t="e">
        <f>ROUND(IF(D42="简单平均",AVERAGE(R42:W42),R42*F42+T42*H42+V42*J42),0)</f>
        <v>#DIV/0!</v>
      </c>
      <c r="S43" s="3504"/>
      <c r="T43" s="3504"/>
      <c r="U43" s="3504"/>
      <c r="V43" s="3504"/>
      <c r="W43" s="3504"/>
      <c r="X43" s="385"/>
      <c r="Y43" s="385"/>
      <c r="Z43" s="385"/>
      <c r="AA43" s="385"/>
      <c r="AB43" s="385"/>
      <c r="AC43" s="385"/>
    </row>
    <row r="44" spans="1:31">
      <c r="A44" s="2488"/>
      <c r="B44" s="2488"/>
      <c r="C44" s="2488"/>
      <c r="D44" s="2488"/>
      <c r="E44" s="2488"/>
      <c r="F44" s="2488"/>
      <c r="G44" s="2499"/>
      <c r="H44" s="2488"/>
      <c r="I44" s="2488"/>
      <c r="J44" s="2488"/>
      <c r="K44" s="2500"/>
      <c r="L44" s="2496"/>
      <c r="M44" s="2488"/>
      <c r="N44" s="2488"/>
      <c r="O44" s="2488"/>
      <c r="P44" s="2488"/>
      <c r="Q44" s="2488"/>
      <c r="R44" s="2488"/>
      <c r="S44" s="2488"/>
      <c r="T44" s="2488"/>
      <c r="U44" s="2488"/>
      <c r="V44" s="2488"/>
      <c r="W44" s="2488"/>
      <c r="X44" s="2488"/>
      <c r="Y44" s="2488"/>
      <c r="Z44" s="2488"/>
      <c r="AA44" s="2488"/>
      <c r="AB44" s="2488"/>
      <c r="AC44" s="2488"/>
      <c r="AD44" s="2488"/>
      <c r="AE44" s="2488"/>
    </row>
    <row r="45" spans="1:31">
      <c r="A45" s="2488"/>
      <c r="B45" s="2488"/>
      <c r="C45" s="2488"/>
      <c r="D45" s="2488"/>
      <c r="E45" s="2488"/>
      <c r="F45" s="2488"/>
      <c r="G45" s="2488"/>
      <c r="H45" s="2488"/>
      <c r="I45" s="2488"/>
      <c r="J45" s="2488"/>
      <c r="K45" s="2500"/>
      <c r="L45" s="2496"/>
      <c r="M45" s="2488"/>
      <c r="N45" s="2488"/>
      <c r="O45" s="2488"/>
      <c r="P45" s="2488"/>
      <c r="Q45" s="2488"/>
      <c r="R45" s="2488"/>
      <c r="S45" s="2488"/>
      <c r="T45" s="2488"/>
      <c r="U45" s="2488"/>
      <c r="V45" s="2488"/>
      <c r="W45" s="2488"/>
      <c r="X45" s="2488"/>
      <c r="Y45" s="2488"/>
      <c r="Z45" s="2488"/>
      <c r="AA45" s="2488"/>
      <c r="AB45" s="2488"/>
      <c r="AC45" s="2488"/>
      <c r="AD45" s="2488"/>
      <c r="AE45" s="2488"/>
    </row>
    <row r="46" spans="1:31" ht="13.5" customHeight="1">
      <c r="A46" s="2488"/>
      <c r="B46" s="2488"/>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500"/>
      <c r="L46" s="2496"/>
      <c r="M46" s="2488"/>
      <c r="N46" s="2488"/>
      <c r="O46" s="2488"/>
      <c r="P46" s="2488"/>
      <c r="Q46" s="2488"/>
      <c r="R46" s="2488"/>
      <c r="S46" s="2488"/>
      <c r="T46" s="2488"/>
      <c r="U46" s="2488"/>
      <c r="V46" s="2488"/>
      <c r="W46" s="2488"/>
      <c r="X46" s="2488"/>
      <c r="Y46" s="2488"/>
      <c r="Z46" s="2488"/>
      <c r="AA46" s="2488"/>
      <c r="AB46" s="2488"/>
      <c r="AC46" s="2488"/>
      <c r="AD46" s="2488"/>
      <c r="AE46" s="2488"/>
    </row>
    <row r="47" spans="1:31" ht="13.5" customHeight="1">
      <c r="A47" s="2488"/>
      <c r="B47" s="2488"/>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500"/>
      <c r="L47" s="2496"/>
      <c r="M47" s="2488"/>
      <c r="N47" s="2488"/>
      <c r="O47" s="2488"/>
      <c r="P47" s="2488"/>
      <c r="Q47" s="2488"/>
      <c r="R47" s="2488"/>
      <c r="S47" s="2488"/>
      <c r="T47" s="2488"/>
      <c r="U47" s="2488"/>
      <c r="V47" s="2488"/>
      <c r="W47" s="2488"/>
      <c r="X47" s="2488"/>
      <c r="Y47" s="2488"/>
      <c r="Z47" s="2488"/>
      <c r="AA47" s="2488"/>
      <c r="AB47" s="2488"/>
      <c r="AC47" s="2488"/>
      <c r="AD47" s="2488"/>
      <c r="AE47" s="2488"/>
    </row>
    <row r="48" spans="1:31" s="437" customFormat="1" ht="13.5" customHeight="1">
      <c r="A48" s="2498"/>
      <c r="B48" s="2498"/>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3"/>
      <c r="L48" s="2497"/>
      <c r="M48" s="2498"/>
      <c r="N48" s="2498"/>
      <c r="O48" s="2498"/>
      <c r="P48" s="2498"/>
      <c r="Q48" s="2498"/>
      <c r="R48" s="2498"/>
      <c r="S48" s="2498"/>
      <c r="T48" s="2498"/>
      <c r="U48" s="2498"/>
      <c r="V48" s="2498"/>
      <c r="W48" s="2498"/>
      <c r="X48" s="2498"/>
      <c r="Y48" s="2498"/>
      <c r="Z48" s="2498"/>
      <c r="AA48" s="2498"/>
      <c r="AB48" s="2498"/>
      <c r="AC48" s="2498"/>
      <c r="AD48" s="2498"/>
      <c r="AE48" s="2498"/>
    </row>
    <row r="49" spans="1:31" s="437" customFormat="1" ht="15" thickBot="1">
      <c r="A49" s="2498"/>
      <c r="B49" s="2501"/>
      <c r="C49" s="657"/>
      <c r="D49" s="655"/>
      <c r="E49" s="655"/>
      <c r="F49" s="655"/>
      <c r="G49" s="655"/>
      <c r="H49" s="655"/>
      <c r="I49" s="655"/>
      <c r="J49" s="655"/>
      <c r="K49" s="2503"/>
      <c r="L49" s="2497"/>
      <c r="M49" s="2498"/>
      <c r="N49" s="2498"/>
      <c r="O49" s="2498"/>
      <c r="P49" s="2498"/>
      <c r="Q49" s="2498"/>
      <c r="R49" s="2498"/>
      <c r="S49" s="2498"/>
      <c r="T49" s="2498"/>
      <c r="U49" s="2498"/>
      <c r="V49" s="2498"/>
      <c r="W49" s="2498"/>
      <c r="X49" s="2498"/>
      <c r="Y49" s="2498"/>
      <c r="Z49" s="2498"/>
      <c r="AA49" s="2498"/>
      <c r="AB49" s="2498"/>
      <c r="AC49" s="2498"/>
      <c r="AD49" s="2498"/>
      <c r="AE49" s="2498"/>
    </row>
    <row r="50" spans="1:31" ht="27">
      <c r="A50" s="604" t="s">
        <v>1881</v>
      </c>
      <c r="B50" s="605" t="s">
        <v>1882</v>
      </c>
      <c r="C50" s="1831" t="s">
        <v>1883</v>
      </c>
      <c r="D50" s="1832" t="s">
        <v>1884</v>
      </c>
      <c r="E50" s="606" t="s">
        <v>1885</v>
      </c>
      <c r="F50" s="607" t="s">
        <v>1886</v>
      </c>
      <c r="G50" s="3459" t="s">
        <v>1887</v>
      </c>
      <c r="H50" s="3505"/>
      <c r="I50" s="1264" t="s">
        <v>1923</v>
      </c>
      <c r="J50" s="1264">
        <f>项目基本情况!F35</f>
        <v>0</v>
      </c>
      <c r="K50" s="1834" t="s">
        <v>1889</v>
      </c>
      <c r="L50" s="2496"/>
      <c r="M50" s="2488"/>
      <c r="N50" s="2488"/>
      <c r="O50" s="2488"/>
      <c r="P50" s="2488"/>
      <c r="Q50" s="2488"/>
      <c r="R50" s="2488"/>
      <c r="S50" s="2488"/>
      <c r="T50" s="2488"/>
      <c r="U50" s="2488"/>
      <c r="V50" s="2488"/>
      <c r="W50" s="2488"/>
      <c r="X50" s="2488"/>
      <c r="Y50" s="2488"/>
      <c r="Z50" s="2488"/>
      <c r="AA50" s="2488"/>
      <c r="AB50" s="2488"/>
      <c r="AC50" s="2488"/>
      <c r="AD50" s="2488"/>
      <c r="AE50" s="2488"/>
    </row>
    <row r="51" spans="1:31" s="612" customFormat="1">
      <c r="A51" s="608" t="s">
        <v>1890</v>
      </c>
      <c r="B51" s="609" t="e">
        <f>C43</f>
        <v>#DIV/0!</v>
      </c>
      <c r="C51" s="610">
        <v>1</v>
      </c>
      <c r="D51" s="890">
        <v>1</v>
      </c>
      <c r="E51" s="610">
        <f>'数据-汇总表'!E8+'数据-汇总表'!E9</f>
        <v>67424.870000000024</v>
      </c>
      <c r="F51" s="611" t="e">
        <f t="shared" ref="F51:F60" si="15">ROUND(B51*E51/10000,0)</f>
        <v>#DIV/0!</v>
      </c>
      <c r="G51" s="3455"/>
      <c r="H51" s="3444"/>
      <c r="I51" s="727">
        <v>1</v>
      </c>
      <c r="J51" s="727">
        <v>1</v>
      </c>
      <c r="K51" s="2498"/>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0.6</v>
      </c>
      <c r="D52" s="891">
        <v>0.25</v>
      </c>
      <c r="E52" s="614"/>
      <c r="F52" s="611" t="e">
        <f t="shared" si="15"/>
        <v>#DIV/0!</v>
      </c>
      <c r="G52" s="2750" t="s">
        <v>1892</v>
      </c>
      <c r="H52" s="834" t="str">
        <f>项目基本情况!B37</f>
        <v>三级</v>
      </c>
      <c r="I52" s="727">
        <f>SUMIF(修正!A57:A68,H52,修正!B57:B68)</f>
        <v>0.6</v>
      </c>
      <c r="J52" s="728"/>
      <c r="K52" s="2488"/>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0.3</v>
      </c>
      <c r="D53" s="891">
        <v>0.25</v>
      </c>
      <c r="E53" s="614"/>
      <c r="F53" s="611" t="e">
        <f t="shared" si="15"/>
        <v>#DIV/0!</v>
      </c>
      <c r="G53" s="2751"/>
      <c r="H53" s="834" t="str">
        <f>项目基本情况!B37</f>
        <v>三级</v>
      </c>
      <c r="I53" s="727">
        <f>SUMIF(修正!A57:A68,H53,修正!C57:C68)</f>
        <v>0.3</v>
      </c>
      <c r="J53" s="728"/>
      <c r="K53" s="2498"/>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0.25</v>
      </c>
      <c r="D54" s="891">
        <v>0.25</v>
      </c>
      <c r="E54" s="614"/>
      <c r="F54" s="611" t="e">
        <f t="shared" si="15"/>
        <v>#DIV/0!</v>
      </c>
      <c r="G54" s="2751"/>
      <c r="H54" s="834" t="str">
        <f>项目基本情况!B37</f>
        <v>三级</v>
      </c>
      <c r="I54" s="727">
        <f>SUMIF(修正!A57:A68,H54,修正!D57:D68)</f>
        <v>0.25</v>
      </c>
      <c r="J54" s="728"/>
      <c r="K54" s="2488"/>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8"/>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三级</v>
      </c>
      <c r="I56" s="727">
        <f>SUMIF(修正!A57:A68,H56,修正!E57:E68)</f>
        <v>0.25</v>
      </c>
      <c r="J56" s="728"/>
      <c r="K56" s="2488"/>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三级</v>
      </c>
      <c r="I57" s="727">
        <f>SUMIF(修正!A57:A68,H57,修正!F57:F68)</f>
        <v>0.25</v>
      </c>
      <c r="J57" s="728"/>
      <c r="K57" s="2498"/>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8"/>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0.15</v>
      </c>
      <c r="D59" s="891">
        <v>0.25</v>
      </c>
      <c r="E59" s="209">
        <f>'数据-汇总表'!E14</f>
        <v>11876.309999999992</v>
      </c>
      <c r="F59" s="611" t="e">
        <f t="shared" si="15"/>
        <v>#DIV/0!</v>
      </c>
      <c r="G59" s="1835" t="s">
        <v>1892</v>
      </c>
      <c r="H59" s="834" t="str">
        <f>项目基本情况!B37</f>
        <v>三级</v>
      </c>
      <c r="I59" s="727">
        <f>SUMIF(修正!A57:A68,H59,修正!G57:G68)</f>
        <v>0.15</v>
      </c>
      <c r="J59" s="728"/>
      <c r="K59" s="2498"/>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0.15</v>
      </c>
      <c r="D60" s="891">
        <v>0.25</v>
      </c>
      <c r="E60" s="209">
        <f>'数据-汇总表'!E15</f>
        <v>0</v>
      </c>
      <c r="F60" s="611" t="e">
        <f t="shared" si="15"/>
        <v>#DIV/0!</v>
      </c>
      <c r="G60" s="1836" t="s">
        <v>1896</v>
      </c>
      <c r="H60" s="844" t="str">
        <f>项目基本情况!C37</f>
        <v>三级</v>
      </c>
      <c r="I60" s="727">
        <f>SUMIF(修正!A57:A68,H60,修正!G57:G68)</f>
        <v>0.15</v>
      </c>
      <c r="J60" s="728"/>
      <c r="K60" s="2488"/>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500"/>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8"/>
      <c r="Q62" s="2488"/>
      <c r="R62" s="2488"/>
      <c r="S62" s="2488"/>
      <c r="T62" s="2488"/>
      <c r="U62" s="2488"/>
      <c r="V62" s="2488"/>
      <c r="W62" s="2488"/>
      <c r="X62" s="2488"/>
      <c r="Y62" s="2488"/>
      <c r="Z62" s="2488"/>
      <c r="AA62" s="2488"/>
      <c r="AB62" s="2488"/>
      <c r="AC62" s="2488"/>
      <c r="AD62" s="2488"/>
      <c r="AE62" s="2488"/>
    </row>
    <row r="63" spans="1:31">
      <c r="A63" s="861"/>
      <c r="B63" s="875"/>
      <c r="C63" s="656" t="str">
        <f>YEAR(C7)&amp;"-"&amp;MONTH(C7)&amp;"-1"</f>
        <v>2025-5-1</v>
      </c>
      <c r="D63" s="656">
        <f>EDATE(C63,-3)</f>
        <v>45689</v>
      </c>
      <c r="E63" s="656">
        <f>EDATE(D63,-3)</f>
        <v>45597</v>
      </c>
      <c r="F63" s="656">
        <f t="shared" ref="F63:O63" si="18">EDATE(E63,-3)</f>
        <v>45505</v>
      </c>
      <c r="G63" s="656">
        <f t="shared" si="18"/>
        <v>45413</v>
      </c>
      <c r="H63" s="656">
        <f t="shared" si="18"/>
        <v>45323</v>
      </c>
      <c r="I63" s="656">
        <f t="shared" si="18"/>
        <v>45231</v>
      </c>
      <c r="J63" s="656">
        <f t="shared" si="18"/>
        <v>45139</v>
      </c>
      <c r="K63" s="656">
        <f t="shared" si="18"/>
        <v>45047</v>
      </c>
      <c r="L63" s="656">
        <f t="shared" si="18"/>
        <v>44958</v>
      </c>
      <c r="M63" s="656">
        <f t="shared" si="18"/>
        <v>44866</v>
      </c>
      <c r="N63" s="656">
        <f t="shared" si="18"/>
        <v>44774</v>
      </c>
      <c r="O63" s="656">
        <f t="shared" si="18"/>
        <v>44682</v>
      </c>
      <c r="P63" s="2488"/>
      <c r="Q63" s="2488"/>
      <c r="R63" s="2488"/>
      <c r="S63" s="2488"/>
      <c r="T63" s="2488"/>
      <c r="U63" s="2488"/>
      <c r="V63" s="2488"/>
      <c r="W63" s="2488"/>
      <c r="X63" s="2488"/>
      <c r="Y63" s="2488"/>
      <c r="Z63" s="2488"/>
      <c r="AA63" s="2488"/>
      <c r="AB63" s="2488"/>
      <c r="AC63" s="2488"/>
      <c r="AD63" s="2488"/>
      <c r="AE63" s="2488"/>
    </row>
    <row r="64" spans="1:31" ht="21.75" thickBot="1">
      <c r="A64" s="658" t="s">
        <v>1798</v>
      </c>
      <c r="B64" s="385"/>
      <c r="C64" s="659"/>
      <c r="D64" s="659"/>
      <c r="E64" s="659"/>
      <c r="F64" s="660"/>
      <c r="G64" s="660"/>
      <c r="H64" s="659"/>
      <c r="I64" s="659"/>
      <c r="J64" s="659"/>
      <c r="K64" s="661"/>
      <c r="L64" s="662"/>
      <c r="M64" s="659"/>
      <c r="N64" s="659"/>
      <c r="O64" s="886"/>
      <c r="P64" s="2537"/>
      <c r="Q64" s="2509"/>
      <c r="R64" s="2488"/>
      <c r="S64" s="2488"/>
      <c r="T64" s="2488"/>
      <c r="U64" s="2488"/>
      <c r="V64" s="2488"/>
      <c r="W64" s="2488"/>
      <c r="X64" s="2488"/>
      <c r="Y64" s="2488"/>
      <c r="Z64" s="2488"/>
      <c r="AA64" s="2488"/>
      <c r="AB64" s="2488"/>
      <c r="AC64" s="2488"/>
      <c r="AD64" s="2488"/>
      <c r="AE64" s="2488"/>
    </row>
    <row r="65" spans="1:31" s="442" customFormat="1" ht="15">
      <c r="A65" s="1630" t="s">
        <v>1904</v>
      </c>
      <c r="B65" s="1046"/>
      <c r="C65" s="1101" t="str">
        <f>YEAR(C63)&amp;"-"&amp;ROUNDUP(MONTH(C63)/3,0)</f>
        <v>2025-2</v>
      </c>
      <c r="D65" s="1101" t="str">
        <f t="shared" ref="D65:O65" si="19">YEAR(D63)&amp;"-"&amp;ROUNDUP(MONTH(D63)/3,0)</f>
        <v>2025-1</v>
      </c>
      <c r="E65" s="1101" t="str">
        <f t="shared" si="19"/>
        <v>2024-4</v>
      </c>
      <c r="F65" s="1101" t="str">
        <f t="shared" si="19"/>
        <v>2024-3</v>
      </c>
      <c r="G65" s="1101" t="str">
        <f t="shared" si="19"/>
        <v>2024-2</v>
      </c>
      <c r="H65" s="1101" t="str">
        <f t="shared" si="19"/>
        <v>2024-1</v>
      </c>
      <c r="I65" s="1101" t="str">
        <f t="shared" si="19"/>
        <v>2023-4</v>
      </c>
      <c r="J65" s="1101" t="str">
        <f t="shared" si="19"/>
        <v>2023-3</v>
      </c>
      <c r="K65" s="1101" t="str">
        <f t="shared" si="19"/>
        <v>2023-2</v>
      </c>
      <c r="L65" s="1101" t="str">
        <f t="shared" si="19"/>
        <v>2023-1</v>
      </c>
      <c r="M65" s="1101" t="str">
        <f t="shared" si="19"/>
        <v>2022-4</v>
      </c>
      <c r="N65" s="1101" t="str">
        <f t="shared" si="19"/>
        <v>2022-3</v>
      </c>
      <c r="O65" s="1101" t="str">
        <f t="shared" si="19"/>
        <v>2022-2</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9"/>
      <c r="Q66" s="2440"/>
      <c r="R66" s="2440"/>
      <c r="S66" s="2440"/>
      <c r="T66" s="2440"/>
      <c r="U66" s="2440"/>
      <c r="V66" s="2440"/>
      <c r="W66" s="2440"/>
      <c r="X66" s="2440"/>
      <c r="Y66" s="2440"/>
      <c r="Z66" s="2440"/>
      <c r="AA66" s="2440"/>
      <c r="AB66" s="2440"/>
      <c r="AC66" s="2440"/>
      <c r="AD66" s="2440"/>
      <c r="AE66" s="2440"/>
    </row>
    <row r="67" spans="1:31" s="102" customFormat="1" ht="15.75" thickBot="1">
      <c r="A67" s="449" t="s">
        <v>1716</v>
      </c>
      <c r="B67" s="450"/>
      <c r="C67" s="451"/>
      <c r="D67" s="452"/>
      <c r="E67" s="452"/>
      <c r="F67" s="452"/>
      <c r="G67" s="452"/>
      <c r="H67" s="452"/>
      <c r="I67" s="452"/>
      <c r="J67" s="452"/>
      <c r="K67" s="452"/>
      <c r="L67" s="452"/>
      <c r="M67" s="453"/>
      <c r="N67" s="453"/>
      <c r="O67" s="454"/>
      <c r="P67" s="2509"/>
      <c r="Q67" s="2509"/>
      <c r="R67" s="2440"/>
      <c r="S67" s="2440"/>
      <c r="T67" s="2440"/>
      <c r="U67" s="2440"/>
      <c r="V67" s="2440"/>
      <c r="W67" s="2440"/>
      <c r="X67" s="2440"/>
      <c r="Y67" s="2440"/>
      <c r="Z67" s="2440"/>
      <c r="AA67" s="2440"/>
      <c r="AB67" s="2440"/>
      <c r="AC67" s="2440"/>
      <c r="AD67" s="2440"/>
      <c r="AE67" s="2440"/>
    </row>
    <row r="68" spans="1:31" s="102" customFormat="1" ht="15">
      <c r="A68" s="455" t="s">
        <v>1681</v>
      </c>
      <c r="B68" s="444"/>
      <c r="C68" s="456" t="s">
        <v>1776</v>
      </c>
      <c r="D68" s="31"/>
      <c r="E68" s="31"/>
      <c r="F68" s="31"/>
      <c r="G68" s="31"/>
      <c r="H68" s="31"/>
      <c r="I68" s="31"/>
      <c r="J68" s="31"/>
      <c r="K68" s="31"/>
      <c r="L68" s="457"/>
      <c r="M68" s="458"/>
      <c r="N68" s="2520"/>
      <c r="O68" s="2520"/>
      <c r="P68" s="2544"/>
      <c r="Q68" s="2509"/>
      <c r="R68" s="2440"/>
      <c r="S68" s="2440"/>
      <c r="T68" s="2440"/>
      <c r="U68" s="2440"/>
      <c r="V68" s="2440"/>
      <c r="W68" s="2440"/>
      <c r="X68" s="2440"/>
      <c r="Y68" s="2440"/>
      <c r="Z68" s="2440"/>
      <c r="AA68" s="2440"/>
      <c r="AB68" s="2440"/>
      <c r="AC68" s="2440"/>
      <c r="AD68" s="2440"/>
      <c r="AE68" s="2440"/>
    </row>
    <row r="69" spans="1:31" s="102" customFormat="1" ht="15.75" thickBot="1">
      <c r="A69" s="455"/>
      <c r="B69" s="444"/>
      <c r="C69" s="563">
        <v>100</v>
      </c>
      <c r="D69" s="446"/>
      <c r="E69" s="446"/>
      <c r="F69" s="446"/>
      <c r="G69" s="446"/>
      <c r="H69" s="446"/>
      <c r="I69" s="446"/>
      <c r="J69" s="446"/>
      <c r="K69" s="446"/>
      <c r="L69" s="446"/>
      <c r="M69" s="448"/>
      <c r="N69" s="2520"/>
      <c r="O69" s="2520"/>
      <c r="P69" s="2509"/>
      <c r="Q69" s="2509"/>
      <c r="R69" s="2440"/>
      <c r="S69" s="2440"/>
      <c r="T69" s="2440"/>
      <c r="U69" s="2440"/>
      <c r="V69" s="2440"/>
      <c r="W69" s="2440"/>
      <c r="X69" s="2440"/>
      <c r="Y69" s="2440"/>
      <c r="Z69" s="2440"/>
      <c r="AA69" s="2440"/>
      <c r="AB69" s="2440"/>
      <c r="AC69" s="2440"/>
      <c r="AD69" s="2440"/>
      <c r="AE69" s="2440"/>
    </row>
    <row r="70" spans="1:31">
      <c r="A70" s="379" t="s">
        <v>1719</v>
      </c>
      <c r="B70" s="460" t="s">
        <v>1685</v>
      </c>
      <c r="C70" s="462"/>
      <c r="D70" s="462"/>
      <c r="E70" s="462"/>
      <c r="F70" s="462"/>
      <c r="G70" s="462"/>
      <c r="H70" s="462"/>
      <c r="I70" s="462"/>
      <c r="J70" s="462"/>
      <c r="K70" s="463"/>
      <c r="L70" s="464"/>
      <c r="M70" s="465"/>
      <c r="N70" s="2521"/>
      <c r="O70" s="2521"/>
      <c r="P70" s="2520"/>
      <c r="Q70" s="2509"/>
      <c r="R70" s="2488"/>
      <c r="S70" s="2488"/>
      <c r="T70" s="2488"/>
      <c r="U70" s="2488"/>
      <c r="V70" s="2488"/>
      <c r="W70" s="2488"/>
      <c r="X70" s="2488"/>
      <c r="Y70" s="2488"/>
      <c r="Z70" s="2488"/>
      <c r="AA70" s="2488"/>
      <c r="AB70" s="2488"/>
      <c r="AC70" s="2488"/>
      <c r="AD70" s="2488"/>
      <c r="AE70" s="2488"/>
    </row>
    <row r="71" spans="1:31" ht="15.75" thickBot="1">
      <c r="A71" s="367"/>
      <c r="B71" s="466"/>
      <c r="C71" s="467"/>
      <c r="D71" s="467"/>
      <c r="E71" s="467"/>
      <c r="F71" s="467"/>
      <c r="G71" s="467"/>
      <c r="H71" s="467"/>
      <c r="I71" s="467"/>
      <c r="J71" s="467"/>
      <c r="K71" s="467"/>
      <c r="L71" s="467"/>
      <c r="M71" s="468"/>
      <c r="N71" s="2522"/>
      <c r="O71" s="2522"/>
      <c r="P71" s="2520"/>
      <c r="Q71" s="2509"/>
      <c r="R71" s="2488"/>
      <c r="S71" s="2488"/>
      <c r="T71" s="2488"/>
      <c r="U71" s="2488"/>
      <c r="V71" s="2488"/>
      <c r="W71" s="2488"/>
      <c r="X71" s="2488"/>
      <c r="Y71" s="2488"/>
      <c r="Z71" s="2488"/>
      <c r="AA71" s="2488"/>
      <c r="AB71" s="2488"/>
      <c r="AC71" s="2488"/>
      <c r="AD71" s="2488"/>
      <c r="AE71" s="2488"/>
    </row>
    <row r="72" spans="1:31" ht="27.75" thickTop="1">
      <c r="A72" s="367"/>
      <c r="B72" s="469" t="s">
        <v>1688</v>
      </c>
      <c r="C72" s="470"/>
      <c r="D72" s="470"/>
      <c r="E72" s="470"/>
      <c r="F72" s="470"/>
      <c r="G72" s="470"/>
      <c r="H72" s="470"/>
      <c r="I72" s="470"/>
      <c r="J72" s="470"/>
      <c r="K72" s="471"/>
      <c r="L72" s="472"/>
      <c r="M72" s="473"/>
      <c r="N72" s="2521"/>
      <c r="O72" s="2521"/>
      <c r="P72" s="2520"/>
      <c r="Q72" s="2509"/>
      <c r="R72" s="2488"/>
      <c r="S72" s="2488"/>
      <c r="T72" s="2488"/>
      <c r="U72" s="2488"/>
      <c r="V72" s="2488"/>
      <c r="W72" s="2488"/>
      <c r="X72" s="2488"/>
      <c r="Y72" s="2488"/>
      <c r="Z72" s="2488"/>
      <c r="AA72" s="2488"/>
      <c r="AB72" s="2488"/>
      <c r="AC72" s="2488"/>
      <c r="AD72" s="2488"/>
      <c r="AE72" s="2488"/>
    </row>
    <row r="73" spans="1:31" ht="15.75" thickBot="1">
      <c r="A73" s="367"/>
      <c r="B73" s="474"/>
      <c r="C73" s="475"/>
      <c r="D73" s="475"/>
      <c r="E73" s="475"/>
      <c r="F73" s="475"/>
      <c r="G73" s="475"/>
      <c r="H73" s="475"/>
      <c r="I73" s="475"/>
      <c r="J73" s="475"/>
      <c r="K73" s="475"/>
      <c r="L73" s="475"/>
      <c r="M73" s="476"/>
      <c r="N73" s="2522"/>
      <c r="O73" s="2522"/>
      <c r="P73" s="2520"/>
      <c r="Q73" s="2509"/>
      <c r="R73" s="2488"/>
      <c r="S73" s="2488"/>
      <c r="T73" s="2488"/>
      <c r="U73" s="2488"/>
      <c r="V73" s="2488"/>
      <c r="W73" s="2488"/>
      <c r="X73" s="2488"/>
      <c r="Y73" s="2488"/>
      <c r="Z73" s="2488"/>
      <c r="AA73" s="2488"/>
      <c r="AB73" s="2488"/>
      <c r="AC73" s="2488"/>
      <c r="AD73" s="2488"/>
      <c r="AE73" s="2488"/>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9"/>
      <c r="R74" s="2488"/>
      <c r="S74" s="2488"/>
      <c r="T74" s="2488"/>
      <c r="U74" s="2488"/>
      <c r="V74" s="2488"/>
      <c r="W74" s="2488"/>
      <c r="X74" s="2488"/>
      <c r="Y74" s="2488"/>
      <c r="Z74" s="2488"/>
      <c r="AA74" s="2488"/>
      <c r="AB74" s="2488"/>
      <c r="AC74" s="2488"/>
      <c r="AD74" s="2488"/>
      <c r="AE74" s="2488"/>
    </row>
    <row r="75" spans="1:31" ht="15">
      <c r="A75" s="367"/>
      <c r="B75" s="479"/>
      <c r="C75" s="480"/>
      <c r="D75" s="480"/>
      <c r="E75" s="480"/>
      <c r="F75" s="480"/>
      <c r="G75" s="480"/>
      <c r="H75" s="480"/>
      <c r="I75" s="480"/>
      <c r="J75" s="480"/>
      <c r="K75" s="481"/>
      <c r="L75" s="482"/>
      <c r="M75" s="483"/>
      <c r="N75" s="2521"/>
      <c r="O75" s="2521"/>
      <c r="P75" s="2520"/>
      <c r="Q75" s="2509"/>
      <c r="R75" s="2488"/>
      <c r="S75" s="2488"/>
      <c r="T75" s="2488"/>
      <c r="U75" s="2488"/>
      <c r="V75" s="2488"/>
      <c r="W75" s="2488"/>
      <c r="X75" s="2488"/>
      <c r="Y75" s="2488"/>
      <c r="Z75" s="2488"/>
      <c r="AA75" s="2488"/>
      <c r="AB75" s="2488"/>
      <c r="AC75" s="2488"/>
      <c r="AD75" s="2488"/>
      <c r="AE75" s="2488"/>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9"/>
      <c r="R76" s="2488"/>
      <c r="S76" s="2488"/>
      <c r="T76" s="2488"/>
      <c r="U76" s="2488"/>
      <c r="V76" s="2488"/>
      <c r="W76" s="2488"/>
      <c r="X76" s="2488"/>
      <c r="Y76" s="2488"/>
      <c r="Z76" s="2488"/>
      <c r="AA76" s="2488"/>
      <c r="AB76" s="2488"/>
      <c r="AC76" s="2488"/>
      <c r="AD76" s="2488"/>
      <c r="AE76" s="2488"/>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4"/>
      <c r="S77" s="2494"/>
      <c r="T77" s="2494"/>
      <c r="U77" s="2494"/>
      <c r="V77" s="2494"/>
      <c r="W77" s="2494"/>
      <c r="X77" s="2494"/>
      <c r="Y77" s="2494"/>
      <c r="Z77" s="2494"/>
      <c r="AA77" s="2494"/>
      <c r="AB77" s="2494"/>
      <c r="AC77" s="2494"/>
      <c r="AD77" s="2494"/>
      <c r="AE77" s="2494"/>
    </row>
    <row r="78" spans="1:31" s="408" customFormat="1" ht="15.75" thickBot="1">
      <c r="A78" s="484"/>
      <c r="B78" s="474"/>
      <c r="C78" s="491"/>
      <c r="D78" s="467"/>
      <c r="E78" s="467"/>
      <c r="F78" s="467"/>
      <c r="G78" s="467"/>
      <c r="H78" s="467"/>
      <c r="I78" s="467"/>
      <c r="J78" s="467"/>
      <c r="K78" s="467"/>
      <c r="L78" s="467"/>
      <c r="M78" s="468"/>
      <c r="N78" s="2522"/>
      <c r="O78" s="2522"/>
      <c r="P78" s="2523"/>
      <c r="Q78" s="2515"/>
      <c r="R78" s="2494"/>
      <c r="S78" s="2494"/>
      <c r="T78" s="2494"/>
      <c r="U78" s="2494"/>
      <c r="V78" s="2494"/>
      <c r="W78" s="2494"/>
      <c r="X78" s="2494"/>
      <c r="Y78" s="2494"/>
      <c r="Z78" s="2494"/>
      <c r="AA78" s="2494"/>
      <c r="AB78" s="2494"/>
      <c r="AC78" s="2494"/>
      <c r="AD78" s="2494"/>
      <c r="AE78" s="2494"/>
    </row>
    <row r="79" spans="1:31" s="408" customFormat="1" ht="15.75" thickTop="1">
      <c r="A79" s="484"/>
      <c r="B79" s="469">
        <f>B13</f>
        <v>111</v>
      </c>
      <c r="C79" s="485"/>
      <c r="D79" s="485"/>
      <c r="E79" s="485"/>
      <c r="F79" s="485"/>
      <c r="G79" s="485"/>
      <c r="H79" s="486"/>
      <c r="I79" s="486"/>
      <c r="J79" s="486"/>
      <c r="K79" s="486"/>
      <c r="L79" s="487"/>
      <c r="M79" s="488"/>
      <c r="N79" s="2523"/>
      <c r="O79" s="2523"/>
      <c r="P79" s="2494"/>
      <c r="Q79" s="2517"/>
      <c r="R79" s="2494"/>
      <c r="S79" s="2494"/>
      <c r="T79" s="2494"/>
      <c r="U79" s="2494"/>
      <c r="V79" s="2494"/>
      <c r="W79" s="2494"/>
      <c r="X79" s="2494"/>
      <c r="Y79" s="2494"/>
      <c r="Z79" s="2494"/>
      <c r="AA79" s="2494"/>
      <c r="AB79" s="2494"/>
      <c r="AC79" s="2494"/>
      <c r="AD79" s="2494"/>
      <c r="AE79" s="2494"/>
    </row>
    <row r="80" spans="1:31" s="408" customFormat="1" ht="15.75" thickBot="1">
      <c r="A80" s="484"/>
      <c r="B80" s="474"/>
      <c r="C80" s="491"/>
      <c r="D80" s="491"/>
      <c r="E80" s="491"/>
      <c r="F80" s="491"/>
      <c r="G80" s="491"/>
      <c r="H80" s="493"/>
      <c r="I80" s="493"/>
      <c r="J80" s="493"/>
      <c r="K80" s="493"/>
      <c r="L80" s="493"/>
      <c r="M80" s="494"/>
      <c r="N80" s="2523"/>
      <c r="O80" s="2523"/>
      <c r="P80" s="2523"/>
      <c r="Q80" s="2515"/>
      <c r="R80" s="2494"/>
      <c r="S80" s="2494"/>
      <c r="T80" s="2494"/>
      <c r="U80" s="2494"/>
      <c r="V80" s="2494"/>
      <c r="W80" s="2494"/>
      <c r="X80" s="2494"/>
      <c r="Y80" s="2494"/>
      <c r="Z80" s="2494"/>
      <c r="AA80" s="2494"/>
      <c r="AB80" s="2494"/>
      <c r="AC80" s="2494"/>
      <c r="AD80" s="2494"/>
      <c r="AE80" s="2494"/>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4"/>
      <c r="S81" s="2494"/>
      <c r="T81" s="2494"/>
      <c r="U81" s="2494"/>
      <c r="V81" s="2494"/>
      <c r="W81" s="2494"/>
      <c r="X81" s="2494"/>
      <c r="Y81" s="2494"/>
      <c r="Z81" s="2494"/>
      <c r="AA81" s="2494"/>
      <c r="AB81" s="2494"/>
      <c r="AC81" s="2494"/>
      <c r="AD81" s="2494"/>
      <c r="AE81" s="2494"/>
    </row>
    <row r="82" spans="1:31" s="408" customFormat="1" ht="15.75" thickBot="1">
      <c r="A82" s="499"/>
      <c r="B82" s="500"/>
      <c r="C82" s="501"/>
      <c r="D82" s="501"/>
      <c r="E82" s="501"/>
      <c r="F82" s="501"/>
      <c r="G82" s="501"/>
      <c r="H82" s="502"/>
      <c r="I82" s="502"/>
      <c r="J82" s="502"/>
      <c r="K82" s="502"/>
      <c r="L82" s="502"/>
      <c r="M82" s="503"/>
      <c r="N82" s="2523"/>
      <c r="O82" s="2523"/>
      <c r="P82" s="2523"/>
      <c r="Q82" s="2515"/>
      <c r="R82" s="2494"/>
      <c r="S82" s="2494"/>
      <c r="T82" s="2494"/>
      <c r="U82" s="2494"/>
      <c r="V82" s="2494"/>
      <c r="W82" s="2494"/>
      <c r="X82" s="2494"/>
      <c r="Y82" s="2494"/>
      <c r="Z82" s="2494"/>
      <c r="AA82" s="2494"/>
      <c r="AB82" s="2494"/>
      <c r="AC82" s="2494"/>
      <c r="AD82" s="2494"/>
      <c r="AE82" s="2494"/>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9"/>
      <c r="R83" s="2488"/>
      <c r="S83" s="2488"/>
      <c r="T83" s="2488"/>
      <c r="U83" s="2488"/>
      <c r="V83" s="2488"/>
      <c r="W83" s="2488"/>
      <c r="X83" s="2488"/>
      <c r="Y83" s="2488"/>
      <c r="Z83" s="2488"/>
      <c r="AA83" s="2488"/>
      <c r="AB83" s="2488"/>
      <c r="AC83" s="2488"/>
      <c r="AD83" s="2488"/>
      <c r="AE83" s="2488"/>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9"/>
      <c r="R84" s="2488"/>
      <c r="S84" s="2488"/>
      <c r="T84" s="2488"/>
      <c r="U84" s="2488"/>
      <c r="V84" s="2488"/>
      <c r="W84" s="2488"/>
      <c r="X84" s="2488"/>
      <c r="Y84" s="2488"/>
      <c r="Z84" s="2488"/>
      <c r="AA84" s="2488"/>
      <c r="AB84" s="2488"/>
      <c r="AC84" s="2488"/>
      <c r="AD84" s="2488"/>
      <c r="AE84" s="2488"/>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9"/>
      <c r="R85" s="2488"/>
      <c r="S85" s="2488"/>
      <c r="T85" s="2488"/>
      <c r="U85" s="2488"/>
      <c r="V85" s="2488"/>
      <c r="W85" s="2488"/>
      <c r="X85" s="2488"/>
      <c r="Y85" s="2488"/>
      <c r="Z85" s="2488"/>
      <c r="AA85" s="2488"/>
      <c r="AB85" s="2488"/>
      <c r="AC85" s="2488"/>
      <c r="AD85" s="2488"/>
      <c r="AE85" s="2488"/>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9"/>
      <c r="R86" s="2488"/>
      <c r="S86" s="2488"/>
      <c r="T86" s="2488"/>
      <c r="U86" s="2488"/>
      <c r="V86" s="2488"/>
      <c r="W86" s="2488"/>
      <c r="X86" s="2488"/>
      <c r="Y86" s="2488"/>
      <c r="Z86" s="2488"/>
      <c r="AA86" s="2488"/>
      <c r="AB86" s="2488"/>
      <c r="AC86" s="2488"/>
      <c r="AD86" s="2488"/>
      <c r="AE86" s="2488"/>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9"/>
      <c r="R87" s="2440"/>
      <c r="S87" s="2440"/>
      <c r="T87" s="2440"/>
      <c r="U87" s="2440"/>
      <c r="V87" s="2440"/>
      <c r="W87" s="2440"/>
      <c r="X87" s="2440"/>
      <c r="Y87" s="2440"/>
      <c r="Z87" s="2440"/>
      <c r="AA87" s="2440"/>
      <c r="AB87" s="2440"/>
      <c r="AC87" s="2440"/>
      <c r="AD87" s="2440"/>
      <c r="AE87" s="2440"/>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9"/>
      <c r="R88" s="2440"/>
      <c r="S88" s="2440"/>
      <c r="T88" s="2440"/>
      <c r="U88" s="2440"/>
      <c r="V88" s="2440"/>
      <c r="W88" s="2440"/>
      <c r="X88" s="2440"/>
      <c r="Y88" s="2440"/>
      <c r="Z88" s="2440"/>
      <c r="AA88" s="2440"/>
      <c r="AB88" s="2440"/>
      <c r="AC88" s="2440"/>
      <c r="AD88" s="2440"/>
      <c r="AE88" s="2440"/>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9"/>
      <c r="R89" s="2440"/>
      <c r="S89" s="2440"/>
      <c r="T89" s="2440"/>
      <c r="U89" s="2440"/>
      <c r="V89" s="2440"/>
      <c r="W89" s="2440"/>
      <c r="X89" s="2440"/>
      <c r="Y89" s="2440"/>
      <c r="Z89" s="2440"/>
      <c r="AA89" s="2440"/>
      <c r="AB89" s="2440"/>
      <c r="AC89" s="2440"/>
      <c r="AD89" s="2440"/>
      <c r="AE89" s="2440"/>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9"/>
      <c r="R90" s="2440"/>
      <c r="S90" s="2440"/>
      <c r="T90" s="2440"/>
      <c r="U90" s="2440"/>
      <c r="V90" s="2440"/>
      <c r="W90" s="2440"/>
      <c r="X90" s="2440"/>
      <c r="Y90" s="2440"/>
      <c r="Z90" s="2440"/>
      <c r="AA90" s="2440"/>
      <c r="AB90" s="2440"/>
      <c r="AC90" s="2440"/>
      <c r="AD90" s="2440"/>
      <c r="AE90" s="2440"/>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4"/>
      <c r="S91" s="2494"/>
      <c r="T91" s="2494"/>
      <c r="U91" s="2494"/>
      <c r="V91" s="2494"/>
      <c r="W91" s="2494"/>
      <c r="X91" s="2494"/>
      <c r="Y91" s="2494"/>
      <c r="Z91" s="2494"/>
      <c r="AA91" s="2494"/>
      <c r="AB91" s="2494"/>
      <c r="AC91" s="2494"/>
      <c r="AD91" s="2494"/>
      <c r="AE91" s="2494"/>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4"/>
      <c r="S92" s="2494"/>
      <c r="T92" s="2494"/>
      <c r="U92" s="2494"/>
      <c r="V92" s="2494"/>
      <c r="W92" s="2494"/>
      <c r="X92" s="2494"/>
      <c r="Y92" s="2494"/>
      <c r="Z92" s="2494"/>
      <c r="AA92" s="2494"/>
      <c r="AB92" s="2494"/>
      <c r="AC92" s="2494"/>
      <c r="AD92" s="2494"/>
      <c r="AE92" s="2494"/>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4"/>
      <c r="S93" s="2494"/>
      <c r="T93" s="2494"/>
      <c r="U93" s="2494"/>
      <c r="V93" s="2494"/>
      <c r="W93" s="2494"/>
      <c r="X93" s="2494"/>
      <c r="Y93" s="2494"/>
      <c r="Z93" s="2494"/>
      <c r="AA93" s="2494"/>
      <c r="AB93" s="2494"/>
      <c r="AC93" s="2494"/>
      <c r="AD93" s="2494"/>
      <c r="AE93" s="2494"/>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4"/>
      <c r="S94" s="2494"/>
      <c r="T94" s="2494"/>
      <c r="U94" s="2494"/>
      <c r="V94" s="2494"/>
      <c r="W94" s="2494"/>
      <c r="X94" s="2494"/>
      <c r="Y94" s="2494"/>
      <c r="Z94" s="2494"/>
      <c r="AA94" s="2494"/>
      <c r="AB94" s="2494"/>
      <c r="AC94" s="2494"/>
      <c r="AD94" s="2494"/>
      <c r="AE94" s="2494"/>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9"/>
      <c r="R95" s="2488"/>
      <c r="S95" s="2488"/>
      <c r="T95" s="2488"/>
      <c r="U95" s="2488"/>
      <c r="V95" s="2488"/>
      <c r="W95" s="2488"/>
      <c r="X95" s="2488"/>
      <c r="Y95" s="2488"/>
      <c r="Z95" s="2488"/>
      <c r="AA95" s="2488"/>
      <c r="AB95" s="2488"/>
      <c r="AC95" s="2488"/>
      <c r="AD95" s="2488"/>
      <c r="AE95" s="2488"/>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9"/>
      <c r="R96" s="2488"/>
      <c r="S96" s="2488"/>
      <c r="T96" s="2488"/>
      <c r="U96" s="2488"/>
      <c r="V96" s="2488"/>
      <c r="W96" s="2488"/>
      <c r="X96" s="2488"/>
      <c r="Y96" s="2488"/>
      <c r="Z96" s="2488"/>
      <c r="AA96" s="2488"/>
      <c r="AB96" s="2488"/>
      <c r="AC96" s="2488"/>
      <c r="AD96" s="2488"/>
      <c r="AE96" s="2488"/>
    </row>
    <row r="97" spans="1:31" ht="27.75" thickTop="1">
      <c r="A97" s="367"/>
      <c r="B97" s="469" t="s">
        <v>1815</v>
      </c>
      <c r="C97" s="485"/>
      <c r="D97" s="485"/>
      <c r="E97" s="485"/>
      <c r="F97" s="485"/>
      <c r="G97" s="485"/>
      <c r="H97" s="513"/>
      <c r="I97" s="513"/>
      <c r="J97" s="513"/>
      <c r="K97" s="514"/>
      <c r="L97" s="515"/>
      <c r="M97" s="516"/>
      <c r="N97" s="2521"/>
      <c r="O97" s="2521"/>
      <c r="P97" s="2520"/>
      <c r="Q97" s="2509"/>
      <c r="R97" s="2488"/>
      <c r="S97" s="2488"/>
      <c r="T97" s="2488"/>
      <c r="U97" s="2488"/>
      <c r="V97" s="2488"/>
      <c r="W97" s="2488"/>
      <c r="X97" s="2488"/>
      <c r="Y97" s="2488"/>
      <c r="Z97" s="2488"/>
      <c r="AA97" s="2488"/>
      <c r="AB97" s="2488"/>
      <c r="AC97" s="2488"/>
      <c r="AD97" s="2488"/>
      <c r="AE97" s="2488"/>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9"/>
      <c r="R98" s="2488"/>
      <c r="S98" s="2488"/>
      <c r="T98" s="2488"/>
      <c r="U98" s="2488"/>
      <c r="V98" s="2488"/>
      <c r="W98" s="2488"/>
      <c r="X98" s="2488"/>
      <c r="Y98" s="2488"/>
      <c r="Z98" s="2488"/>
      <c r="AA98" s="2488"/>
      <c r="AB98" s="2488"/>
      <c r="AC98" s="2488"/>
      <c r="AD98" s="2488"/>
      <c r="AE98" s="2488"/>
    </row>
    <row r="99" spans="1:31" ht="15.75" thickTop="1">
      <c r="A99" s="367"/>
      <c r="B99" s="469" t="s">
        <v>1873</v>
      </c>
      <c r="C99" s="513"/>
      <c r="D99" s="513"/>
      <c r="E99" s="513"/>
      <c r="F99" s="513"/>
      <c r="G99" s="513"/>
      <c r="H99" s="513"/>
      <c r="I99" s="513"/>
      <c r="J99" s="513"/>
      <c r="K99" s="514"/>
      <c r="L99" s="515"/>
      <c r="M99" s="516"/>
      <c r="N99" s="2521"/>
      <c r="O99" s="2521"/>
      <c r="P99" s="2520"/>
      <c r="Q99" s="2509"/>
      <c r="R99" s="2488"/>
      <c r="S99" s="2488"/>
      <c r="T99" s="2488"/>
      <c r="U99" s="2488"/>
      <c r="V99" s="2488"/>
      <c r="W99" s="2488"/>
      <c r="X99" s="2488"/>
      <c r="Y99" s="2488"/>
      <c r="Z99" s="2488"/>
      <c r="AA99" s="2488"/>
      <c r="AB99" s="2488"/>
      <c r="AC99" s="2488"/>
      <c r="AD99" s="2488"/>
      <c r="AE99" s="2488"/>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9"/>
      <c r="R100" s="2488"/>
      <c r="S100" s="2488"/>
      <c r="T100" s="2488"/>
      <c r="U100" s="2488"/>
      <c r="V100" s="2488"/>
      <c r="W100" s="2488"/>
      <c r="X100" s="2488"/>
      <c r="Y100" s="2488"/>
      <c r="Z100" s="2488"/>
      <c r="AA100" s="2488"/>
      <c r="AB100" s="2488"/>
      <c r="AC100" s="2488"/>
      <c r="AD100" s="2488"/>
      <c r="AE100" s="2488"/>
    </row>
    <row r="101" spans="1:31" ht="15.75" thickTop="1">
      <c r="A101" s="367"/>
      <c r="B101" s="477">
        <f>B31</f>
        <v>111</v>
      </c>
      <c r="C101" s="485"/>
      <c r="D101" s="485"/>
      <c r="E101" s="485"/>
      <c r="F101" s="485"/>
      <c r="G101" s="517"/>
      <c r="H101" s="517"/>
      <c r="I101" s="517"/>
      <c r="J101" s="517"/>
      <c r="K101" s="518"/>
      <c r="L101" s="519"/>
      <c r="M101" s="520"/>
      <c r="N101" s="2521"/>
      <c r="O101" s="2521"/>
      <c r="P101" s="2520"/>
      <c r="Q101" s="2509"/>
      <c r="R101" s="2488"/>
      <c r="S101" s="2488"/>
      <c r="T101" s="2488"/>
      <c r="U101" s="2488"/>
      <c r="V101" s="2488"/>
      <c r="W101" s="2488"/>
      <c r="X101" s="2488"/>
      <c r="Y101" s="2488"/>
      <c r="Z101" s="2488"/>
      <c r="AA101" s="2488"/>
      <c r="AB101" s="2488"/>
      <c r="AC101" s="2488"/>
      <c r="AD101" s="2488"/>
      <c r="AE101" s="2488"/>
    </row>
    <row r="102" spans="1:31" ht="15.75" thickBot="1">
      <c r="A102" s="367"/>
      <c r="B102" s="500"/>
      <c r="C102" s="491"/>
      <c r="D102" s="467"/>
      <c r="E102" s="467"/>
      <c r="F102" s="467"/>
      <c r="G102" s="521"/>
      <c r="H102" s="521"/>
      <c r="I102" s="521"/>
      <c r="J102" s="521"/>
      <c r="K102" s="521"/>
      <c r="L102" s="521"/>
      <c r="M102" s="522"/>
      <c r="N102" s="2522"/>
      <c r="O102" s="2522"/>
      <c r="P102" s="2520"/>
      <c r="Q102" s="2509"/>
      <c r="R102" s="2488"/>
      <c r="S102" s="2488"/>
      <c r="T102" s="2488"/>
      <c r="U102" s="2488"/>
      <c r="V102" s="2488"/>
      <c r="W102" s="2488"/>
      <c r="X102" s="2488"/>
      <c r="Y102" s="2488"/>
      <c r="Z102" s="2488"/>
      <c r="AA102" s="2488"/>
      <c r="AB102" s="2488"/>
      <c r="AC102" s="2488"/>
      <c r="AD102" s="2488"/>
      <c r="AE102" s="2488"/>
    </row>
    <row r="103" spans="1:31" ht="15" thickTop="1">
      <c r="A103" s="595"/>
      <c r="B103" s="469">
        <f>B32</f>
        <v>111</v>
      </c>
      <c r="C103" s="485"/>
      <c r="D103" s="485"/>
      <c r="E103" s="485"/>
      <c r="F103" s="485"/>
      <c r="G103" s="513"/>
      <c r="H103" s="513"/>
      <c r="I103" s="513"/>
      <c r="J103" s="513"/>
      <c r="K103" s="514"/>
      <c r="L103" s="515"/>
      <c r="M103" s="516"/>
      <c r="N103" s="2521"/>
      <c r="O103" s="2521"/>
      <c r="P103" s="2520"/>
      <c r="Q103" s="2509"/>
      <c r="R103" s="2488"/>
      <c r="S103" s="2488"/>
      <c r="T103" s="2488"/>
      <c r="U103" s="2488"/>
      <c r="V103" s="2488"/>
      <c r="W103" s="2488"/>
      <c r="X103" s="2488"/>
      <c r="Y103" s="2488"/>
      <c r="Z103" s="2488"/>
      <c r="AA103" s="2488"/>
      <c r="AB103" s="2488"/>
      <c r="AC103" s="2488"/>
      <c r="AD103" s="2488"/>
      <c r="AE103" s="2488"/>
    </row>
    <row r="104" spans="1:31" ht="15.75" thickBot="1">
      <c r="A104" s="367"/>
      <c r="B104" s="474"/>
      <c r="C104" s="491"/>
      <c r="D104" s="491"/>
      <c r="E104" s="491"/>
      <c r="F104" s="491"/>
      <c r="G104" s="467"/>
      <c r="H104" s="467"/>
      <c r="I104" s="467"/>
      <c r="J104" s="467"/>
      <c r="K104" s="467"/>
      <c r="L104" s="467"/>
      <c r="M104" s="468"/>
      <c r="N104" s="2522"/>
      <c r="O104" s="2522"/>
      <c r="P104" s="2520"/>
      <c r="Q104" s="2509"/>
      <c r="R104" s="2488"/>
      <c r="S104" s="2488"/>
      <c r="T104" s="2488"/>
      <c r="U104" s="2488"/>
      <c r="V104" s="2488"/>
      <c r="W104" s="2488"/>
      <c r="X104" s="2488"/>
      <c r="Y104" s="2488"/>
      <c r="Z104" s="2488"/>
      <c r="AA104" s="2488"/>
      <c r="AB104" s="2488"/>
      <c r="AC104" s="2488"/>
      <c r="AD104" s="2488"/>
      <c r="AE104" s="2488"/>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4"/>
      <c r="S105" s="2494"/>
      <c r="T105" s="2494"/>
      <c r="U105" s="2494"/>
      <c r="V105" s="2494"/>
      <c r="W105" s="2494"/>
      <c r="X105" s="2494"/>
      <c r="Y105" s="2494"/>
      <c r="Z105" s="2494"/>
      <c r="AA105" s="2494"/>
      <c r="AB105" s="2494"/>
      <c r="AC105" s="2494"/>
      <c r="AD105" s="2494"/>
      <c r="AE105" s="2494"/>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4"/>
      <c r="S106" s="2494"/>
      <c r="T106" s="2494"/>
      <c r="U106" s="2494"/>
      <c r="V106" s="2494"/>
      <c r="W106" s="2494"/>
      <c r="X106" s="2494"/>
      <c r="Y106" s="2494"/>
      <c r="Z106" s="2494"/>
      <c r="AA106" s="2494"/>
      <c r="AB106" s="2494"/>
      <c r="AC106" s="2494"/>
      <c r="AD106" s="2494"/>
      <c r="AE106" s="2494"/>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9"/>
      <c r="R107" s="2488"/>
      <c r="S107" s="2488"/>
      <c r="T107" s="2488"/>
      <c r="U107" s="2488"/>
      <c r="V107" s="2488"/>
      <c r="W107" s="2488"/>
      <c r="X107" s="2488"/>
      <c r="Y107" s="2488"/>
      <c r="Z107" s="2488"/>
      <c r="AA107" s="2488"/>
      <c r="AB107" s="2488"/>
      <c r="AC107" s="2488"/>
      <c r="AD107" s="2488"/>
      <c r="AE107" s="2488"/>
    </row>
    <row r="108" spans="1:31" ht="15">
      <c r="A108" s="367"/>
      <c r="B108" s="477"/>
      <c r="C108" s="6"/>
      <c r="D108" s="6"/>
      <c r="E108" s="6"/>
      <c r="F108" s="6"/>
      <c r="G108" s="6"/>
      <c r="H108" s="6"/>
      <c r="I108" s="6"/>
      <c r="J108" s="524"/>
      <c r="K108" s="524"/>
      <c r="L108" s="525"/>
      <c r="M108" s="526"/>
      <c r="N108" s="2521"/>
      <c r="O108" s="2521"/>
      <c r="P108" s="2520"/>
      <c r="Q108" s="2509"/>
      <c r="R108" s="2488"/>
      <c r="S108" s="2488"/>
      <c r="T108" s="2488"/>
      <c r="U108" s="2488"/>
      <c r="V108" s="2488"/>
      <c r="W108" s="2488"/>
      <c r="X108" s="2488"/>
      <c r="Y108" s="2488"/>
      <c r="Z108" s="2488"/>
      <c r="AA108" s="2488"/>
      <c r="AB108" s="2488"/>
      <c r="AC108" s="2488"/>
      <c r="AD108" s="2488"/>
      <c r="AE108" s="2488"/>
    </row>
    <row r="109" spans="1:31" ht="15.75" thickBot="1">
      <c r="A109" s="367"/>
      <c r="B109" s="474"/>
      <c r="C109" s="501"/>
      <c r="D109" s="521"/>
      <c r="E109" s="521"/>
      <c r="F109" s="521"/>
      <c r="G109" s="521"/>
      <c r="H109" s="521"/>
      <c r="I109" s="521"/>
      <c r="J109" s="521"/>
      <c r="K109" s="521"/>
      <c r="L109" s="521"/>
      <c r="M109" s="522"/>
      <c r="N109" s="2522"/>
      <c r="O109" s="2522"/>
      <c r="P109" s="2520"/>
      <c r="Q109" s="2509"/>
      <c r="R109" s="2488"/>
      <c r="S109" s="2488"/>
      <c r="T109" s="2488"/>
      <c r="U109" s="2488"/>
      <c r="V109" s="2488"/>
      <c r="W109" s="2488"/>
      <c r="X109" s="2488"/>
      <c r="Y109" s="2488"/>
      <c r="Z109" s="2488"/>
      <c r="AA109" s="2488"/>
      <c r="AB109" s="2488"/>
      <c r="AC109" s="2488"/>
      <c r="AD109" s="2488"/>
      <c r="AE109" s="2488"/>
    </row>
    <row r="110" spans="1:31" ht="15" thickTop="1">
      <c r="A110" s="409"/>
      <c r="B110" s="469" t="s">
        <v>1914</v>
      </c>
      <c r="C110" s="513"/>
      <c r="D110" s="513"/>
      <c r="E110" s="513"/>
      <c r="F110" s="513"/>
      <c r="G110" s="513"/>
      <c r="H110" s="513"/>
      <c r="I110" s="513"/>
      <c r="J110" s="513"/>
      <c r="K110" s="514"/>
      <c r="L110" s="515"/>
      <c r="M110" s="516"/>
      <c r="N110" s="2521"/>
      <c r="O110" s="2521"/>
      <c r="P110" s="2520"/>
      <c r="Q110" s="2509"/>
      <c r="R110" s="2488"/>
      <c r="S110" s="2488"/>
      <c r="T110" s="2488"/>
      <c r="U110" s="2488"/>
      <c r="V110" s="2488"/>
      <c r="W110" s="2488"/>
      <c r="X110" s="2488"/>
      <c r="Y110" s="2488"/>
      <c r="Z110" s="2488"/>
      <c r="AA110" s="2488"/>
      <c r="AB110" s="2488"/>
      <c r="AC110" s="2488"/>
      <c r="AD110" s="2488"/>
      <c r="AE110" s="2488"/>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9"/>
      <c r="R111" s="2488"/>
      <c r="S111" s="2488"/>
      <c r="T111" s="2488"/>
      <c r="U111" s="2488"/>
      <c r="V111" s="2488"/>
      <c r="W111" s="2488"/>
      <c r="X111" s="2488"/>
      <c r="Y111" s="2488"/>
      <c r="Z111" s="2488"/>
      <c r="AA111" s="2488"/>
      <c r="AB111" s="2488"/>
      <c r="AC111" s="2488"/>
      <c r="AD111" s="2488"/>
      <c r="AE111" s="2488"/>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4"/>
      <c r="S112" s="2494"/>
      <c r="T112" s="2494"/>
      <c r="U112" s="2494"/>
      <c r="V112" s="2494"/>
      <c r="W112" s="2494"/>
      <c r="X112" s="2494"/>
      <c r="Y112" s="2494"/>
      <c r="Z112" s="2494"/>
      <c r="AA112" s="2494"/>
      <c r="AB112" s="2494"/>
      <c r="AC112" s="2494"/>
      <c r="AD112" s="2494"/>
      <c r="AE112" s="2494"/>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4"/>
      <c r="S113" s="2494"/>
      <c r="T113" s="2494"/>
      <c r="U113" s="2494"/>
      <c r="V113" s="2494"/>
      <c r="W113" s="2494"/>
      <c r="X113" s="2494"/>
      <c r="Y113" s="2494"/>
      <c r="Z113" s="2494"/>
      <c r="AA113" s="2494"/>
      <c r="AB113" s="2494"/>
      <c r="AC113" s="2494"/>
      <c r="AD113" s="2494"/>
      <c r="AE113" s="2494"/>
    </row>
    <row r="114" spans="1:31" ht="15" thickTop="1">
      <c r="A114" s="409"/>
      <c r="B114" s="469" t="s">
        <v>1917</v>
      </c>
      <c r="C114" s="485"/>
      <c r="D114" s="485"/>
      <c r="E114" s="513"/>
      <c r="F114" s="513"/>
      <c r="G114" s="513"/>
      <c r="H114" s="513"/>
      <c r="I114" s="513"/>
      <c r="J114" s="513"/>
      <c r="K114" s="514"/>
      <c r="L114" s="515"/>
      <c r="M114" s="516"/>
      <c r="N114" s="2521"/>
      <c r="O114" s="2521"/>
      <c r="P114" s="2520"/>
      <c r="Q114" s="2509"/>
      <c r="R114" s="2488"/>
      <c r="S114" s="2488"/>
      <c r="T114" s="2488"/>
      <c r="U114" s="2488"/>
      <c r="V114" s="2488"/>
      <c r="W114" s="2488"/>
      <c r="X114" s="2488"/>
      <c r="Y114" s="2488"/>
      <c r="Z114" s="2488"/>
      <c r="AA114" s="2488"/>
      <c r="AB114" s="2488"/>
      <c r="AC114" s="2488"/>
      <c r="AD114" s="2488"/>
      <c r="AE114" s="2488"/>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9"/>
      <c r="R115" s="2488"/>
      <c r="S115" s="2488"/>
      <c r="T115" s="2488"/>
      <c r="U115" s="2488"/>
      <c r="V115" s="2488"/>
      <c r="W115" s="2488"/>
      <c r="X115" s="2488"/>
      <c r="Y115" s="2488"/>
      <c r="Z115" s="2488"/>
      <c r="AA115" s="2488"/>
      <c r="AB115" s="2488"/>
      <c r="AC115" s="2488"/>
      <c r="AD115" s="2488"/>
      <c r="AE115" s="2488"/>
    </row>
    <row r="116" spans="1:31" ht="15" thickTop="1">
      <c r="A116" s="409"/>
      <c r="B116" s="469">
        <f>B38</f>
        <v>111</v>
      </c>
      <c r="C116" s="485"/>
      <c r="D116" s="485"/>
      <c r="E116" s="485"/>
      <c r="F116" s="485"/>
      <c r="G116" s="485"/>
      <c r="H116" s="513"/>
      <c r="I116" s="513"/>
      <c r="J116" s="513"/>
      <c r="K116" s="514"/>
      <c r="L116" s="515"/>
      <c r="M116" s="516"/>
      <c r="N116" s="2521"/>
      <c r="O116" s="2521"/>
      <c r="P116" s="2520"/>
      <c r="Q116" s="2509"/>
      <c r="R116" s="2488"/>
      <c r="S116" s="2488"/>
      <c r="T116" s="2488"/>
      <c r="U116" s="2488"/>
      <c r="V116" s="2488"/>
      <c r="W116" s="2488"/>
      <c r="X116" s="2488"/>
      <c r="Y116" s="2488"/>
      <c r="Z116" s="2488"/>
      <c r="AA116" s="2488"/>
      <c r="AB116" s="2488"/>
      <c r="AC116" s="2488"/>
      <c r="AD116" s="2488"/>
      <c r="AE116" s="2488"/>
    </row>
    <row r="117" spans="1:31" ht="15.75" thickBot="1">
      <c r="A117" s="367"/>
      <c r="B117" s="474"/>
      <c r="C117" s="491"/>
      <c r="D117" s="467"/>
      <c r="E117" s="467"/>
      <c r="F117" s="467"/>
      <c r="G117" s="467"/>
      <c r="H117" s="467"/>
      <c r="I117" s="467"/>
      <c r="J117" s="467"/>
      <c r="K117" s="467"/>
      <c r="L117" s="467"/>
      <c r="M117" s="468"/>
      <c r="N117" s="2522"/>
      <c r="O117" s="2522"/>
      <c r="P117" s="2520"/>
      <c r="Q117" s="2509"/>
      <c r="R117" s="2488"/>
      <c r="S117" s="2488"/>
      <c r="T117" s="2488"/>
      <c r="U117" s="2488"/>
      <c r="V117" s="2488"/>
      <c r="W117" s="2488"/>
      <c r="X117" s="2488"/>
      <c r="Y117" s="2488"/>
      <c r="Z117" s="2488"/>
      <c r="AA117" s="2488"/>
      <c r="AB117" s="2488"/>
      <c r="AC117" s="2488"/>
      <c r="AD117" s="2488"/>
      <c r="AE117" s="2488"/>
    </row>
    <row r="118" spans="1:31" ht="15" thickTop="1">
      <c r="A118" s="409"/>
      <c r="B118" s="469">
        <f>B39</f>
        <v>111</v>
      </c>
      <c r="C118" s="485"/>
      <c r="D118" s="485"/>
      <c r="E118" s="485"/>
      <c r="F118" s="485"/>
      <c r="G118" s="513"/>
      <c r="H118" s="513"/>
      <c r="I118" s="513"/>
      <c r="J118" s="513"/>
      <c r="K118" s="514"/>
      <c r="L118" s="515"/>
      <c r="M118" s="516"/>
      <c r="N118" s="2521"/>
      <c r="O118" s="2521"/>
      <c r="P118" s="2520"/>
      <c r="Q118" s="2509"/>
      <c r="R118" s="2488"/>
      <c r="S118" s="2488"/>
      <c r="T118" s="2488"/>
      <c r="U118" s="2488"/>
      <c r="V118" s="2488"/>
      <c r="W118" s="2488"/>
      <c r="X118" s="2488"/>
      <c r="Y118" s="2488"/>
      <c r="Z118" s="2488"/>
      <c r="AA118" s="2488"/>
      <c r="AB118" s="2488"/>
      <c r="AC118" s="2488"/>
      <c r="AD118" s="2488"/>
      <c r="AE118" s="2488"/>
    </row>
    <row r="119" spans="1:31" ht="15.75" thickBot="1">
      <c r="A119" s="367"/>
      <c r="B119" s="474"/>
      <c r="C119" s="491"/>
      <c r="D119" s="491"/>
      <c r="E119" s="491"/>
      <c r="F119" s="491"/>
      <c r="G119" s="467"/>
      <c r="H119" s="467"/>
      <c r="I119" s="467"/>
      <c r="J119" s="467"/>
      <c r="K119" s="467"/>
      <c r="L119" s="467"/>
      <c r="M119" s="468"/>
      <c r="N119" s="2522"/>
      <c r="O119" s="2522"/>
      <c r="P119" s="2520"/>
      <c r="Q119" s="2509"/>
      <c r="R119" s="2488"/>
      <c r="S119" s="2488"/>
      <c r="T119" s="2488"/>
      <c r="U119" s="2488"/>
      <c r="V119" s="2488"/>
      <c r="W119" s="2488"/>
      <c r="X119" s="2488"/>
      <c r="Y119" s="2488"/>
      <c r="Z119" s="2488"/>
      <c r="AA119" s="2488"/>
      <c r="AB119" s="2488"/>
      <c r="AC119" s="2488"/>
      <c r="AD119" s="2488"/>
      <c r="AE119" s="2488"/>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4"/>
      <c r="S120" s="2494"/>
      <c r="T120" s="2494"/>
      <c r="U120" s="2494"/>
      <c r="V120" s="2494"/>
      <c r="W120" s="2494"/>
      <c r="X120" s="2494"/>
      <c r="Y120" s="2494"/>
      <c r="Z120" s="2494"/>
      <c r="AA120" s="2494"/>
      <c r="AB120" s="2494"/>
      <c r="AC120" s="2494"/>
      <c r="AD120" s="2494"/>
      <c r="AE120" s="2494"/>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4"/>
      <c r="S121" s="2494"/>
      <c r="T121" s="2494"/>
      <c r="U121" s="2494"/>
      <c r="V121" s="2494"/>
      <c r="W121" s="2494"/>
      <c r="X121" s="2494"/>
      <c r="Y121" s="2494"/>
      <c r="Z121" s="2494"/>
      <c r="AA121" s="2494"/>
      <c r="AB121" s="2494"/>
      <c r="AC121" s="2494"/>
      <c r="AD121" s="2494"/>
      <c r="AE121" s="2494"/>
    </row>
    <row r="122" spans="1:31">
      <c r="N122" s="2488"/>
      <c r="O122" s="2488"/>
      <c r="P122" s="2488"/>
      <c r="Q122" s="2488"/>
      <c r="R122" s="2488"/>
      <c r="S122" s="2488"/>
      <c r="T122" s="2488"/>
      <c r="U122" s="2488"/>
      <c r="V122" s="2488"/>
      <c r="W122" s="2488"/>
      <c r="X122" s="2488"/>
      <c r="Y122" s="2488"/>
      <c r="Z122" s="2488"/>
      <c r="AA122" s="2488"/>
      <c r="AB122" s="2488"/>
      <c r="AC122" s="2488"/>
      <c r="AD122" s="2488"/>
      <c r="AE122" s="2488"/>
    </row>
    <row r="123" spans="1:31">
      <c r="P123" s="2488"/>
      <c r="Q123" s="2488"/>
      <c r="R123" s="2488"/>
      <c r="S123" s="2488"/>
      <c r="T123" s="2488"/>
      <c r="U123" s="2488"/>
      <c r="V123" s="2488"/>
      <c r="W123" s="2488"/>
      <c r="X123" s="2488"/>
      <c r="Y123" s="2488"/>
      <c r="Z123" s="2488"/>
      <c r="AA123" s="2488"/>
      <c r="AB123" s="2488"/>
      <c r="AC123" s="2488"/>
      <c r="AD123" s="2488"/>
      <c r="AE123" s="248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12"/>
      <c r="C2" s="3212"/>
      <c r="D2" s="3212"/>
      <c r="E2" s="3212"/>
    </row>
    <row r="3" spans="1:5" ht="18">
      <c r="A3" s="3213" t="str">
        <f>IF(项目基本情况!B9="房地产市场价值","估价结果一览表（市场价值不需“结果表-1”）","估价结果一览表")</f>
        <v>估价结果一览表</v>
      </c>
      <c r="B3" s="3213"/>
      <c r="C3" s="3213"/>
      <c r="D3" s="3213"/>
      <c r="E3" s="3213"/>
    </row>
    <row r="4" spans="1:5" ht="19.5" thickBot="1">
      <c r="A4" s="1391"/>
      <c r="B4" s="3211" t="s">
        <v>917</v>
      </c>
      <c r="C4" s="3211"/>
      <c r="D4" s="3211"/>
      <c r="E4" s="1391"/>
    </row>
    <row r="5" spans="1:5" ht="16.5" thickTop="1">
      <c r="B5" s="3209" t="s">
        <v>909</v>
      </c>
      <c r="C5" s="1392" t="s">
        <v>910</v>
      </c>
      <c r="D5" s="797">
        <f ca="1">结果表!H101</f>
        <v>252404</v>
      </c>
    </row>
    <row r="6" spans="1:5" ht="15.75">
      <c r="B6" s="3209"/>
      <c r="C6" s="1392" t="s">
        <v>911</v>
      </c>
      <c r="D6" s="797" t="str">
        <f ca="1">NUMBERSTRING(INT(D5*10000),2)&amp;"元整"</f>
        <v>贰拾伍亿贰仟肆佰零肆万元整</v>
      </c>
    </row>
    <row r="7" spans="1:5" ht="15.75">
      <c r="B7" s="3214"/>
      <c r="C7" s="1393" t="s">
        <v>912</v>
      </c>
      <c r="D7" s="798">
        <f ca="1">结果表!H102</f>
        <v>24295</v>
      </c>
    </row>
    <row r="8" spans="1:5" ht="15.75">
      <c r="B8" s="3215" t="str">
        <f>结果表!E103</f>
        <v>2.估价师知悉的法定优先受偿款</v>
      </c>
      <c r="C8" s="1394" t="s">
        <v>913</v>
      </c>
      <c r="D8" s="798">
        <f>结果表!H103</f>
        <v>0</v>
      </c>
    </row>
    <row r="9" spans="1:5" ht="15.75">
      <c r="B9" s="3217"/>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08" t="str">
        <f>结果表!E107</f>
        <v>3.房地产抵押价值</v>
      </c>
      <c r="C13" s="1397" t="s">
        <v>910</v>
      </c>
      <c r="D13" s="800">
        <f ca="1">结果表!H107</f>
        <v>252404</v>
      </c>
    </row>
    <row r="14" spans="1:5" ht="15.75">
      <c r="B14" s="3209"/>
      <c r="C14" s="1392" t="s">
        <v>911</v>
      </c>
      <c r="D14" s="797" t="str">
        <f ca="1">NUMBERSTRING(INT(D13*10000),2)&amp;"元整"</f>
        <v>贰拾伍亿贰仟肆佰零肆万元整</v>
      </c>
    </row>
    <row r="15" spans="1:5" ht="15">
      <c r="B15" s="3214"/>
      <c r="C15" s="1393" t="s">
        <v>921</v>
      </c>
      <c r="D15" s="806">
        <f ca="1">结果表!H108</f>
        <v>24295</v>
      </c>
    </row>
    <row r="16" spans="1:5" ht="15">
      <c r="B16" s="3215" t="str">
        <f>结果表!E109</f>
        <v>——</v>
      </c>
      <c r="C16" s="1397" t="s">
        <v>922</v>
      </c>
      <c r="D16" s="1398" t="str">
        <f>结果表!H109</f>
        <v>——</v>
      </c>
    </row>
    <row r="17" spans="1:5" ht="15.75">
      <c r="B17" s="3216"/>
      <c r="C17" s="1392" t="s">
        <v>923</v>
      </c>
      <c r="D17" s="797" t="e">
        <f>NUMBERSTRING(INT(D16*10000),2)&amp;"元整"</f>
        <v>#VALUE!</v>
      </c>
    </row>
    <row r="18" spans="1:5" ht="15">
      <c r="B18" s="3217"/>
      <c r="C18" s="1393" t="s">
        <v>912</v>
      </c>
      <c r="D18" s="806" t="str">
        <f>结果表!H110</f>
        <v>——</v>
      </c>
    </row>
    <row r="19" spans="1:5" ht="15.75">
      <c r="B19" s="3208" t="str">
        <f>结果表!E111</f>
        <v>——</v>
      </c>
      <c r="C19" s="1397" t="s">
        <v>910</v>
      </c>
      <c r="D19" s="798" t="str">
        <f>结果表!H111</f>
        <v>——</v>
      </c>
    </row>
    <row r="20" spans="1:5" ht="15.75">
      <c r="B20" s="3209"/>
      <c r="C20" s="1392" t="s">
        <v>923</v>
      </c>
      <c r="D20" s="797" t="e">
        <f>NUMBERSTRING(INT(D19*10000),2)&amp;"元整"</f>
        <v>#VALUE!</v>
      </c>
    </row>
    <row r="21" spans="1:5" ht="15.75" thickBot="1">
      <c r="B21" s="3210"/>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18" t="s">
        <v>2084</v>
      </c>
      <c r="D1" s="3519"/>
      <c r="E1" s="3519"/>
      <c r="F1" s="3519"/>
      <c r="G1" s="3519"/>
      <c r="H1" s="3519"/>
      <c r="I1" s="3519"/>
      <c r="J1" s="3519"/>
      <c r="K1" s="3519"/>
      <c r="L1" s="3519"/>
      <c r="M1" s="3519"/>
      <c r="N1" s="3519"/>
      <c r="O1" s="3519"/>
      <c r="P1" s="3519"/>
      <c r="Q1" s="3519"/>
      <c r="R1" s="3519"/>
      <c r="S1" s="352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15" t="s">
        <v>27</v>
      </c>
      <c r="D22" s="3516"/>
      <c r="E22" s="3516"/>
      <c r="F22" s="3516"/>
      <c r="G22" s="3516"/>
      <c r="H22" s="3516"/>
      <c r="I22" s="3516"/>
      <c r="J22" s="3516"/>
      <c r="K22" s="3516"/>
      <c r="L22" s="3516"/>
      <c r="M22" s="3516"/>
      <c r="N22" s="3516"/>
      <c r="O22" s="3516"/>
      <c r="P22" s="3516"/>
      <c r="Q22" s="351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700-000000000000}">
      <formula1>一修多修正项2</formula1>
    </dataValidation>
    <dataValidation type="list" allowBlank="1" showInputMessage="1" showErrorMessage="1" sqref="F24:F524" xr:uid="{00000000-0002-0000-2700-000001000000}">
      <formula1>一修多修正项3</formula1>
    </dataValidation>
    <dataValidation type="list" allowBlank="1" showInputMessage="1" showErrorMessage="1" sqref="H24:H524" xr:uid="{00000000-0002-0000-2700-000002000000}">
      <formula1>一修多修正项4</formula1>
    </dataValidation>
    <dataValidation type="list" allowBlank="1" showInputMessage="1" showErrorMessage="1" sqref="J24:J524" xr:uid="{00000000-0002-0000-2700-000003000000}">
      <formula1>一修多修正项5</formula1>
    </dataValidation>
    <dataValidation type="list" allowBlank="1" showInputMessage="1" showErrorMessage="1" sqref="L24:L524" xr:uid="{00000000-0002-0000-2700-000004000000}">
      <formula1>一修多修正项6</formula1>
    </dataValidation>
    <dataValidation type="list" allowBlank="1" showInputMessage="1" showErrorMessage="1" sqref="N24:N524" xr:uid="{00000000-0002-0000-2700-000005000000}">
      <formula1>一修多修正项7</formula1>
    </dataValidation>
    <dataValidation type="list" allowBlank="1" showInputMessage="1" showErrorMessage="1" sqref="P24:P524" xr:uid="{00000000-0002-0000-2700-000006000000}">
      <formula1>一修多修正项8</formula1>
    </dataValidation>
    <dataValidation type="list" allowBlank="1" showInputMessage="1" showErrorMessage="1" sqref="D20" xr:uid="{00000000-0002-0000-2700-000007000000}">
      <formula1>"需扣减承租人权益,——"</formula1>
    </dataValidation>
    <dataValidation type="list" allowBlank="1" showInputMessage="1" showErrorMessage="1" sqref="H20" xr:uid="{00000000-0002-0000-27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4"/>
      <c r="G1" s="2544"/>
      <c r="H1" s="2544"/>
      <c r="I1" s="2544"/>
      <c r="J1" s="2544"/>
      <c r="K1" s="2544"/>
      <c r="L1" s="2544"/>
      <c r="M1" s="2544"/>
      <c r="N1" s="2544"/>
      <c r="O1" s="2544"/>
      <c r="P1" s="2544"/>
    </row>
    <row r="2" spans="1:16" ht="15.75">
      <c r="A2" s="1984" t="s">
        <v>2073</v>
      </c>
      <c r="B2" s="2388">
        <f ca="1">SUMIF(B6:B13,"&lt;&gt;#ref!",B6:B13)</f>
        <v>176860</v>
      </c>
      <c r="C2" s="1984" t="s">
        <v>2074</v>
      </c>
      <c r="D2" s="1984" t="s">
        <v>2075</v>
      </c>
      <c r="E2" s="2398">
        <f ca="1">SUMIF(E6:E13,"&lt;&gt;#ref!",E6:E13)</f>
        <v>103889.93000000002</v>
      </c>
      <c r="F2" s="2544"/>
      <c r="G2" s="2544"/>
      <c r="H2" s="2544"/>
      <c r="I2" s="2544"/>
      <c r="J2" s="2544"/>
      <c r="K2" s="2544"/>
      <c r="L2" s="2544"/>
      <c r="M2" s="2544"/>
      <c r="N2" s="2544"/>
      <c r="O2" s="2544"/>
      <c r="P2" s="2544"/>
    </row>
    <row r="3" spans="1:16" ht="15.75">
      <c r="A3" s="1984" t="s">
        <v>2076</v>
      </c>
      <c r="B3" s="2388">
        <f ca="1">ROUND(B2*10000/E2,0)</f>
        <v>17024</v>
      </c>
      <c r="C3" s="1984"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4" t="s">
        <v>2077</v>
      </c>
      <c r="B5" s="2396" t="s">
        <v>2078</v>
      </c>
      <c r="C5" s="1985"/>
      <c r="D5" s="2544"/>
      <c r="E5" s="2397" t="s">
        <v>2079</v>
      </c>
      <c r="F5" s="2544"/>
      <c r="G5" s="2544"/>
      <c r="H5" s="2544"/>
      <c r="I5" s="2544"/>
      <c r="J5" s="2544"/>
      <c r="K5" s="2544"/>
      <c r="L5" s="2544"/>
      <c r="M5" s="2544"/>
      <c r="N5" s="2544"/>
      <c r="O5" s="2544"/>
      <c r="P5" s="2544"/>
    </row>
    <row r="6" spans="1:16" ht="15.75">
      <c r="A6" s="2395" t="s">
        <v>2080</v>
      </c>
      <c r="B6" s="2388">
        <f ca="1">SUMIF(INDIRECT("'"&amp;A6&amp;"'"&amp;"!A:A"),"总价",INDIRECT("'"&amp;A6&amp;"'"&amp;"!B:B"))</f>
        <v>176860</v>
      </c>
      <c r="C6" s="1984" t="s">
        <v>2074</v>
      </c>
      <c r="D6" s="2544"/>
      <c r="E6" s="2398">
        <f ca="1">SUMIF(INDIRECT("'"&amp;A6&amp;"'"&amp;"!C:C"),"建筑面积",INDIRECT("'"&amp;A6&amp;"'"&amp;"!D:D"))</f>
        <v>103889.93000000002</v>
      </c>
      <c r="F6" s="2544"/>
      <c r="G6" s="2544"/>
      <c r="H6" s="2544"/>
      <c r="I6" s="2544"/>
      <c r="J6" s="2544"/>
      <c r="K6" s="2544"/>
      <c r="L6" s="2544"/>
      <c r="M6" s="2544"/>
      <c r="N6" s="2544"/>
      <c r="O6" s="2544"/>
      <c r="P6" s="2544"/>
    </row>
    <row r="7" spans="1:16" ht="15.75">
      <c r="A7" s="2395"/>
      <c r="B7" s="2388" t="e">
        <f ca="1">SUMIF(INDIRECT("'"&amp;A7&amp;"'"&amp;"!A:A"),"总价",INDIRECT("'"&amp;A7&amp;"'"&amp;"!B:B"))</f>
        <v>#REF!</v>
      </c>
      <c r="C7" s="1984" t="s">
        <v>2074</v>
      </c>
      <c r="D7" s="2544"/>
      <c r="E7" s="2398" t="e">
        <f t="shared" ref="E7:E13" ca="1" si="0">SUMIF(INDIRECT("'"&amp;A7&amp;"'"&amp;"!C:C"),"建筑面积",INDIRECT("'"&amp;A7&amp;"'"&amp;"!D:D"))</f>
        <v>#REF!</v>
      </c>
      <c r="F7" s="2544"/>
      <c r="G7" s="2544"/>
      <c r="H7" s="2544"/>
      <c r="I7" s="2544"/>
      <c r="J7" s="2544"/>
      <c r="K7" s="2544"/>
      <c r="L7" s="2544"/>
      <c r="M7" s="2544"/>
      <c r="N7" s="2544"/>
      <c r="O7" s="2544"/>
      <c r="P7" s="2544"/>
    </row>
    <row r="8" spans="1:16" ht="15.75">
      <c r="A8" s="2395"/>
      <c r="B8" s="2388" t="e">
        <f t="shared" ref="B8:B13" ca="1" si="1">SUMIF(INDIRECT("'"&amp;A8&amp;"'"&amp;"!A:A"),"总价",INDIRECT("'"&amp;A8&amp;"'"&amp;"!B:B"))</f>
        <v>#REF!</v>
      </c>
      <c r="C8" s="1984" t="s">
        <v>2074</v>
      </c>
      <c r="D8" s="2544"/>
      <c r="E8" s="2398" t="e">
        <f t="shared" ca="1" si="0"/>
        <v>#REF!</v>
      </c>
      <c r="F8" s="2544"/>
      <c r="G8" s="2544"/>
      <c r="H8" s="2544"/>
      <c r="I8" s="2544"/>
      <c r="J8" s="2544"/>
      <c r="K8" s="2544"/>
      <c r="L8" s="2544"/>
      <c r="M8" s="2544"/>
      <c r="N8" s="2544"/>
      <c r="O8" s="2544"/>
      <c r="P8" s="2544"/>
    </row>
    <row r="9" spans="1:16" ht="15.75">
      <c r="A9" s="2395"/>
      <c r="B9" s="2388" t="e">
        <f t="shared" ca="1" si="1"/>
        <v>#REF!</v>
      </c>
      <c r="C9" s="1984" t="s">
        <v>2074</v>
      </c>
      <c r="D9" s="2544"/>
      <c r="E9" s="2398" t="e">
        <f t="shared" ca="1" si="0"/>
        <v>#REF!</v>
      </c>
      <c r="F9" s="2544"/>
      <c r="G9" s="2544"/>
      <c r="H9" s="2544"/>
      <c r="I9" s="2544"/>
      <c r="J9" s="2544"/>
      <c r="K9" s="2544"/>
      <c r="L9" s="2544"/>
      <c r="M9" s="2544"/>
      <c r="N9" s="2544"/>
      <c r="O9" s="2544"/>
      <c r="P9" s="2544"/>
    </row>
    <row r="10" spans="1:16" ht="15.75">
      <c r="A10" s="2395"/>
      <c r="B10" s="2388" t="e">
        <f t="shared" ca="1" si="1"/>
        <v>#REF!</v>
      </c>
      <c r="C10" s="1984" t="s">
        <v>2074</v>
      </c>
      <c r="D10" s="2544"/>
      <c r="E10" s="2398" t="e">
        <f t="shared" ca="1" si="0"/>
        <v>#REF!</v>
      </c>
      <c r="F10" s="2544"/>
      <c r="G10" s="2544"/>
      <c r="H10" s="2544"/>
      <c r="I10" s="2544"/>
      <c r="J10" s="2544"/>
      <c r="K10" s="2544"/>
      <c r="L10" s="2544"/>
      <c r="M10" s="2544"/>
      <c r="N10" s="2544"/>
      <c r="O10" s="2544"/>
      <c r="P10" s="2544"/>
    </row>
    <row r="11" spans="1:16" ht="15.75">
      <c r="A11" s="2395"/>
      <c r="B11" s="2388" t="e">
        <f t="shared" ca="1" si="1"/>
        <v>#REF!</v>
      </c>
      <c r="C11" s="1984" t="s">
        <v>2074</v>
      </c>
      <c r="D11" s="2544"/>
      <c r="E11" s="2398" t="e">
        <f t="shared" ca="1" si="0"/>
        <v>#REF!</v>
      </c>
      <c r="F11" s="2544"/>
      <c r="G11" s="2544"/>
      <c r="H11" s="2544"/>
      <c r="I11" s="2544"/>
      <c r="J11" s="2544"/>
      <c r="K11" s="2544"/>
      <c r="L11" s="2544"/>
      <c r="M11" s="2544"/>
      <c r="N11" s="2544"/>
      <c r="O11" s="2544"/>
      <c r="P11" s="2544"/>
    </row>
    <row r="12" spans="1:16" ht="15.75">
      <c r="A12" s="2395"/>
      <c r="B12" s="2388" t="e">
        <f t="shared" ca="1" si="1"/>
        <v>#REF!</v>
      </c>
      <c r="C12" s="1984" t="s">
        <v>2074</v>
      </c>
      <c r="D12" s="2544"/>
      <c r="E12" s="2398" t="e">
        <f t="shared" ca="1" si="0"/>
        <v>#REF!</v>
      </c>
      <c r="F12" s="2544"/>
      <c r="G12" s="2544"/>
      <c r="H12" s="2544"/>
      <c r="I12" s="2544"/>
      <c r="J12" s="2544"/>
      <c r="K12" s="2544"/>
      <c r="L12" s="2544"/>
      <c r="M12" s="2544"/>
      <c r="N12" s="2544"/>
      <c r="O12" s="2544"/>
      <c r="P12" s="2544"/>
    </row>
    <row r="13" spans="1:16" ht="15.75">
      <c r="A13" s="2395"/>
      <c r="B13" s="2388" t="e">
        <f t="shared" ca="1" si="1"/>
        <v>#REF!</v>
      </c>
      <c r="C13" s="1984" t="s">
        <v>2074</v>
      </c>
      <c r="D13" s="2544"/>
      <c r="E13" s="2398"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4" type="noConversion"/>
  <dataValidations count="1">
    <dataValidation type="list" allowBlank="1" showInputMessage="1" showErrorMessage="1" sqref="A6:A13" xr:uid="{00000000-0002-0000-28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2585</v>
      </c>
      <c r="B1" s="2811" t="s">
        <v>2586</v>
      </c>
      <c r="C1" s="2811" t="s">
        <v>2587</v>
      </c>
      <c r="D1" s="2811" t="s">
        <v>2588</v>
      </c>
      <c r="E1" s="2811" t="s">
        <v>2589</v>
      </c>
      <c r="F1" s="2811" t="s">
        <v>2590</v>
      </c>
      <c r="G1" s="2811" t="s">
        <v>2591</v>
      </c>
      <c r="H1" s="2811" t="s">
        <v>2592</v>
      </c>
      <c r="I1" s="2811" t="s">
        <v>2593</v>
      </c>
      <c r="J1" s="2811" t="s">
        <v>2594</v>
      </c>
      <c r="K1" s="2811" t="s">
        <v>2595</v>
      </c>
      <c r="L1" s="2811" t="s">
        <v>2596</v>
      </c>
      <c r="M1" s="2812" t="s">
        <v>2597</v>
      </c>
    </row>
    <row r="2" spans="1:13" ht="19.5" customHeight="1">
      <c r="A2" s="2814" t="s">
        <v>2598</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2599</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2600</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2601</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2602</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2603</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2604</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2605</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2606</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2607</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2608</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2609</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2610</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2611</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2612</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2613</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2614</v>
      </c>
      <c r="B18" s="2836"/>
      <c r="C18" s="2837"/>
      <c r="D18" s="2837"/>
      <c r="E18" s="2836"/>
      <c r="F18" s="2837"/>
      <c r="G18" s="2837"/>
    </row>
    <row r="19" spans="1:13" ht="19.5" customHeight="1" thickBot="1">
      <c r="A19" s="2834" t="s">
        <v>2615</v>
      </c>
      <c r="B19" s="2839" t="s">
        <v>2616</v>
      </c>
      <c r="C19" s="2839" t="s">
        <v>2617</v>
      </c>
      <c r="D19" s="2840"/>
      <c r="E19" s="2834" t="s">
        <v>2618</v>
      </c>
      <c r="F19" s="2841"/>
      <c r="G19" s="2841"/>
    </row>
    <row r="20" spans="1:13" ht="19.5" customHeight="1">
      <c r="A20" s="3530" t="s">
        <v>2598</v>
      </c>
      <c r="B20" s="3525" t="s">
        <v>2619</v>
      </c>
      <c r="C20" s="2842" t="s">
        <v>2430</v>
      </c>
      <c r="D20" s="2843"/>
      <c r="E20" s="2844">
        <v>1</v>
      </c>
      <c r="F20" s="2845" t="s">
        <v>2431</v>
      </c>
      <c r="G20" s="2845"/>
    </row>
    <row r="21" spans="1:13" ht="19.5" customHeight="1">
      <c r="A21" s="3531"/>
      <c r="B21" s="3524"/>
      <c r="C21" s="2846" t="s">
        <v>2432</v>
      </c>
      <c r="D21" s="2847"/>
      <c r="E21" s="2848">
        <v>1</v>
      </c>
      <c r="F21" s="2845" t="s">
        <v>2433</v>
      </c>
      <c r="G21" s="2845"/>
    </row>
    <row r="22" spans="1:13" ht="19.5" customHeight="1">
      <c r="A22" s="3531"/>
      <c r="B22" s="3524"/>
      <c r="C22" s="2846" t="s">
        <v>2434</v>
      </c>
      <c r="D22" s="2847"/>
      <c r="E22" s="2848">
        <v>0.9</v>
      </c>
      <c r="F22" s="2845" t="s">
        <v>2435</v>
      </c>
      <c r="G22" s="2845"/>
    </row>
    <row r="23" spans="1:13" ht="19.5" customHeight="1">
      <c r="A23" s="3531"/>
      <c r="B23" s="3524"/>
      <c r="C23" s="2846" t="s">
        <v>2436</v>
      </c>
      <c r="D23" s="2847"/>
      <c r="E23" s="2848">
        <v>0.9</v>
      </c>
      <c r="F23" s="2845" t="s">
        <v>2437</v>
      </c>
      <c r="G23" s="2845"/>
    </row>
    <row r="24" spans="1:13" ht="19.5" customHeight="1">
      <c r="A24" s="3531"/>
      <c r="B24" s="3524"/>
      <c r="C24" s="2846" t="s">
        <v>2438</v>
      </c>
      <c r="D24" s="2847"/>
      <c r="E24" s="2848">
        <v>0.8</v>
      </c>
      <c r="F24" s="2845" t="s">
        <v>2439</v>
      </c>
      <c r="G24" s="2845"/>
    </row>
    <row r="25" spans="1:13" ht="19.5" customHeight="1" thickBot="1">
      <c r="A25" s="3532"/>
      <c r="B25" s="3526"/>
      <c r="C25" s="2849" t="s">
        <v>2440</v>
      </c>
      <c r="D25" s="2850"/>
      <c r="E25" s="2851">
        <v>0.8</v>
      </c>
      <c r="F25" s="2845" t="s">
        <v>2441</v>
      </c>
      <c r="G25" s="2845"/>
    </row>
    <row r="26" spans="1:13" ht="19.5" customHeight="1" thickBot="1">
      <c r="A26" s="2852" t="s">
        <v>2620</v>
      </c>
      <c r="B26" s="2853" t="s">
        <v>2619</v>
      </c>
      <c r="C26" s="2854" t="s">
        <v>2621</v>
      </c>
      <c r="D26" s="2855"/>
      <c r="E26" s="2856">
        <v>1</v>
      </c>
      <c r="F26" s="2845" t="s">
        <v>2442</v>
      </c>
      <c r="G26" s="2845"/>
    </row>
    <row r="27" spans="1:13" ht="19.5" customHeight="1">
      <c r="A27" s="3527" t="s">
        <v>2622</v>
      </c>
      <c r="B27" s="3525" t="s">
        <v>2603</v>
      </c>
      <c r="C27" s="2842" t="s">
        <v>2443</v>
      </c>
      <c r="D27" s="2843"/>
      <c r="E27" s="2844">
        <v>1</v>
      </c>
      <c r="F27" s="2845" t="s">
        <v>2444</v>
      </c>
      <c r="G27" s="2845"/>
    </row>
    <row r="28" spans="1:13" ht="19.5" customHeight="1">
      <c r="A28" s="3528"/>
      <c r="B28" s="3524"/>
      <c r="C28" s="2846" t="s">
        <v>2445</v>
      </c>
      <c r="D28" s="2847"/>
      <c r="E28" s="2848">
        <v>1</v>
      </c>
      <c r="F28" s="2845" t="s">
        <v>2446</v>
      </c>
      <c r="G28" s="2845"/>
    </row>
    <row r="29" spans="1:13" ht="19.5" customHeight="1">
      <c r="A29" s="3528"/>
      <c r="B29" s="3524"/>
      <c r="C29" s="2846" t="s">
        <v>2447</v>
      </c>
      <c r="D29" s="2847"/>
      <c r="E29" s="2848">
        <v>0.8</v>
      </c>
      <c r="F29" s="2845" t="s">
        <v>2448</v>
      </c>
      <c r="G29" s="2845"/>
    </row>
    <row r="30" spans="1:13" ht="19.5" customHeight="1">
      <c r="A30" s="3528"/>
      <c r="B30" s="3524"/>
      <c r="C30" s="2846" t="s">
        <v>2449</v>
      </c>
      <c r="D30" s="2847"/>
      <c r="E30" s="2848">
        <v>0.8</v>
      </c>
      <c r="F30" s="2845" t="s">
        <v>2450</v>
      </c>
      <c r="G30" s="2845"/>
    </row>
    <row r="31" spans="1:13" ht="19.5" customHeight="1">
      <c r="A31" s="3528"/>
      <c r="B31" s="3524"/>
      <c r="C31" s="2846" t="s">
        <v>2451</v>
      </c>
      <c r="D31" s="2847"/>
      <c r="E31" s="2848">
        <v>0.8</v>
      </c>
      <c r="F31" s="2845" t="s">
        <v>2452</v>
      </c>
      <c r="G31" s="2845"/>
    </row>
    <row r="32" spans="1:13" ht="19.5" customHeight="1">
      <c r="A32" s="3528"/>
      <c r="B32" s="3524"/>
      <c r="C32" s="2846" t="s">
        <v>2453</v>
      </c>
      <c r="D32" s="2847"/>
      <c r="E32" s="2848">
        <v>0.7</v>
      </c>
      <c r="F32" s="2845" t="s">
        <v>2454</v>
      </c>
      <c r="G32" s="2845"/>
    </row>
    <row r="33" spans="1:7" ht="19.5" customHeight="1">
      <c r="A33" s="3528"/>
      <c r="B33" s="3524"/>
      <c r="C33" s="2846" t="s">
        <v>2455</v>
      </c>
      <c r="D33" s="2847"/>
      <c r="E33" s="2848">
        <v>0.8</v>
      </c>
      <c r="F33" s="2845" t="s">
        <v>2456</v>
      </c>
      <c r="G33" s="2845"/>
    </row>
    <row r="34" spans="1:7" ht="19.5" customHeight="1">
      <c r="A34" s="3528"/>
      <c r="B34" s="3524"/>
      <c r="C34" s="2846" t="s">
        <v>2457</v>
      </c>
      <c r="D34" s="2847"/>
      <c r="E34" s="2848">
        <v>0.6</v>
      </c>
      <c r="F34" s="2845" t="s">
        <v>2458</v>
      </c>
      <c r="G34" s="2845"/>
    </row>
    <row r="35" spans="1:7" ht="19.5" customHeight="1">
      <c r="A35" s="3528"/>
      <c r="B35" s="3524"/>
      <c r="C35" s="2846" t="s">
        <v>2459</v>
      </c>
      <c r="D35" s="2847"/>
      <c r="E35" s="2848">
        <v>0.2</v>
      </c>
      <c r="F35" s="2845" t="s">
        <v>2460</v>
      </c>
      <c r="G35" s="2845"/>
    </row>
    <row r="36" spans="1:7" ht="19.5" customHeight="1">
      <c r="A36" s="3528"/>
      <c r="B36" s="3524"/>
      <c r="C36" s="2846" t="s">
        <v>2461</v>
      </c>
      <c r="D36" s="2847"/>
      <c r="E36" s="2848">
        <v>0.2</v>
      </c>
      <c r="F36" s="2845" t="s">
        <v>2462</v>
      </c>
      <c r="G36" s="2845"/>
    </row>
    <row r="37" spans="1:7" ht="19.5" customHeight="1">
      <c r="A37" s="3528"/>
      <c r="B37" s="3522" t="s">
        <v>2623</v>
      </c>
      <c r="C37" s="2846" t="s">
        <v>2463</v>
      </c>
      <c r="D37" s="2847"/>
      <c r="E37" s="2848">
        <v>0.6</v>
      </c>
      <c r="F37" s="2845" t="s">
        <v>2464</v>
      </c>
      <c r="G37" s="2845"/>
    </row>
    <row r="38" spans="1:7" ht="19.5" customHeight="1">
      <c r="A38" s="3528"/>
      <c r="B38" s="3524"/>
      <c r="C38" s="2846" t="s">
        <v>2465</v>
      </c>
      <c r="D38" s="2847"/>
      <c r="E38" s="2848">
        <v>0.6</v>
      </c>
      <c r="F38" s="2845" t="s">
        <v>2466</v>
      </c>
      <c r="G38" s="2845"/>
    </row>
    <row r="39" spans="1:7" ht="19.5" customHeight="1" thickBot="1">
      <c r="A39" s="3529"/>
      <c r="B39" s="3526"/>
      <c r="C39" s="2849" t="s">
        <v>2467</v>
      </c>
      <c r="D39" s="2850"/>
      <c r="E39" s="2851">
        <v>0.6</v>
      </c>
      <c r="F39" s="2845" t="s">
        <v>2468</v>
      </c>
      <c r="G39" s="2845"/>
    </row>
    <row r="40" spans="1:7" ht="19.5" customHeight="1" thickBot="1">
      <c r="A40" s="2852" t="s">
        <v>2600</v>
      </c>
      <c r="B40" s="2853" t="s">
        <v>2600</v>
      </c>
      <c r="C40" s="2854" t="s">
        <v>2624</v>
      </c>
      <c r="D40" s="2855"/>
      <c r="E40" s="2856">
        <v>1</v>
      </c>
      <c r="F40" s="2845" t="s">
        <v>2469</v>
      </c>
      <c r="G40" s="2845"/>
    </row>
    <row r="41" spans="1:7" ht="19.5" customHeight="1">
      <c r="A41" s="3530" t="s">
        <v>2601</v>
      </c>
      <c r="B41" s="3525" t="s">
        <v>2625</v>
      </c>
      <c r="C41" s="2842" t="s">
        <v>2470</v>
      </c>
      <c r="D41" s="2843"/>
      <c r="E41" s="2844">
        <v>1</v>
      </c>
      <c r="F41" s="2845" t="s">
        <v>2471</v>
      </c>
      <c r="G41" s="2845"/>
    </row>
    <row r="42" spans="1:7" ht="19.5" customHeight="1">
      <c r="A42" s="3531"/>
      <c r="B42" s="3524"/>
      <c r="C42" s="2846" t="s">
        <v>2472</v>
      </c>
      <c r="D42" s="2847"/>
      <c r="E42" s="2848">
        <v>1</v>
      </c>
      <c r="F42" s="2845" t="s">
        <v>2473</v>
      </c>
      <c r="G42" s="2845"/>
    </row>
    <row r="43" spans="1:7" ht="19.5" customHeight="1">
      <c r="A43" s="3531"/>
      <c r="B43" s="3523"/>
      <c r="C43" s="2846" t="s">
        <v>2474</v>
      </c>
      <c r="D43" s="2847"/>
      <c r="E43" s="2848">
        <v>1.5</v>
      </c>
      <c r="F43" s="2845" t="s">
        <v>2475</v>
      </c>
      <c r="G43" s="2845"/>
    </row>
    <row r="44" spans="1:7" ht="19.5" customHeight="1">
      <c r="A44" s="3531"/>
      <c r="B44" s="2857" t="s">
        <v>2626</v>
      </c>
      <c r="C44" s="2846" t="s">
        <v>2627</v>
      </c>
      <c r="D44" s="2847"/>
      <c r="E44" s="2848">
        <v>2</v>
      </c>
      <c r="F44" s="2845" t="s">
        <v>2476</v>
      </c>
      <c r="G44" s="2845"/>
    </row>
    <row r="45" spans="1:7" ht="19.5" customHeight="1">
      <c r="A45" s="3531"/>
      <c r="B45" s="3522" t="s">
        <v>2628</v>
      </c>
      <c r="C45" s="2846" t="s">
        <v>2477</v>
      </c>
      <c r="D45" s="2847"/>
      <c r="E45" s="2848">
        <v>1</v>
      </c>
      <c r="F45" s="2845" t="s">
        <v>2478</v>
      </c>
      <c r="G45" s="2845"/>
    </row>
    <row r="46" spans="1:7" ht="19.5" customHeight="1">
      <c r="A46" s="3531"/>
      <c r="B46" s="3524"/>
      <c r="C46" s="2846" t="s">
        <v>2479</v>
      </c>
      <c r="D46" s="2847"/>
      <c r="E46" s="2848">
        <v>1</v>
      </c>
      <c r="F46" s="2845" t="s">
        <v>2480</v>
      </c>
      <c r="G46" s="2845"/>
    </row>
    <row r="47" spans="1:7" ht="19.5" customHeight="1">
      <c r="A47" s="3531"/>
      <c r="B47" s="3524"/>
      <c r="C47" s="2846" t="s">
        <v>2481</v>
      </c>
      <c r="D47" s="2847"/>
      <c r="E47" s="2848">
        <v>1</v>
      </c>
      <c r="F47" s="2845" t="s">
        <v>2482</v>
      </c>
      <c r="G47" s="2845"/>
    </row>
    <row r="48" spans="1:7" ht="19.5" customHeight="1">
      <c r="A48" s="3531"/>
      <c r="B48" s="3524"/>
      <c r="C48" s="2846" t="s">
        <v>2483</v>
      </c>
      <c r="D48" s="2847"/>
      <c r="E48" s="2848">
        <v>1</v>
      </c>
      <c r="F48" s="2845" t="s">
        <v>2484</v>
      </c>
      <c r="G48" s="2845"/>
    </row>
    <row r="49" spans="1:7" ht="19.5" customHeight="1">
      <c r="A49" s="3531"/>
      <c r="B49" s="3524"/>
      <c r="C49" s="2846" t="s">
        <v>2485</v>
      </c>
      <c r="D49" s="2847"/>
      <c r="E49" s="2848">
        <v>1</v>
      </c>
      <c r="F49" s="2845" t="s">
        <v>2486</v>
      </c>
      <c r="G49" s="2845"/>
    </row>
    <row r="50" spans="1:7" ht="19.5" customHeight="1">
      <c r="A50" s="3531"/>
      <c r="B50" s="3524"/>
      <c r="C50" s="2846" t="s">
        <v>2487</v>
      </c>
      <c r="D50" s="2847"/>
      <c r="E50" s="2848">
        <v>1</v>
      </c>
      <c r="F50" s="2845" t="s">
        <v>2488</v>
      </c>
      <c r="G50" s="2845"/>
    </row>
    <row r="51" spans="1:7" ht="19.5" customHeight="1" thickBot="1">
      <c r="A51" s="3532"/>
      <c r="B51" s="3526"/>
      <c r="C51" s="2849" t="s">
        <v>2489</v>
      </c>
      <c r="D51" s="2850"/>
      <c r="E51" s="2851">
        <v>1</v>
      </c>
      <c r="F51" s="2845" t="s">
        <v>2490</v>
      </c>
      <c r="G51" s="2845"/>
    </row>
    <row r="52" spans="1:7" ht="19.5" customHeight="1">
      <c r="A52" s="2858"/>
      <c r="B52" s="2858"/>
      <c r="C52" s="2858"/>
      <c r="D52" s="2858"/>
      <c r="E52" s="2858"/>
      <c r="F52" s="2858"/>
      <c r="G52" s="2858"/>
    </row>
    <row r="54" spans="1:7" ht="19.5" customHeight="1">
      <c r="A54" s="2859"/>
      <c r="B54" s="2831" t="s">
        <v>2629</v>
      </c>
      <c r="C54" s="2831" t="s">
        <v>2629</v>
      </c>
      <c r="D54" s="2831" t="s">
        <v>2629</v>
      </c>
      <c r="E54" s="2834" t="s">
        <v>2629</v>
      </c>
      <c r="F54" s="2834" t="s">
        <v>2630</v>
      </c>
      <c r="G54" s="2834" t="s">
        <v>2631</v>
      </c>
    </row>
    <row r="55" spans="1:7" ht="19.5" customHeight="1">
      <c r="A55" s="2860"/>
      <c r="B55" s="2834" t="s">
        <v>2598</v>
      </c>
      <c r="C55" s="2834" t="s">
        <v>2598</v>
      </c>
      <c r="D55" s="2834" t="s">
        <v>2598</v>
      </c>
      <c r="E55" s="2831" t="s">
        <v>2599</v>
      </c>
      <c r="F55" s="2831" t="s">
        <v>2601</v>
      </c>
      <c r="G55" s="2831" t="s">
        <v>2632</v>
      </c>
    </row>
    <row r="56" spans="1:7" ht="19.5" customHeight="1">
      <c r="A56" s="2861"/>
      <c r="B56" s="2831">
        <v>1</v>
      </c>
      <c r="C56" s="2831">
        <v>2</v>
      </c>
      <c r="D56" s="2831">
        <v>3</v>
      </c>
      <c r="E56" s="2862" t="s">
        <v>2633</v>
      </c>
      <c r="F56" s="2862" t="s">
        <v>2633</v>
      </c>
      <c r="G56" s="2862" t="s">
        <v>2633</v>
      </c>
    </row>
    <row r="57" spans="1:7" ht="19.5" customHeight="1">
      <c r="A57" s="2863" t="s">
        <v>2586</v>
      </c>
      <c r="B57" s="2831">
        <v>0.7</v>
      </c>
      <c r="C57" s="2831">
        <v>0.4</v>
      </c>
      <c r="D57" s="2831">
        <v>0.3</v>
      </c>
      <c r="E57" s="2862">
        <v>0.3</v>
      </c>
      <c r="F57" s="2831">
        <v>0.3</v>
      </c>
      <c r="G57" s="2831">
        <v>0.2</v>
      </c>
    </row>
    <row r="58" spans="1:7" ht="19.5" customHeight="1">
      <c r="A58" s="2863" t="s">
        <v>2587</v>
      </c>
      <c r="B58" s="2831">
        <v>0.7</v>
      </c>
      <c r="C58" s="2831">
        <v>0.4</v>
      </c>
      <c r="D58" s="2831">
        <v>0.3</v>
      </c>
      <c r="E58" s="2831">
        <v>0.3</v>
      </c>
      <c r="F58" s="2831">
        <v>0.3</v>
      </c>
      <c r="G58" s="2831">
        <v>0.2</v>
      </c>
    </row>
    <row r="59" spans="1:7" ht="19.5" customHeight="1">
      <c r="A59" s="2863" t="s">
        <v>2588</v>
      </c>
      <c r="B59" s="2831">
        <v>0.6</v>
      </c>
      <c r="C59" s="2831">
        <v>0.3</v>
      </c>
      <c r="D59" s="2831">
        <v>0.25</v>
      </c>
      <c r="E59" s="2831">
        <v>0.25</v>
      </c>
      <c r="F59" s="2831">
        <v>0.25</v>
      </c>
      <c r="G59" s="2831">
        <v>0.15</v>
      </c>
    </row>
    <row r="60" spans="1:7" ht="19.5" customHeight="1">
      <c r="A60" s="2863" t="s">
        <v>2589</v>
      </c>
      <c r="B60" s="2831">
        <v>0.6</v>
      </c>
      <c r="C60" s="2831">
        <v>0.3</v>
      </c>
      <c r="D60" s="2831">
        <v>0.25</v>
      </c>
      <c r="E60" s="2831">
        <v>0.25</v>
      </c>
      <c r="F60" s="2831">
        <v>0.25</v>
      </c>
      <c r="G60" s="2831">
        <v>0.15</v>
      </c>
    </row>
    <row r="61" spans="1:7" ht="19.5" customHeight="1">
      <c r="A61" s="2863" t="s">
        <v>2590</v>
      </c>
      <c r="B61" s="2831">
        <v>0.6</v>
      </c>
      <c r="C61" s="2831">
        <v>0.3</v>
      </c>
      <c r="D61" s="2831">
        <v>0.25</v>
      </c>
      <c r="E61" s="2831">
        <v>0.25</v>
      </c>
      <c r="F61" s="2831">
        <v>0.25</v>
      </c>
      <c r="G61" s="2831">
        <v>0.15</v>
      </c>
    </row>
    <row r="62" spans="1:7" ht="19.5" customHeight="1">
      <c r="A62" s="2863" t="s">
        <v>2591</v>
      </c>
      <c r="B62" s="2831">
        <v>0.6</v>
      </c>
      <c r="C62" s="2831">
        <v>0.3</v>
      </c>
      <c r="D62" s="2831">
        <v>0.25</v>
      </c>
      <c r="E62" s="2831">
        <v>0.25</v>
      </c>
      <c r="F62" s="2831">
        <v>0.25</v>
      </c>
      <c r="G62" s="2831">
        <v>0.15</v>
      </c>
    </row>
    <row r="63" spans="1:7" ht="19.5" customHeight="1">
      <c r="A63" s="2863" t="s">
        <v>2592</v>
      </c>
      <c r="B63" s="2831">
        <v>0.6</v>
      </c>
      <c r="C63" s="2831">
        <v>0.3</v>
      </c>
      <c r="D63" s="2831">
        <v>0.25</v>
      </c>
      <c r="E63" s="2831">
        <v>0.25</v>
      </c>
      <c r="F63" s="2831">
        <v>0.25</v>
      </c>
      <c r="G63" s="2831">
        <v>0.15</v>
      </c>
    </row>
    <row r="64" spans="1:7" ht="19.5" customHeight="1">
      <c r="A64" s="2863" t="s">
        <v>2593</v>
      </c>
      <c r="B64" s="2831">
        <v>0.5</v>
      </c>
      <c r="C64" s="2831">
        <v>0.2</v>
      </c>
      <c r="D64" s="2831">
        <v>0.2</v>
      </c>
      <c r="E64" s="2831">
        <v>0.2</v>
      </c>
      <c r="F64" s="2831">
        <v>0.2</v>
      </c>
      <c r="G64" s="2831">
        <v>0.1</v>
      </c>
    </row>
    <row r="65" spans="1:7" ht="19.5" customHeight="1">
      <c r="A65" s="2863" t="s">
        <v>2594</v>
      </c>
      <c r="B65" s="2831">
        <v>0.5</v>
      </c>
      <c r="C65" s="2831">
        <v>0.2</v>
      </c>
      <c r="D65" s="2831">
        <v>0.2</v>
      </c>
      <c r="E65" s="2831">
        <v>0.2</v>
      </c>
      <c r="F65" s="2831">
        <v>0.2</v>
      </c>
      <c r="G65" s="2831">
        <v>0.1</v>
      </c>
    </row>
    <row r="66" spans="1:7" ht="19.5" customHeight="1">
      <c r="A66" s="2863" t="s">
        <v>2595</v>
      </c>
      <c r="B66" s="2831">
        <v>0.5</v>
      </c>
      <c r="C66" s="2831">
        <v>0.2</v>
      </c>
      <c r="D66" s="2831">
        <v>0.2</v>
      </c>
      <c r="E66" s="2831">
        <v>0.2</v>
      </c>
      <c r="F66" s="2831">
        <v>0.2</v>
      </c>
      <c r="G66" s="2831">
        <v>0.1</v>
      </c>
    </row>
    <row r="67" spans="1:7" ht="19.5" customHeight="1">
      <c r="A67" s="2863" t="s">
        <v>2596</v>
      </c>
      <c r="B67" s="2831">
        <v>0.5</v>
      </c>
      <c r="C67" s="2831">
        <v>0.2</v>
      </c>
      <c r="D67" s="2831">
        <v>0.2</v>
      </c>
      <c r="E67" s="2831">
        <v>0.2</v>
      </c>
      <c r="F67" s="2831">
        <v>0.2</v>
      </c>
      <c r="G67" s="2831">
        <v>0.1</v>
      </c>
    </row>
    <row r="68" spans="1:7" ht="19.5" customHeight="1">
      <c r="A68" s="2863" t="s">
        <v>2597</v>
      </c>
      <c r="B68" s="2831">
        <v>0.5</v>
      </c>
      <c r="C68" s="2831">
        <v>0.2</v>
      </c>
      <c r="D68" s="2831">
        <v>0.2</v>
      </c>
      <c r="E68" s="2831">
        <v>0.2</v>
      </c>
      <c r="F68" s="2831">
        <v>0.2</v>
      </c>
      <c r="G68" s="2831">
        <v>0.1</v>
      </c>
    </row>
    <row r="70" spans="1:7" ht="19.5" customHeight="1">
      <c r="A70" s="2845"/>
      <c r="B70" s="2864"/>
      <c r="C70" s="2864"/>
      <c r="D70" s="2864" t="s">
        <v>2634</v>
      </c>
      <c r="E70" s="2864"/>
      <c r="F70" s="2864"/>
    </row>
    <row r="71" spans="1:7" ht="19.5" customHeight="1">
      <c r="A71" s="2857" t="s">
        <v>2635</v>
      </c>
      <c r="B71" s="2857" t="s">
        <v>2636</v>
      </c>
      <c r="C71" s="2857" t="s">
        <v>2637</v>
      </c>
      <c r="D71" s="2857" t="s">
        <v>2638</v>
      </c>
      <c r="E71" s="2857" t="s">
        <v>2639</v>
      </c>
      <c r="F71" s="2857" t="s">
        <v>2640</v>
      </c>
    </row>
    <row r="72" spans="1:7" ht="13.5">
      <c r="A72" s="2857"/>
      <c r="B72" s="2857"/>
      <c r="C72" s="2857" t="s">
        <v>2641</v>
      </c>
      <c r="D72" s="2857"/>
      <c r="E72" s="2857" t="s">
        <v>2612</v>
      </c>
      <c r="F72" s="2857" t="s">
        <v>2612</v>
      </c>
    </row>
    <row r="73" spans="1:7" ht="13.5">
      <c r="A73" s="2857">
        <v>1</v>
      </c>
      <c r="B73" s="3522" t="s">
        <v>2642</v>
      </c>
      <c r="C73" s="2831" t="s">
        <v>2643</v>
      </c>
      <c r="D73" s="2831" t="s">
        <v>2644</v>
      </c>
      <c r="E73" s="2857">
        <v>0.2</v>
      </c>
      <c r="F73" s="2857">
        <v>25</v>
      </c>
    </row>
    <row r="74" spans="1:7" ht="24">
      <c r="A74" s="2857">
        <v>2</v>
      </c>
      <c r="B74" s="3524"/>
      <c r="C74" s="2831" t="s">
        <v>2645</v>
      </c>
      <c r="D74" s="2831" t="s">
        <v>2646</v>
      </c>
      <c r="E74" s="2857">
        <v>0.2</v>
      </c>
      <c r="F74" s="2857">
        <v>25</v>
      </c>
    </row>
    <row r="75" spans="1:7" ht="24">
      <c r="A75" s="2857">
        <v>3</v>
      </c>
      <c r="B75" s="3524"/>
      <c r="C75" s="2831" t="s">
        <v>2647</v>
      </c>
      <c r="D75" s="2831" t="s">
        <v>2648</v>
      </c>
      <c r="E75" s="2857">
        <v>0.2</v>
      </c>
      <c r="F75" s="2857">
        <v>25</v>
      </c>
    </row>
    <row r="76" spans="1:7" ht="13.5">
      <c r="A76" s="2857">
        <v>4</v>
      </c>
      <c r="B76" s="3524"/>
      <c r="C76" s="2831" t="s">
        <v>2649</v>
      </c>
      <c r="D76" s="2831" t="s">
        <v>2650</v>
      </c>
      <c r="E76" s="2857">
        <v>0.15</v>
      </c>
      <c r="F76" s="2857">
        <v>20</v>
      </c>
    </row>
    <row r="77" spans="1:7" ht="24">
      <c r="A77" s="2857">
        <v>5</v>
      </c>
      <c r="B77" s="3524"/>
      <c r="C77" s="2831" t="s">
        <v>2651</v>
      </c>
      <c r="D77" s="2831" t="s">
        <v>2652</v>
      </c>
      <c r="E77" s="2857">
        <v>0.15</v>
      </c>
      <c r="F77" s="2857">
        <v>20</v>
      </c>
    </row>
    <row r="78" spans="1:7" ht="24">
      <c r="A78" s="2857">
        <v>6</v>
      </c>
      <c r="B78" s="3524"/>
      <c r="C78" s="2831" t="s">
        <v>2653</v>
      </c>
      <c r="D78" s="2831" t="s">
        <v>2654</v>
      </c>
      <c r="E78" s="2857">
        <v>0.15</v>
      </c>
      <c r="F78" s="2857">
        <v>20</v>
      </c>
    </row>
    <row r="79" spans="1:7" ht="24">
      <c r="A79" s="2857">
        <v>7</v>
      </c>
      <c r="B79" s="3524"/>
      <c r="C79" s="2831" t="s">
        <v>2655</v>
      </c>
      <c r="D79" s="2831" t="s">
        <v>2656</v>
      </c>
      <c r="E79" s="2857">
        <v>0.15</v>
      </c>
      <c r="F79" s="2857">
        <v>20</v>
      </c>
    </row>
    <row r="80" spans="1:7" ht="24">
      <c r="A80" s="2857">
        <v>8</v>
      </c>
      <c r="B80" s="3524"/>
      <c r="C80" s="2831" t="s">
        <v>2657</v>
      </c>
      <c r="D80" s="2831" t="s">
        <v>2658</v>
      </c>
      <c r="E80" s="2857">
        <v>0.1</v>
      </c>
      <c r="F80" s="2857">
        <v>15</v>
      </c>
    </row>
    <row r="81" spans="1:6" ht="24">
      <c r="A81" s="2857">
        <v>9</v>
      </c>
      <c r="B81" s="3524"/>
      <c r="C81" s="2831" t="s">
        <v>2659</v>
      </c>
      <c r="D81" s="2831" t="s">
        <v>2660</v>
      </c>
      <c r="E81" s="2857">
        <v>0.1</v>
      </c>
      <c r="F81" s="2857">
        <v>15</v>
      </c>
    </row>
    <row r="82" spans="1:6" ht="24">
      <c r="A82" s="2857">
        <v>10</v>
      </c>
      <c r="B82" s="3524"/>
      <c r="C82" s="2831" t="s">
        <v>2661</v>
      </c>
      <c r="D82" s="2831" t="s">
        <v>2662</v>
      </c>
      <c r="E82" s="2857">
        <v>0.1</v>
      </c>
      <c r="F82" s="2857">
        <v>15</v>
      </c>
    </row>
    <row r="83" spans="1:6" ht="24">
      <c r="A83" s="2857">
        <v>11</v>
      </c>
      <c r="B83" s="3524"/>
      <c r="C83" s="2831" t="s">
        <v>2663</v>
      </c>
      <c r="D83" s="2831" t="s">
        <v>2664</v>
      </c>
      <c r="E83" s="2857">
        <v>0.1</v>
      </c>
      <c r="F83" s="2857">
        <v>15</v>
      </c>
    </row>
    <row r="84" spans="1:6" ht="24">
      <c r="A84" s="2857">
        <v>12</v>
      </c>
      <c r="B84" s="3524"/>
      <c r="C84" s="2831" t="s">
        <v>2665</v>
      </c>
      <c r="D84" s="2831" t="s">
        <v>2666</v>
      </c>
      <c r="E84" s="2857">
        <v>0.1</v>
      </c>
      <c r="F84" s="2857">
        <v>15</v>
      </c>
    </row>
    <row r="85" spans="1:6" ht="13.5">
      <c r="A85" s="2857">
        <v>13</v>
      </c>
      <c r="B85" s="3524"/>
      <c r="C85" s="2831" t="s">
        <v>2667</v>
      </c>
      <c r="D85" s="2831" t="s">
        <v>2668</v>
      </c>
      <c r="E85" s="2857">
        <v>0.1</v>
      </c>
      <c r="F85" s="2857">
        <v>15</v>
      </c>
    </row>
    <row r="86" spans="1:6" ht="13.5">
      <c r="A86" s="2857">
        <v>14</v>
      </c>
      <c r="B86" s="3524"/>
      <c r="C86" s="2831" t="s">
        <v>2669</v>
      </c>
      <c r="D86" s="2831" t="s">
        <v>2670</v>
      </c>
      <c r="E86" s="2857">
        <v>0.1</v>
      </c>
      <c r="F86" s="2857">
        <v>15</v>
      </c>
    </row>
    <row r="87" spans="1:6" ht="13.5">
      <c r="A87" s="2857">
        <v>15</v>
      </c>
      <c r="B87" s="3524"/>
      <c r="C87" s="2831" t="s">
        <v>2671</v>
      </c>
      <c r="D87" s="2831" t="s">
        <v>2672</v>
      </c>
      <c r="E87" s="2857">
        <v>0.1</v>
      </c>
      <c r="F87" s="2857">
        <v>15</v>
      </c>
    </row>
    <row r="88" spans="1:6" ht="24">
      <c r="A88" s="2857">
        <v>16</v>
      </c>
      <c r="B88" s="3524"/>
      <c r="C88" s="2831" t="s">
        <v>2673</v>
      </c>
      <c r="D88" s="2831" t="s">
        <v>2674</v>
      </c>
      <c r="E88" s="2857">
        <v>0.1</v>
      </c>
      <c r="F88" s="2857">
        <v>15</v>
      </c>
    </row>
    <row r="89" spans="1:6" ht="24">
      <c r="A89" s="2857">
        <v>17</v>
      </c>
      <c r="B89" s="3523"/>
      <c r="C89" s="2831" t="s">
        <v>2675</v>
      </c>
      <c r="D89" s="2831" t="s">
        <v>2676</v>
      </c>
      <c r="E89" s="2857">
        <v>0.1</v>
      </c>
      <c r="F89" s="2857">
        <v>15</v>
      </c>
    </row>
    <row r="90" spans="1:6" ht="13.5">
      <c r="A90" s="2857">
        <v>18</v>
      </c>
      <c r="B90" s="3522" t="s">
        <v>2677</v>
      </c>
      <c r="C90" s="2831" t="s">
        <v>2678</v>
      </c>
      <c r="D90" s="2831" t="s">
        <v>2679</v>
      </c>
      <c r="E90" s="2857">
        <v>0.2</v>
      </c>
      <c r="F90" s="2857">
        <v>25</v>
      </c>
    </row>
    <row r="91" spans="1:6" ht="24">
      <c r="A91" s="2857">
        <v>19</v>
      </c>
      <c r="B91" s="3524"/>
      <c r="C91" s="2831" t="s">
        <v>2680</v>
      </c>
      <c r="D91" s="2831" t="s">
        <v>2681</v>
      </c>
      <c r="E91" s="2857">
        <v>0.2</v>
      </c>
      <c r="F91" s="2857">
        <v>25</v>
      </c>
    </row>
    <row r="92" spans="1:6" ht="13.5">
      <c r="A92" s="2857">
        <v>20</v>
      </c>
      <c r="B92" s="3524"/>
      <c r="C92" s="2831" t="s">
        <v>2682</v>
      </c>
      <c r="D92" s="2831" t="s">
        <v>2683</v>
      </c>
      <c r="E92" s="2857">
        <v>0.15</v>
      </c>
      <c r="F92" s="2857">
        <v>20</v>
      </c>
    </row>
    <row r="93" spans="1:6" ht="13.5">
      <c r="A93" s="2857">
        <v>21</v>
      </c>
      <c r="B93" s="3524"/>
      <c r="C93" s="2831" t="s">
        <v>2684</v>
      </c>
      <c r="D93" s="2831" t="s">
        <v>2685</v>
      </c>
      <c r="E93" s="2857">
        <v>0.15</v>
      </c>
      <c r="F93" s="2857">
        <v>20</v>
      </c>
    </row>
    <row r="94" spans="1:6" ht="13.5">
      <c r="A94" s="2857">
        <v>22</v>
      </c>
      <c r="B94" s="3524"/>
      <c r="C94" s="2831" t="s">
        <v>2686</v>
      </c>
      <c r="D94" s="2831" t="s">
        <v>2687</v>
      </c>
      <c r="E94" s="2857">
        <v>0.15</v>
      </c>
      <c r="F94" s="2857">
        <v>20</v>
      </c>
    </row>
    <row r="95" spans="1:6" ht="36">
      <c r="A95" s="2857">
        <v>23</v>
      </c>
      <c r="B95" s="3524"/>
      <c r="C95" s="2831" t="s">
        <v>2688</v>
      </c>
      <c r="D95" s="2831" t="s">
        <v>2689</v>
      </c>
      <c r="E95" s="2857">
        <v>0.15</v>
      </c>
      <c r="F95" s="2857">
        <v>20</v>
      </c>
    </row>
    <row r="96" spans="1:6" ht="13.5">
      <c r="A96" s="2857">
        <v>24</v>
      </c>
      <c r="B96" s="3524"/>
      <c r="C96" s="2831" t="s">
        <v>2690</v>
      </c>
      <c r="D96" s="2831" t="s">
        <v>2691</v>
      </c>
      <c r="E96" s="2857">
        <v>0.1</v>
      </c>
      <c r="F96" s="2857">
        <v>15</v>
      </c>
    </row>
    <row r="97" spans="1:6" ht="13.5">
      <c r="A97" s="2857">
        <v>25</v>
      </c>
      <c r="B97" s="3524"/>
      <c r="C97" s="2831" t="s">
        <v>2692</v>
      </c>
      <c r="D97" s="2831" t="s">
        <v>2693</v>
      </c>
      <c r="E97" s="2857">
        <v>0.1</v>
      </c>
      <c r="F97" s="2857">
        <v>15</v>
      </c>
    </row>
    <row r="98" spans="1:6" ht="24">
      <c r="A98" s="2857">
        <v>26</v>
      </c>
      <c r="B98" s="3524"/>
      <c r="C98" s="2831" t="s">
        <v>2694</v>
      </c>
      <c r="D98" s="2831" t="s">
        <v>2695</v>
      </c>
      <c r="E98" s="2857">
        <v>0.1</v>
      </c>
      <c r="F98" s="2857">
        <v>15</v>
      </c>
    </row>
    <row r="99" spans="1:6" ht="24">
      <c r="A99" s="2857">
        <v>27</v>
      </c>
      <c r="B99" s="3524"/>
      <c r="C99" s="2831" t="s">
        <v>2696</v>
      </c>
      <c r="D99" s="2831" t="s">
        <v>2697</v>
      </c>
      <c r="E99" s="2857">
        <v>0.1</v>
      </c>
      <c r="F99" s="2857">
        <v>15</v>
      </c>
    </row>
    <row r="100" spans="1:6" ht="13.5">
      <c r="A100" s="2857">
        <v>28</v>
      </c>
      <c r="B100" s="3524"/>
      <c r="C100" s="2831" t="s">
        <v>2698</v>
      </c>
      <c r="D100" s="2831" t="s">
        <v>2699</v>
      </c>
      <c r="E100" s="2857">
        <v>0.1</v>
      </c>
      <c r="F100" s="2857">
        <v>15</v>
      </c>
    </row>
    <row r="101" spans="1:6" ht="13.5">
      <c r="A101" s="2857">
        <v>29</v>
      </c>
      <c r="B101" s="3524"/>
      <c r="C101" s="2831" t="s">
        <v>2700</v>
      </c>
      <c r="D101" s="2831" t="s">
        <v>2701</v>
      </c>
      <c r="E101" s="2857">
        <v>0.1</v>
      </c>
      <c r="F101" s="2857">
        <v>15</v>
      </c>
    </row>
    <row r="102" spans="1:6" ht="13.5">
      <c r="A102" s="2857">
        <v>30</v>
      </c>
      <c r="B102" s="3524"/>
      <c r="C102" s="2831" t="s">
        <v>2702</v>
      </c>
      <c r="D102" s="2831" t="s">
        <v>2703</v>
      </c>
      <c r="E102" s="2857">
        <v>0.1</v>
      </c>
      <c r="F102" s="2857">
        <v>15</v>
      </c>
    </row>
    <row r="103" spans="1:6" ht="24">
      <c r="A103" s="2857">
        <v>31</v>
      </c>
      <c r="B103" s="3524"/>
      <c r="C103" s="2831" t="s">
        <v>2704</v>
      </c>
      <c r="D103" s="2831" t="s">
        <v>2705</v>
      </c>
      <c r="E103" s="2857">
        <v>0.1</v>
      </c>
      <c r="F103" s="2857">
        <v>15</v>
      </c>
    </row>
    <row r="104" spans="1:6" ht="24">
      <c r="A104" s="2857">
        <v>32</v>
      </c>
      <c r="B104" s="3524"/>
      <c r="C104" s="2831" t="s">
        <v>2706</v>
      </c>
      <c r="D104" s="2831" t="s">
        <v>2707</v>
      </c>
      <c r="E104" s="2857">
        <v>0.1</v>
      </c>
      <c r="F104" s="2857">
        <v>15</v>
      </c>
    </row>
    <row r="105" spans="1:6" ht="24">
      <c r="A105" s="2857">
        <v>33</v>
      </c>
      <c r="B105" s="3524"/>
      <c r="C105" s="2831" t="s">
        <v>2708</v>
      </c>
      <c r="D105" s="2831" t="s">
        <v>2709</v>
      </c>
      <c r="E105" s="2857">
        <v>0.1</v>
      </c>
      <c r="F105" s="2857">
        <v>15</v>
      </c>
    </row>
    <row r="106" spans="1:6" ht="24">
      <c r="A106" s="2857">
        <v>34</v>
      </c>
      <c r="B106" s="3523"/>
      <c r="C106" s="2831" t="s">
        <v>2710</v>
      </c>
      <c r="D106" s="2831" t="s">
        <v>2711</v>
      </c>
      <c r="E106" s="2857">
        <v>0.1</v>
      </c>
      <c r="F106" s="2857">
        <v>15</v>
      </c>
    </row>
    <row r="107" spans="1:6" ht="24">
      <c r="A107" s="2857">
        <v>35</v>
      </c>
      <c r="B107" s="3522" t="s">
        <v>2712</v>
      </c>
      <c r="C107" s="2857" t="s">
        <v>2713</v>
      </c>
      <c r="D107" s="2831" t="s">
        <v>2714</v>
      </c>
      <c r="E107" s="2857">
        <v>0.15</v>
      </c>
      <c r="F107" s="2857">
        <v>20</v>
      </c>
    </row>
    <row r="108" spans="1:6" ht="13.5">
      <c r="A108" s="2857">
        <v>36</v>
      </c>
      <c r="B108" s="3524"/>
      <c r="C108" s="2857" t="s">
        <v>2715</v>
      </c>
      <c r="D108" s="2831" t="s">
        <v>2716</v>
      </c>
      <c r="E108" s="2857">
        <v>0.15</v>
      </c>
      <c r="F108" s="2857">
        <v>20</v>
      </c>
    </row>
    <row r="109" spans="1:6" ht="13.5">
      <c r="A109" s="2857">
        <v>37</v>
      </c>
      <c r="B109" s="3524"/>
      <c r="C109" s="2857" t="s">
        <v>2717</v>
      </c>
      <c r="D109" s="2831" t="s">
        <v>2718</v>
      </c>
      <c r="E109" s="2857">
        <v>0.15</v>
      </c>
      <c r="F109" s="2857">
        <v>20</v>
      </c>
    </row>
    <row r="110" spans="1:6" ht="13.5">
      <c r="A110" s="2857">
        <v>38</v>
      </c>
      <c r="B110" s="3524"/>
      <c r="C110" s="2857" t="s">
        <v>2719</v>
      </c>
      <c r="D110" s="2831" t="s">
        <v>2720</v>
      </c>
      <c r="E110" s="2857">
        <v>0.1</v>
      </c>
      <c r="F110" s="2857">
        <v>15</v>
      </c>
    </row>
    <row r="111" spans="1:6" ht="24">
      <c r="A111" s="2857">
        <v>39</v>
      </c>
      <c r="B111" s="3524"/>
      <c r="C111" s="2857" t="s">
        <v>2721</v>
      </c>
      <c r="D111" s="2831" t="s">
        <v>2722</v>
      </c>
      <c r="E111" s="2857">
        <v>0.1</v>
      </c>
      <c r="F111" s="2857">
        <v>15</v>
      </c>
    </row>
    <row r="112" spans="1:6" ht="24">
      <c r="A112" s="2857">
        <v>40</v>
      </c>
      <c r="B112" s="3523"/>
      <c r="C112" s="2857" t="s">
        <v>2723</v>
      </c>
      <c r="D112" s="2831" t="s">
        <v>2724</v>
      </c>
      <c r="E112" s="2857">
        <v>0.1</v>
      </c>
      <c r="F112" s="2857">
        <v>15</v>
      </c>
    </row>
    <row r="113" spans="1:6" ht="13.5">
      <c r="A113" s="2857">
        <v>41</v>
      </c>
      <c r="B113" s="3521" t="s">
        <v>2725</v>
      </c>
      <c r="C113" s="2857" t="s">
        <v>2726</v>
      </c>
      <c r="D113" s="2831" t="s">
        <v>2727</v>
      </c>
      <c r="E113" s="2857">
        <v>0.1</v>
      </c>
      <c r="F113" s="2857">
        <v>15</v>
      </c>
    </row>
    <row r="114" spans="1:6" ht="13.5">
      <c r="A114" s="2857">
        <v>42</v>
      </c>
      <c r="B114" s="3521"/>
      <c r="C114" s="2857" t="s">
        <v>2728</v>
      </c>
      <c r="D114" s="2831" t="s">
        <v>2729</v>
      </c>
      <c r="E114" s="2857">
        <v>0.1</v>
      </c>
      <c r="F114" s="2857">
        <v>15</v>
      </c>
    </row>
    <row r="115" spans="1:6" ht="24">
      <c r="A115" s="2857">
        <v>43</v>
      </c>
      <c r="B115" s="3521"/>
      <c r="C115" s="2857" t="s">
        <v>2730</v>
      </c>
      <c r="D115" s="2831" t="s">
        <v>2731</v>
      </c>
      <c r="E115" s="2857">
        <v>0.1</v>
      </c>
      <c r="F115" s="2857">
        <v>15</v>
      </c>
    </row>
    <row r="116" spans="1:6" ht="13.5">
      <c r="A116" s="2857">
        <v>44</v>
      </c>
      <c r="B116" s="3522" t="s">
        <v>2732</v>
      </c>
      <c r="C116" s="2857" t="s">
        <v>2733</v>
      </c>
      <c r="D116" s="2831" t="s">
        <v>2734</v>
      </c>
      <c r="E116" s="2857">
        <v>0.1</v>
      </c>
      <c r="F116" s="2857">
        <v>15</v>
      </c>
    </row>
    <row r="117" spans="1:6" ht="24">
      <c r="A117" s="2857">
        <v>45</v>
      </c>
      <c r="B117" s="3523"/>
      <c r="C117" s="2831" t="s">
        <v>2735</v>
      </c>
      <c r="D117" s="2831" t="s">
        <v>2736</v>
      </c>
      <c r="E117" s="2857">
        <v>0.1</v>
      </c>
      <c r="F117" s="2857">
        <v>15</v>
      </c>
    </row>
    <row r="118" spans="1:6" ht="24">
      <c r="A118" s="2857">
        <v>46</v>
      </c>
      <c r="B118" s="3522" t="s">
        <v>2737</v>
      </c>
      <c r="C118" s="2857" t="s">
        <v>2738</v>
      </c>
      <c r="D118" s="2831" t="s">
        <v>2739</v>
      </c>
      <c r="E118" s="2857">
        <v>0.1</v>
      </c>
      <c r="F118" s="2857">
        <v>15</v>
      </c>
    </row>
    <row r="119" spans="1:6" ht="24">
      <c r="A119" s="2857">
        <v>47</v>
      </c>
      <c r="B119" s="3523"/>
      <c r="C119" s="2857" t="s">
        <v>2740</v>
      </c>
      <c r="D119" s="2831" t="s">
        <v>2741</v>
      </c>
      <c r="E119" s="2857">
        <v>0.1</v>
      </c>
      <c r="F119" s="2857">
        <v>15</v>
      </c>
    </row>
    <row r="120" spans="1:6" ht="13.5">
      <c r="A120" s="2857">
        <v>48</v>
      </c>
      <c r="B120" s="3522" t="s">
        <v>2742</v>
      </c>
      <c r="C120" s="2857" t="s">
        <v>2743</v>
      </c>
      <c r="D120" s="2831" t="s">
        <v>2744</v>
      </c>
      <c r="E120" s="2857">
        <v>0.1</v>
      </c>
      <c r="F120" s="2857">
        <v>15</v>
      </c>
    </row>
    <row r="121" spans="1:6" ht="13.5">
      <c r="A121" s="2857">
        <v>49</v>
      </c>
      <c r="B121" s="3523"/>
      <c r="C121" s="2857" t="s">
        <v>2745</v>
      </c>
      <c r="D121" s="2831" t="s">
        <v>2746</v>
      </c>
      <c r="E121" s="2857">
        <v>0.1</v>
      </c>
      <c r="F121" s="2857">
        <v>15</v>
      </c>
    </row>
    <row r="122" spans="1:6" ht="24">
      <c r="A122" s="2857">
        <v>50</v>
      </c>
      <c r="B122" s="3521" t="s">
        <v>2747</v>
      </c>
      <c r="C122" s="2857" t="s">
        <v>2748</v>
      </c>
      <c r="D122" s="2831" t="s">
        <v>2749</v>
      </c>
      <c r="E122" s="2857">
        <v>0.1</v>
      </c>
      <c r="F122" s="2857">
        <v>15</v>
      </c>
    </row>
    <row r="123" spans="1:6" ht="24">
      <c r="A123" s="2857">
        <v>51</v>
      </c>
      <c r="B123" s="3521"/>
      <c r="C123" s="2857" t="s">
        <v>2750</v>
      </c>
      <c r="D123" s="2831" t="s">
        <v>2751</v>
      </c>
      <c r="E123" s="2857">
        <v>0.1</v>
      </c>
      <c r="F123" s="2857">
        <v>15</v>
      </c>
    </row>
    <row r="124" spans="1:6" ht="24">
      <c r="A124" s="2857">
        <v>52</v>
      </c>
      <c r="B124" s="3521" t="s">
        <v>2752</v>
      </c>
      <c r="C124" s="2857" t="s">
        <v>2753</v>
      </c>
      <c r="D124" s="2831" t="s">
        <v>2754</v>
      </c>
      <c r="E124" s="2857">
        <v>0.1</v>
      </c>
      <c r="F124" s="2857">
        <v>15</v>
      </c>
    </row>
    <row r="125" spans="1:6" ht="24">
      <c r="A125" s="2857">
        <v>53</v>
      </c>
      <c r="B125" s="3521"/>
      <c r="C125" s="2857" t="s">
        <v>2755</v>
      </c>
      <c r="D125" s="2831" t="s">
        <v>2756</v>
      </c>
      <c r="E125" s="2857">
        <v>0.1</v>
      </c>
      <c r="F125" s="2857">
        <v>15</v>
      </c>
    </row>
    <row r="126" spans="1:6" ht="13.5">
      <c r="A126" s="2857">
        <v>54</v>
      </c>
      <c r="B126" s="2857" t="s">
        <v>2757</v>
      </c>
      <c r="C126" s="2857" t="s">
        <v>2758</v>
      </c>
      <c r="D126" s="2831" t="s">
        <v>2759</v>
      </c>
      <c r="E126" s="2857">
        <v>0.1</v>
      </c>
      <c r="F126" s="2857">
        <v>15</v>
      </c>
    </row>
    <row r="127" spans="1:6" ht="13.5">
      <c r="A127" s="2857">
        <v>55</v>
      </c>
      <c r="B127" s="3521" t="s">
        <v>2760</v>
      </c>
      <c r="C127" s="2857" t="s">
        <v>2761</v>
      </c>
      <c r="D127" s="2831" t="s">
        <v>2762</v>
      </c>
      <c r="E127" s="2857">
        <v>0.1</v>
      </c>
      <c r="F127" s="2857">
        <v>15</v>
      </c>
    </row>
    <row r="128" spans="1:6" ht="13.5">
      <c r="A128" s="2857">
        <v>56</v>
      </c>
      <c r="B128" s="3521"/>
      <c r="C128" s="2857" t="s">
        <v>2763</v>
      </c>
      <c r="D128" s="2831" t="s">
        <v>2764</v>
      </c>
      <c r="E128" s="2857">
        <v>0.1</v>
      </c>
      <c r="F128" s="2857">
        <v>15</v>
      </c>
    </row>
    <row r="129" spans="1:6" ht="24">
      <c r="A129" s="2857">
        <v>57</v>
      </c>
      <c r="B129" s="3521"/>
      <c r="C129" s="2857" t="s">
        <v>2765</v>
      </c>
      <c r="D129" s="2831" t="s">
        <v>2766</v>
      </c>
      <c r="E129" s="2857">
        <v>0.1</v>
      </c>
      <c r="F129" s="2857">
        <v>15</v>
      </c>
    </row>
    <row r="130" spans="1:6" ht="24">
      <c r="A130" s="2857">
        <v>58</v>
      </c>
      <c r="B130" s="3521" t="s">
        <v>2767</v>
      </c>
      <c r="C130" s="2857" t="s">
        <v>2768</v>
      </c>
      <c r="D130" s="2831" t="s">
        <v>2769</v>
      </c>
      <c r="E130" s="2857">
        <v>0.1</v>
      </c>
      <c r="F130" s="2857">
        <v>15</v>
      </c>
    </row>
    <row r="131" spans="1:6" ht="13.5">
      <c r="A131" s="2857">
        <v>59</v>
      </c>
      <c r="B131" s="3521"/>
      <c r="C131" s="2857" t="s">
        <v>2770</v>
      </c>
      <c r="D131" s="2831" t="s">
        <v>2771</v>
      </c>
      <c r="E131" s="2857">
        <v>0.1</v>
      </c>
      <c r="F131" s="2857">
        <v>15</v>
      </c>
    </row>
    <row r="132" spans="1:6" ht="13.5">
      <c r="A132" s="2857">
        <v>60</v>
      </c>
      <c r="B132" s="3522" t="s">
        <v>2772</v>
      </c>
      <c r="C132" s="2857" t="s">
        <v>2773</v>
      </c>
      <c r="D132" s="2831" t="s">
        <v>2774</v>
      </c>
      <c r="E132" s="2857">
        <v>0.1</v>
      </c>
      <c r="F132" s="2857">
        <v>15</v>
      </c>
    </row>
    <row r="133" spans="1:6" ht="13.5">
      <c r="A133" s="2857">
        <v>61</v>
      </c>
      <c r="B133" s="3523"/>
      <c r="C133" s="2857" t="s">
        <v>2775</v>
      </c>
      <c r="D133" s="2831" t="s">
        <v>2776</v>
      </c>
      <c r="E133" s="2857">
        <v>0.1</v>
      </c>
      <c r="F133" s="2857">
        <v>15</v>
      </c>
    </row>
    <row r="134" spans="1:6" ht="24">
      <c r="A134" s="2857">
        <v>62</v>
      </c>
      <c r="B134" s="2857" t="s">
        <v>2777</v>
      </c>
      <c r="C134" s="2857" t="s">
        <v>2778</v>
      </c>
      <c r="D134" s="2831" t="s">
        <v>2779</v>
      </c>
      <c r="E134" s="2857">
        <v>0.1</v>
      </c>
      <c r="F134" s="2857">
        <v>15</v>
      </c>
    </row>
    <row r="135" spans="1:6" ht="13.5">
      <c r="A135" s="2857">
        <v>63</v>
      </c>
      <c r="B135" s="3521" t="s">
        <v>2780</v>
      </c>
      <c r="C135" s="2857" t="s">
        <v>2781</v>
      </c>
      <c r="D135" s="2831" t="s">
        <v>2782</v>
      </c>
      <c r="E135" s="2857">
        <v>0.1</v>
      </c>
      <c r="F135" s="2857">
        <v>15</v>
      </c>
    </row>
    <row r="136" spans="1:6" ht="13.5">
      <c r="A136" s="2857">
        <v>64</v>
      </c>
      <c r="B136" s="3521"/>
      <c r="C136" s="2857" t="s">
        <v>2783</v>
      </c>
      <c r="D136" s="2831" t="s">
        <v>2784</v>
      </c>
      <c r="E136" s="2857">
        <v>0.1</v>
      </c>
      <c r="F136" s="2857">
        <v>15</v>
      </c>
    </row>
    <row r="137" spans="1:6" ht="13.5">
      <c r="A137" s="2857">
        <v>65</v>
      </c>
      <c r="B137" s="2857" t="s">
        <v>2785</v>
      </c>
      <c r="C137" s="2857" t="s">
        <v>2786</v>
      </c>
      <c r="D137" s="2831" t="s">
        <v>2787</v>
      </c>
      <c r="E137" s="2857">
        <v>0.1</v>
      </c>
      <c r="F137" s="2857">
        <v>15</v>
      </c>
    </row>
    <row r="138" spans="1:6" ht="13.5">
      <c r="A138" s="2857"/>
      <c r="B138" s="2857"/>
      <c r="C138" s="2857"/>
      <c r="D138" s="2857"/>
      <c r="E138" s="2857" t="s">
        <v>2788</v>
      </c>
      <c r="F138" s="2857"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2789</v>
      </c>
      <c r="B1" s="2865"/>
      <c r="C1" s="2865"/>
      <c r="D1" s="2865"/>
      <c r="E1" s="2865"/>
      <c r="F1" s="2865"/>
      <c r="G1" s="2865"/>
      <c r="H1" s="2865"/>
      <c r="I1" s="2865"/>
      <c r="J1" s="2865"/>
      <c r="K1" s="2865"/>
      <c r="L1" s="2865"/>
      <c r="M1" s="2865"/>
      <c r="N1" s="707"/>
    </row>
    <row r="2" spans="1:20">
      <c r="A2" s="2866" t="s">
        <v>2790</v>
      </c>
      <c r="B2" s="2867" t="s">
        <v>2586</v>
      </c>
      <c r="C2" s="2867" t="s">
        <v>2587</v>
      </c>
      <c r="D2" s="2867" t="s">
        <v>2588</v>
      </c>
      <c r="E2" s="2867" t="s">
        <v>2589</v>
      </c>
      <c r="F2" s="2867" t="s">
        <v>2590</v>
      </c>
      <c r="G2" s="2867" t="s">
        <v>2591</v>
      </c>
      <c r="H2" s="2868" t="s">
        <v>2592</v>
      </c>
      <c r="I2" s="2868" t="s">
        <v>2593</v>
      </c>
      <c r="J2" s="2869" t="s">
        <v>2594</v>
      </c>
      <c r="K2" s="2869" t="s">
        <v>2595</v>
      </c>
      <c r="L2" s="2869" t="s">
        <v>2596</v>
      </c>
      <c r="M2" s="2870" t="s">
        <v>2597</v>
      </c>
      <c r="Q2" s="2880" t="s">
        <v>2795</v>
      </c>
      <c r="R2" s="2880" t="s">
        <v>2796</v>
      </c>
      <c r="S2" s="2880" t="s">
        <v>2797</v>
      </c>
      <c r="T2" s="2880" t="s">
        <v>2798</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2791</v>
      </c>
      <c r="B93" s="2865"/>
      <c r="C93" s="2865"/>
      <c r="D93" s="2865"/>
      <c r="E93" s="2865"/>
      <c r="F93" s="2865"/>
      <c r="G93" s="2865"/>
      <c r="H93" s="2865"/>
      <c r="I93" s="2865"/>
      <c r="J93" s="2865"/>
      <c r="K93" s="2865"/>
      <c r="L93" s="2865"/>
      <c r="M93" s="2865"/>
    </row>
    <row r="94" spans="1:20">
      <c r="A94" s="2866" t="s">
        <v>2790</v>
      </c>
      <c r="B94" s="2867" t="s">
        <v>2586</v>
      </c>
      <c r="C94" s="2867" t="s">
        <v>2587</v>
      </c>
      <c r="D94" s="2867" t="s">
        <v>2588</v>
      </c>
      <c r="E94" s="2867" t="s">
        <v>2589</v>
      </c>
      <c r="F94" s="2867" t="s">
        <v>2590</v>
      </c>
      <c r="G94" s="2867" t="s">
        <v>2591</v>
      </c>
      <c r="H94" s="2868" t="s">
        <v>2592</v>
      </c>
      <c r="I94" s="2868" t="s">
        <v>2593</v>
      </c>
      <c r="J94" s="2869" t="s">
        <v>2594</v>
      </c>
      <c r="K94" s="2869" t="s">
        <v>2595</v>
      </c>
      <c r="L94" s="2869" t="s">
        <v>2596</v>
      </c>
      <c r="M94" s="2870" t="s">
        <v>2597</v>
      </c>
      <c r="N94">
        <f>SUMPRODUCT((A95:A184=ROUNDDOWN(基准地价修正!G3,1))*(B94:M94=基准地价修正!G2)*(B95:M184))</f>
        <v>0.89239999999999997</v>
      </c>
      <c r="Q94" s="2880" t="s">
        <v>2795</v>
      </c>
      <c r="R94" s="2880" t="s">
        <v>2796</v>
      </c>
      <c r="S94" s="2880" t="s">
        <v>2797</v>
      </c>
      <c r="T94" s="2880" t="s">
        <v>2798</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2792</v>
      </c>
      <c r="B185" s="2865"/>
      <c r="C185" s="2865"/>
      <c r="D185" s="2865"/>
      <c r="E185" s="2865"/>
      <c r="F185" s="2865"/>
      <c r="G185" s="2865"/>
      <c r="H185" s="2865"/>
      <c r="I185" s="2865"/>
      <c r="J185" s="2865"/>
      <c r="K185" s="2865"/>
      <c r="L185" s="2865"/>
      <c r="M185" s="2865"/>
    </row>
    <row r="186" spans="1:20">
      <c r="A186" s="2866" t="s">
        <v>2790</v>
      </c>
      <c r="B186" s="2867" t="s">
        <v>2586</v>
      </c>
      <c r="C186" s="2867" t="s">
        <v>2587</v>
      </c>
      <c r="D186" s="2867" t="s">
        <v>2588</v>
      </c>
      <c r="E186" s="2867" t="s">
        <v>2589</v>
      </c>
      <c r="F186" s="2867" t="s">
        <v>2590</v>
      </c>
      <c r="G186" s="2867" t="s">
        <v>2591</v>
      </c>
      <c r="H186" s="2868" t="s">
        <v>2592</v>
      </c>
      <c r="I186" s="2868" t="s">
        <v>2593</v>
      </c>
      <c r="J186" s="2869" t="s">
        <v>2594</v>
      </c>
      <c r="K186" s="2869" t="s">
        <v>2595</v>
      </c>
      <c r="L186" s="2869" t="s">
        <v>2596</v>
      </c>
      <c r="M186" s="2870" t="s">
        <v>2597</v>
      </c>
      <c r="Q186" s="2880" t="s">
        <v>2795</v>
      </c>
      <c r="R186" s="2880" t="s">
        <v>2796</v>
      </c>
      <c r="S186" s="2880" t="s">
        <v>2797</v>
      </c>
      <c r="T186" s="2880" t="s">
        <v>2798</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2793</v>
      </c>
      <c r="B277" s="2865"/>
      <c r="C277" s="2865"/>
      <c r="D277" s="2865"/>
      <c r="E277" s="2865"/>
      <c r="F277" s="2865"/>
      <c r="G277" s="2865"/>
      <c r="H277" s="2865"/>
      <c r="I277" s="2865"/>
      <c r="J277" s="2865"/>
      <c r="K277" s="2865"/>
      <c r="L277" s="2865"/>
      <c r="M277" s="2865"/>
    </row>
    <row r="278" spans="1:21">
      <c r="A278" s="2866" t="s">
        <v>2790</v>
      </c>
      <c r="B278" s="2867" t="s">
        <v>2586</v>
      </c>
      <c r="C278" s="2867" t="s">
        <v>2587</v>
      </c>
      <c r="D278" s="2867" t="s">
        <v>2588</v>
      </c>
      <c r="E278" s="2867" t="s">
        <v>2589</v>
      </c>
      <c r="F278" s="2867" t="s">
        <v>2590</v>
      </c>
      <c r="G278" s="2867" t="s">
        <v>2591</v>
      </c>
      <c r="H278" s="2868" t="s">
        <v>2592</v>
      </c>
      <c r="I278" s="2868" t="s">
        <v>2593</v>
      </c>
      <c r="J278" s="2869" t="s">
        <v>2594</v>
      </c>
      <c r="K278" s="2869" t="s">
        <v>2595</v>
      </c>
      <c r="L278" s="2869" t="s">
        <v>2596</v>
      </c>
      <c r="M278" s="2870" t="s">
        <v>2597</v>
      </c>
      <c r="Q278" s="2880" t="s">
        <v>2795</v>
      </c>
      <c r="R278" s="2880" t="s">
        <v>2796</v>
      </c>
      <c r="S278" s="2880" t="s">
        <v>2799</v>
      </c>
      <c r="T278" s="2880" t="s">
        <v>2800</v>
      </c>
      <c r="U278" s="2880" t="s">
        <v>2798</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2794</v>
      </c>
      <c r="B369" s="2878"/>
      <c r="C369" s="2878"/>
      <c r="D369" s="2878"/>
      <c r="E369" s="2878"/>
      <c r="F369" s="2878"/>
      <c r="G369" s="2878"/>
      <c r="H369" s="2878"/>
      <c r="I369" s="2878"/>
      <c r="J369" s="2878"/>
      <c r="K369" s="2878"/>
      <c r="L369" s="2878"/>
      <c r="M369" s="2878"/>
    </row>
    <row r="370" spans="1:20">
      <c r="A370" s="2866" t="s">
        <v>2790</v>
      </c>
      <c r="B370" s="2867" t="s">
        <v>2586</v>
      </c>
      <c r="C370" s="2867" t="s">
        <v>2587</v>
      </c>
      <c r="D370" s="2867" t="s">
        <v>2588</v>
      </c>
      <c r="E370" s="2867" t="s">
        <v>2589</v>
      </c>
      <c r="F370" s="2867" t="s">
        <v>2590</v>
      </c>
      <c r="G370" s="2867" t="s">
        <v>2591</v>
      </c>
      <c r="H370" s="2868" t="s">
        <v>2592</v>
      </c>
      <c r="I370" s="2868" t="s">
        <v>2593</v>
      </c>
      <c r="J370" s="2869" t="s">
        <v>2594</v>
      </c>
      <c r="K370" s="2869" t="s">
        <v>2595</v>
      </c>
      <c r="L370" s="2869" t="s">
        <v>2596</v>
      </c>
      <c r="M370" s="2870" t="s">
        <v>2597</v>
      </c>
      <c r="N370">
        <f>SUMPRODUCT((A371:A460=ROUNDDOWN(基准地价修正!G3,1))*(B370:M370=基准地价修正!G2)*(B371:M460))</f>
        <v>0.84889999999999999</v>
      </c>
      <c r="Q370" s="2880" t="s">
        <v>2795</v>
      </c>
      <c r="R370" s="2880" t="s">
        <v>2796</v>
      </c>
      <c r="S370" s="2880" t="s">
        <v>2797</v>
      </c>
      <c r="T370" s="2880" t="s">
        <v>2798</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117783</v>
      </c>
      <c r="C2" s="2" t="s">
        <v>106</v>
      </c>
      <c r="D2" s="191"/>
      <c r="E2" s="191"/>
      <c r="F2" s="191"/>
      <c r="G2" s="191"/>
    </row>
    <row r="3" spans="1:7" s="192" customFormat="1" ht="18" customHeight="1" thickBot="1">
      <c r="A3" s="195" t="s">
        <v>58</v>
      </c>
      <c r="B3" s="196">
        <f ca="1">ROUND(B2*10000/'数据-汇总表'!E3,0)</f>
        <v>11337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2078</v>
      </c>
      <c r="D10" s="795">
        <f>'数据-汇总表'!E6</f>
        <v>103889.93000000002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2078</v>
      </c>
      <c r="D19" s="204">
        <f>'数据-汇总表'!E3</f>
        <v>103889.93000000002</v>
      </c>
      <c r="E19" s="203">
        <f>'数据-取费表'!B31</f>
        <v>200</v>
      </c>
      <c r="F19" s="223"/>
      <c r="G19" s="1" t="s">
        <v>436</v>
      </c>
    </row>
    <row r="20" spans="1:7" s="206" customFormat="1" ht="13.5" customHeight="1">
      <c r="A20" s="731" t="s">
        <v>419</v>
      </c>
      <c r="B20" s="202" t="s">
        <v>77</v>
      </c>
      <c r="C20" s="224">
        <f>ROUND((C5+C19)*F20,0)</f>
        <v>681</v>
      </c>
      <c r="D20" s="224"/>
      <c r="E20" s="224"/>
      <c r="F20" s="225">
        <f>'数据-取费表'!B37</f>
        <v>0.03</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2208</v>
      </c>
      <c r="D22" s="227">
        <f ca="1">C26</f>
        <v>1.4E-3</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1977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199</v>
      </c>
      <c r="D24" s="230"/>
      <c r="E24" s="230"/>
      <c r="F24" s="231"/>
      <c r="G24" s="232" t="s">
        <v>82</v>
      </c>
    </row>
    <row r="25" spans="1:7" s="206" customFormat="1" ht="24">
      <c r="A25" s="734" t="s">
        <v>348</v>
      </c>
      <c r="B25" s="207" t="s">
        <v>420</v>
      </c>
      <c r="C25" s="1042">
        <f ca="1">ROUND(IF('数据-取费表'!B22&lt;=1,C20*F22*'数据-取费表'!B23/2,C20*(POWER((1+F22),'数据-取费表'!B23/2)-1)),0)</f>
        <v>32</v>
      </c>
      <c r="D25" s="230"/>
      <c r="E25" s="233"/>
      <c r="F25" s="231"/>
      <c r="G25" s="234" t="s">
        <v>83</v>
      </c>
    </row>
    <row r="26" spans="1:7" s="206" customFormat="1">
      <c r="A26" s="734" t="s">
        <v>350</v>
      </c>
      <c r="B26" s="207" t="s">
        <v>422</v>
      </c>
      <c r="C26" s="230">
        <f ca="1">ROUND(IF('数据-取费表'!B22&lt;=1,F21*F22*'数据-取费表'!B23/2,F21*(POWER((1+F22),'数据-取费表'!B23/2)-1)),4)</f>
        <v>1.4E-3</v>
      </c>
      <c r="D26" s="230"/>
      <c r="E26" s="233"/>
      <c r="F26" s="231"/>
      <c r="G26" s="235"/>
    </row>
    <row r="27" spans="1:7" s="206" customFormat="1" ht="24.75">
      <c r="A27" s="731" t="s">
        <v>342</v>
      </c>
      <c r="B27" s="236" t="s">
        <v>85</v>
      </c>
      <c r="C27" s="237">
        <f>C28</f>
        <v>4674</v>
      </c>
      <c r="D27" s="227">
        <f>C29</f>
        <v>6.0000000000000001E-3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4674</v>
      </c>
      <c r="D28" s="227"/>
      <c r="E28" s="228"/>
      <c r="F28" s="238"/>
      <c r="G28" s="239"/>
    </row>
    <row r="29" spans="1:7" s="206" customFormat="1" ht="13.5" customHeight="1">
      <c r="A29" s="734" t="s">
        <v>347</v>
      </c>
      <c r="B29" s="240" t="s">
        <v>425</v>
      </c>
      <c r="C29" s="230">
        <f>ROUND(C21*F27*'数据-取费表'!B21/'数据-取费表'!B20,4)</f>
        <v>6.0000000000000001E-3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33270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68776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62334</v>
      </c>
      <c r="D34" s="209"/>
      <c r="E34" s="212"/>
      <c r="F34" s="249">
        <f>IF('数据-取费表'!B24=0,1,'数据-取费表'!N16)</f>
        <v>1</v>
      </c>
      <c r="G34" s="211" t="s">
        <v>89</v>
      </c>
    </row>
    <row r="35" spans="1:7" ht="13.5" customHeight="1">
      <c r="A35" s="734" t="s">
        <v>351</v>
      </c>
      <c r="B35" s="207" t="s">
        <v>33</v>
      </c>
      <c r="C35" s="212">
        <f>ROUND(C34*F35,0)</f>
        <v>3117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2078</v>
      </c>
      <c r="D37" s="209">
        <f>'数据-汇总表'!E3</f>
        <v>103889.93000000002</v>
      </c>
      <c r="E37" s="241">
        <f>'数据-取费表'!B35</f>
        <v>200</v>
      </c>
      <c r="F37" s="251"/>
      <c r="G37" s="253" t="s">
        <v>92</v>
      </c>
    </row>
    <row r="38" spans="1:7" ht="13.5" customHeight="1">
      <c r="A38" s="734" t="s">
        <v>354</v>
      </c>
      <c r="B38" s="207" t="s">
        <v>36</v>
      </c>
      <c r="C38" s="212">
        <f>ROUND(C34*F38,0)</f>
        <v>1247</v>
      </c>
      <c r="D38" s="212"/>
      <c r="E38" s="212"/>
      <c r="F38" s="251">
        <f>'数据-取费表'!B36</f>
        <v>0.02</v>
      </c>
      <c r="G38" s="211" t="s">
        <v>90</v>
      </c>
    </row>
    <row r="39" spans="1:7" s="206" customFormat="1" ht="13.5" customHeight="1">
      <c r="A39" s="731" t="s">
        <v>338</v>
      </c>
      <c r="B39" s="202" t="s">
        <v>77</v>
      </c>
      <c r="C39" s="224">
        <f>ROUND(C33*F20,0)</f>
        <v>2063</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3320</v>
      </c>
      <c r="D41" s="227">
        <f ca="1">C44</f>
        <v>1.4E-3</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3223</v>
      </c>
      <c r="D42" s="230"/>
      <c r="E42" s="230"/>
      <c r="F42" s="231"/>
      <c r="G42" s="3393" t="s">
        <v>94</v>
      </c>
    </row>
    <row r="43" spans="1:7" ht="13.5" customHeight="1">
      <c r="A43" s="734" t="s">
        <v>347</v>
      </c>
      <c r="B43" s="207" t="s">
        <v>426</v>
      </c>
      <c r="C43" s="230">
        <f ca="1">ROUND(IF('数据-取费表'!B22&lt;=1,C39*F22*'数据-取费表'!B21/2,C39*(POWER((1+F22),'数据-取费表'!B21/2)-1)),0)</f>
        <v>97</v>
      </c>
      <c r="D43" s="230"/>
      <c r="E43" s="230"/>
      <c r="F43" s="231"/>
      <c r="G43" s="3394"/>
    </row>
    <row r="44" spans="1:7" ht="13.5" customHeight="1">
      <c r="A44" s="734" t="s">
        <v>348</v>
      </c>
      <c r="B44" s="207" t="s">
        <v>428</v>
      </c>
      <c r="C44" s="230">
        <f ca="1">ROUND(IF('数据-取费表'!B22&lt;=1,C40*F22*'数据-取费表'!B21/2,C40*(POWER((1+F22),'数据-取费表'!B21/2)-1)),4)</f>
        <v>1.4E-3</v>
      </c>
      <c r="D44" s="230"/>
      <c r="E44" s="230"/>
      <c r="F44" s="231"/>
      <c r="G44" s="3395"/>
    </row>
    <row r="45" spans="1:7" s="206" customFormat="1" ht="13.5" customHeight="1">
      <c r="A45" s="731" t="s">
        <v>341</v>
      </c>
      <c r="B45" s="236" t="s">
        <v>85</v>
      </c>
      <c r="C45" s="237">
        <f>C46</f>
        <v>14168</v>
      </c>
      <c r="D45" s="227">
        <f>C47</f>
        <v>6.0000000000000001E-3</v>
      </c>
      <c r="E45" s="228" t="s">
        <v>102</v>
      </c>
      <c r="F45" s="238"/>
      <c r="G45" s="239" t="s">
        <v>434</v>
      </c>
    </row>
    <row r="46" spans="1:7" s="206" customFormat="1" ht="13.5" customHeight="1">
      <c r="A46" s="734" t="s">
        <v>349</v>
      </c>
      <c r="B46" s="240" t="s">
        <v>427</v>
      </c>
      <c r="C46" s="241">
        <f>ROUND((C33+C39)*F27,0)</f>
        <v>14168</v>
      </c>
      <c r="D46" s="255"/>
      <c r="E46" s="228"/>
      <c r="F46" s="238"/>
      <c r="G46" s="239"/>
    </row>
    <row r="47" spans="1:7" s="206" customFormat="1" ht="13.5" customHeight="1">
      <c r="A47" s="734" t="s">
        <v>347</v>
      </c>
      <c r="B47" s="240" t="s">
        <v>429</v>
      </c>
      <c r="C47" s="230">
        <f>ROUND(C40*F27,4)</f>
        <v>6.0000000000000001E-3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97141</v>
      </c>
      <c r="D49" s="224"/>
      <c r="E49" s="224"/>
      <c r="F49" s="256"/>
      <c r="G49" s="226" t="s">
        <v>435</v>
      </c>
    </row>
    <row r="50" spans="1:7" s="250" customFormat="1" ht="24">
      <c r="A50" s="731" t="s">
        <v>344</v>
      </c>
      <c r="B50" s="202" t="s">
        <v>97</v>
      </c>
      <c r="C50" s="224"/>
      <c r="D50" s="224"/>
      <c r="E50" s="224"/>
      <c r="F50" s="256">
        <f>IF('数据-取费表'!B24=0,'数据-取费表'!N16,1)</f>
        <v>0.87</v>
      </c>
      <c r="G50" s="239" t="s">
        <v>98</v>
      </c>
    </row>
    <row r="51" spans="1:7" ht="16.5" customHeight="1">
      <c r="A51" s="731" t="s">
        <v>345</v>
      </c>
      <c r="B51" s="202" t="s">
        <v>105</v>
      </c>
      <c r="C51" s="224">
        <f ca="1">ROUND(C49*F50,0)</f>
        <v>84513</v>
      </c>
      <c r="D51" s="224"/>
      <c r="E51" s="224"/>
      <c r="F51" s="256"/>
      <c r="G51" s="226" t="s">
        <v>37</v>
      </c>
    </row>
    <row r="52" spans="1:7" s="200" customFormat="1" ht="16.5" thickBot="1">
      <c r="A52" s="257" t="s">
        <v>38</v>
      </c>
      <c r="B52" s="258"/>
      <c r="C52" s="259">
        <f ca="1">C31+C51</f>
        <v>117783</v>
      </c>
      <c r="D52" s="258"/>
      <c r="E52" s="258"/>
      <c r="F52" s="258"/>
      <c r="G52" s="260"/>
    </row>
    <row r="55" spans="1:7" ht="15">
      <c r="B55" s="262" t="s">
        <v>39</v>
      </c>
      <c r="C55" s="263"/>
    </row>
    <row r="56" spans="1:7">
      <c r="B56" s="265" t="s">
        <v>40</v>
      </c>
      <c r="C56" s="266">
        <f ca="1">ROUND(C51/C52,3)</f>
        <v>0.71799999999999997</v>
      </c>
    </row>
    <row r="57" spans="1:7">
      <c r="B57" s="265" t="s">
        <v>41</v>
      </c>
      <c r="C57" s="267">
        <f ca="1">1-C56</f>
        <v>0.28200000000000003</v>
      </c>
    </row>
  </sheetData>
  <mergeCells count="1">
    <mergeCell ref="G42:G44"/>
  </mergeCells>
  <phoneticPr fontId="18"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533" t="s">
        <v>3172</v>
      </c>
      <c r="B1" s="3533"/>
    </row>
    <row r="2" spans="1:7" ht="14.25" thickBot="1">
      <c r="A2" s="2968"/>
      <c r="B2" s="2968"/>
    </row>
    <row r="3" spans="1:7" ht="14.25" thickBot="1">
      <c r="A3" s="2968"/>
      <c r="B3" s="2968"/>
      <c r="C3" s="2969" t="s">
        <v>2802</v>
      </c>
      <c r="D3" s="2969" t="s">
        <v>2858</v>
      </c>
      <c r="E3" s="2969" t="s">
        <v>2804</v>
      </c>
      <c r="F3" s="2969" t="s">
        <v>2859</v>
      </c>
      <c r="G3" s="2969" t="s">
        <v>2622</v>
      </c>
    </row>
    <row r="4" spans="1:7" ht="14.25" thickBot="1">
      <c r="A4" s="2970" t="s">
        <v>2857</v>
      </c>
      <c r="B4" s="2971" t="s">
        <v>2863</v>
      </c>
      <c r="C4" s="2969"/>
      <c r="D4" s="2969"/>
      <c r="E4" s="2969"/>
      <c r="F4" s="2969"/>
      <c r="G4" s="2969"/>
    </row>
    <row r="5" spans="1:7">
      <c r="A5" s="2972" t="s">
        <v>2831</v>
      </c>
      <c r="B5" s="2973" t="s">
        <v>2845</v>
      </c>
      <c r="C5" s="2974">
        <v>9.8000000000000004E-2</v>
      </c>
      <c r="D5" s="2974">
        <v>8.6999999999999994E-2</v>
      </c>
      <c r="E5" s="2974">
        <v>8.6999999999999994E-2</v>
      </c>
      <c r="F5" s="2974">
        <v>9.8000000000000004E-2</v>
      </c>
      <c r="G5" s="2975">
        <v>9.5000000000000001E-2</v>
      </c>
    </row>
    <row r="6" spans="1:7">
      <c r="A6" s="2976" t="s">
        <v>144</v>
      </c>
      <c r="B6" s="2977" t="s">
        <v>2860</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2846</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2896</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2914</v>
      </c>
      <c r="C29" s="2986"/>
      <c r="D29" s="2982">
        <v>5.1999999999999998E-2</v>
      </c>
      <c r="E29" s="2982">
        <v>7.0000000000000007E-2</v>
      </c>
      <c r="F29" s="2986"/>
      <c r="G29" s="2984">
        <v>7.0999999999999994E-2</v>
      </c>
    </row>
    <row r="30" spans="1:7">
      <c r="A30" s="2987" t="s">
        <v>296</v>
      </c>
      <c r="B30" s="2973" t="s">
        <v>2847</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2833</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2917</v>
      </c>
      <c r="C50" s="2978">
        <v>9.8000000000000004E-2</v>
      </c>
      <c r="D50" s="2978">
        <v>7.2999999999999995E-2</v>
      </c>
      <c r="E50" s="2978">
        <v>7.0999999999999994E-2</v>
      </c>
      <c r="F50" s="2989"/>
      <c r="G50" s="2979">
        <v>7.2999999999999995E-2</v>
      </c>
    </row>
    <row r="51" spans="1:7">
      <c r="A51" s="2988" t="s">
        <v>296</v>
      </c>
      <c r="B51" s="2977" t="s">
        <v>2919</v>
      </c>
      <c r="C51" s="2978">
        <v>9.9000000000000005E-2</v>
      </c>
      <c r="D51" s="2978">
        <v>8.5000000000000006E-2</v>
      </c>
      <c r="E51" s="2978">
        <v>6.3E-2</v>
      </c>
      <c r="F51" s="2989"/>
      <c r="G51" s="2979">
        <v>9.6000000000000002E-2</v>
      </c>
    </row>
    <row r="52" spans="1:7">
      <c r="A52" s="2988" t="s">
        <v>296</v>
      </c>
      <c r="B52" s="2977" t="s">
        <v>2923</v>
      </c>
      <c r="C52" s="2978">
        <v>7.3999999999999996E-2</v>
      </c>
      <c r="D52" s="2978">
        <v>9.6000000000000002E-2</v>
      </c>
      <c r="E52" s="2978">
        <v>0.05</v>
      </c>
      <c r="F52" s="2989"/>
      <c r="G52" s="2979">
        <v>9.8000000000000004E-2</v>
      </c>
    </row>
    <row r="53" spans="1:7">
      <c r="A53" s="2988" t="s">
        <v>296</v>
      </c>
      <c r="B53" s="2977" t="s">
        <v>2928</v>
      </c>
      <c r="C53" s="2978">
        <v>8.5999999999999993E-2</v>
      </c>
      <c r="D53" s="2989"/>
      <c r="E53" s="2978">
        <v>9.1999999999999998E-2</v>
      </c>
      <c r="F53" s="2989"/>
      <c r="G53" s="2990"/>
    </row>
    <row r="54" spans="1:7" ht="14.25" thickBot="1">
      <c r="A54" s="2991" t="s">
        <v>296</v>
      </c>
      <c r="B54" s="2981" t="s">
        <v>2931</v>
      </c>
      <c r="C54" s="2982">
        <v>9.6000000000000002E-2</v>
      </c>
      <c r="D54" s="2983"/>
      <c r="E54" s="2992"/>
      <c r="F54" s="2983"/>
      <c r="G54" s="2993"/>
    </row>
    <row r="55" spans="1:7">
      <c r="A55" s="2987" t="s">
        <v>110</v>
      </c>
      <c r="B55" s="2973" t="s">
        <v>2848</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2929</v>
      </c>
      <c r="C78" s="2978">
        <v>0.1</v>
      </c>
      <c r="D78" s="2978">
        <v>8.5000000000000006E-2</v>
      </c>
      <c r="E78" s="2978">
        <v>9.6000000000000002E-2</v>
      </c>
      <c r="F78" s="2989"/>
      <c r="G78" s="2979">
        <v>9.6000000000000002E-2</v>
      </c>
    </row>
    <row r="79" spans="1:7">
      <c r="A79" s="2988" t="s">
        <v>110</v>
      </c>
      <c r="B79" s="2977" t="s">
        <v>2932</v>
      </c>
      <c r="C79" s="2978">
        <v>0.05</v>
      </c>
      <c r="D79" s="2978">
        <v>9.6000000000000002E-2</v>
      </c>
      <c r="E79" s="2978">
        <v>9.5000000000000001E-2</v>
      </c>
      <c r="F79" s="2989"/>
      <c r="G79" s="2979">
        <v>9.8000000000000004E-2</v>
      </c>
    </row>
    <row r="80" spans="1:7">
      <c r="A80" s="2988" t="s">
        <v>110</v>
      </c>
      <c r="B80" s="2977" t="s">
        <v>2936</v>
      </c>
      <c r="C80" s="2978">
        <v>8.5999999999999993E-2</v>
      </c>
      <c r="D80" s="2994"/>
      <c r="E80" s="2978">
        <v>0.1</v>
      </c>
      <c r="F80" s="2989"/>
      <c r="G80" s="2990"/>
    </row>
    <row r="81" spans="1:7">
      <c r="A81" s="2988" t="s">
        <v>110</v>
      </c>
      <c r="B81" s="2977" t="s">
        <v>2941</v>
      </c>
      <c r="C81" s="2978">
        <v>9.6000000000000002E-2</v>
      </c>
      <c r="D81" s="2989"/>
      <c r="E81" s="2978">
        <v>9.8000000000000004E-2</v>
      </c>
      <c r="F81" s="2989"/>
      <c r="G81" s="2990"/>
    </row>
    <row r="82" spans="1:7">
      <c r="A82" s="2988" t="s">
        <v>110</v>
      </c>
      <c r="B82" s="2977" t="s">
        <v>2948</v>
      </c>
      <c r="C82" s="2994"/>
      <c r="D82" s="2989"/>
      <c r="E82" s="2978">
        <v>7.6999999999999999E-2</v>
      </c>
      <c r="F82" s="2989"/>
      <c r="G82" s="2990"/>
    </row>
    <row r="83" spans="1:7">
      <c r="A83" s="2988" t="s">
        <v>110</v>
      </c>
      <c r="B83" s="2977" t="s">
        <v>2954</v>
      </c>
      <c r="C83" s="2989"/>
      <c r="D83" s="2989"/>
      <c r="E83" s="2989"/>
      <c r="F83" s="2978">
        <v>0.1</v>
      </c>
      <c r="G83" s="2995"/>
    </row>
    <row r="84" spans="1:7">
      <c r="A84" s="2988" t="s">
        <v>110</v>
      </c>
      <c r="B84" s="2977" t="s">
        <v>2961</v>
      </c>
      <c r="C84" s="2989"/>
      <c r="D84" s="2989"/>
      <c r="E84" s="2989"/>
      <c r="F84" s="2978">
        <v>0.1</v>
      </c>
      <c r="G84" s="2995"/>
    </row>
    <row r="85" spans="1:7">
      <c r="A85" s="2988" t="s">
        <v>110</v>
      </c>
      <c r="B85" s="2977" t="s">
        <v>2968</v>
      </c>
      <c r="C85" s="2989"/>
      <c r="D85" s="2989"/>
      <c r="E85" s="2989"/>
      <c r="F85" s="2978">
        <v>0.1</v>
      </c>
      <c r="G85" s="2995"/>
    </row>
    <row r="86" spans="1:7" ht="14.25" thickBot="1">
      <c r="A86" s="2991" t="s">
        <v>110</v>
      </c>
      <c r="B86" s="2981" t="s">
        <v>2973</v>
      </c>
      <c r="C86" s="2982">
        <v>9.8000000000000004E-2</v>
      </c>
      <c r="D86" s="2982">
        <v>9.8000000000000004E-2</v>
      </c>
      <c r="E86" s="2982">
        <v>9.6000000000000002E-2</v>
      </c>
      <c r="F86" s="2992"/>
      <c r="G86" s="2984">
        <v>0.1</v>
      </c>
    </row>
    <row r="87" spans="1:7">
      <c r="A87" s="2987" t="s">
        <v>303</v>
      </c>
      <c r="B87" s="2973" t="s">
        <v>2849</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2942</v>
      </c>
      <c r="C113" s="2978">
        <v>0.1</v>
      </c>
      <c r="D113" s="2978">
        <v>0.1</v>
      </c>
      <c r="E113" s="2989"/>
      <c r="F113" s="2989"/>
      <c r="G113" s="2979">
        <v>0.1</v>
      </c>
    </row>
    <row r="114" spans="1:7">
      <c r="A114" s="2988" t="s">
        <v>303</v>
      </c>
      <c r="B114" s="2977" t="s">
        <v>2949</v>
      </c>
      <c r="C114" s="2978">
        <v>9.7000000000000003E-2</v>
      </c>
      <c r="D114" s="2978">
        <v>9.7000000000000003E-2</v>
      </c>
      <c r="E114" s="2989"/>
      <c r="F114" s="2989"/>
      <c r="G114" s="2979">
        <v>9.9000000000000005E-2</v>
      </c>
    </row>
    <row r="115" spans="1:7">
      <c r="A115" s="2988" t="s">
        <v>303</v>
      </c>
      <c r="B115" s="2977" t="s">
        <v>2955</v>
      </c>
      <c r="C115" s="2978">
        <v>0.1</v>
      </c>
      <c r="D115" s="2978">
        <v>0.1</v>
      </c>
      <c r="E115" s="2989"/>
      <c r="F115" s="2989"/>
      <c r="G115" s="2979">
        <v>0.1</v>
      </c>
    </row>
    <row r="116" spans="1:7">
      <c r="A116" s="2988" t="s">
        <v>303</v>
      </c>
      <c r="B116" s="2977" t="s">
        <v>2962</v>
      </c>
      <c r="C116" s="2978">
        <v>0.1</v>
      </c>
      <c r="D116" s="2978">
        <v>0.1</v>
      </c>
      <c r="E116" s="2989"/>
      <c r="F116" s="2989"/>
      <c r="G116" s="2979">
        <v>0.1</v>
      </c>
    </row>
    <row r="117" spans="1:7">
      <c r="A117" s="2988" t="s">
        <v>303</v>
      </c>
      <c r="B117" s="2977" t="s">
        <v>2969</v>
      </c>
      <c r="C117" s="2978">
        <v>9.7000000000000003E-2</v>
      </c>
      <c r="D117" s="2978">
        <v>9.7000000000000003E-2</v>
      </c>
      <c r="E117" s="2989"/>
      <c r="F117" s="2989"/>
      <c r="G117" s="2979">
        <v>9.7000000000000003E-2</v>
      </c>
    </row>
    <row r="118" spans="1:7">
      <c r="A118" s="2988" t="s">
        <v>303</v>
      </c>
      <c r="B118" s="2977" t="s">
        <v>2974</v>
      </c>
      <c r="C118" s="2978">
        <v>0.1</v>
      </c>
      <c r="D118" s="2978">
        <v>0.1</v>
      </c>
      <c r="E118" s="2989"/>
      <c r="F118" s="2989"/>
      <c r="G118" s="2979">
        <v>0.1</v>
      </c>
    </row>
    <row r="119" spans="1:7">
      <c r="A119" s="2988" t="s">
        <v>303</v>
      </c>
      <c r="B119" s="2977" t="s">
        <v>2978</v>
      </c>
      <c r="C119" s="2978">
        <v>5.0999999999999997E-2</v>
      </c>
      <c r="D119" s="2978">
        <v>5.1999999999999998E-2</v>
      </c>
      <c r="E119" s="2989"/>
      <c r="F119" s="2994"/>
      <c r="G119" s="2979">
        <v>0.06</v>
      </c>
    </row>
    <row r="120" spans="1:7">
      <c r="A120" s="2988" t="s">
        <v>303</v>
      </c>
      <c r="B120" s="2977" t="s">
        <v>2982</v>
      </c>
      <c r="C120" s="2989"/>
      <c r="D120" s="2989"/>
      <c r="E120" s="2989"/>
      <c r="F120" s="2978">
        <v>0.1</v>
      </c>
      <c r="G120" s="2995"/>
    </row>
    <row r="121" spans="1:7">
      <c r="A121" s="2988" t="s">
        <v>303</v>
      </c>
      <c r="B121" s="2977" t="s">
        <v>2987</v>
      </c>
      <c r="C121" s="2989"/>
      <c r="D121" s="2989"/>
      <c r="E121" s="2989"/>
      <c r="F121" s="2978">
        <v>0.1</v>
      </c>
      <c r="G121" s="2995"/>
    </row>
    <row r="122" spans="1:7">
      <c r="A122" s="2988" t="s">
        <v>303</v>
      </c>
      <c r="B122" s="2977" t="s">
        <v>2992</v>
      </c>
      <c r="C122" s="2978">
        <v>0.1</v>
      </c>
      <c r="D122" s="2978">
        <v>0.1</v>
      </c>
      <c r="E122" s="2978">
        <v>9.8000000000000004E-2</v>
      </c>
      <c r="F122" s="2978">
        <v>0.1</v>
      </c>
      <c r="G122" s="2979">
        <v>0.1</v>
      </c>
    </row>
    <row r="123" spans="1:7">
      <c r="A123" s="2988" t="s">
        <v>303</v>
      </c>
      <c r="B123" s="2977" t="s">
        <v>2997</v>
      </c>
      <c r="C123" s="2978">
        <v>0.1</v>
      </c>
      <c r="D123" s="2978">
        <v>0.1</v>
      </c>
      <c r="E123" s="2978">
        <v>9.8000000000000004E-2</v>
      </c>
      <c r="F123" s="2978">
        <v>0.1</v>
      </c>
      <c r="G123" s="2979">
        <v>0.1</v>
      </c>
    </row>
    <row r="124" spans="1:7">
      <c r="A124" s="2988" t="s">
        <v>303</v>
      </c>
      <c r="B124" s="2977" t="s">
        <v>3002</v>
      </c>
      <c r="C124" s="2978">
        <v>0.1</v>
      </c>
      <c r="D124" s="2978">
        <v>0.1</v>
      </c>
      <c r="E124" s="2978">
        <v>9.8000000000000004E-2</v>
      </c>
      <c r="F124" s="2994"/>
      <c r="G124" s="2979">
        <v>0.1</v>
      </c>
    </row>
    <row r="125" spans="1:7">
      <c r="A125" s="2988" t="s">
        <v>303</v>
      </c>
      <c r="B125" s="2977" t="s">
        <v>3007</v>
      </c>
      <c r="C125" s="2978">
        <v>9.8000000000000004E-2</v>
      </c>
      <c r="D125" s="2978">
        <v>9.8000000000000004E-2</v>
      </c>
      <c r="E125" s="2978">
        <v>9.6000000000000002E-2</v>
      </c>
      <c r="F125" s="2994"/>
      <c r="G125" s="2979">
        <v>0.1</v>
      </c>
    </row>
    <row r="126" spans="1:7" ht="14.25" thickBot="1">
      <c r="A126" s="2991" t="s">
        <v>303</v>
      </c>
      <c r="B126" s="2981" t="s">
        <v>3173</v>
      </c>
      <c r="C126" s="2982">
        <v>0.1</v>
      </c>
      <c r="D126" s="2982">
        <v>0.1</v>
      </c>
      <c r="E126" s="2982">
        <v>9.8000000000000004E-2</v>
      </c>
      <c r="F126" s="2982">
        <v>0.1</v>
      </c>
      <c r="G126" s="2984">
        <v>0.1</v>
      </c>
    </row>
    <row r="127" spans="1:7">
      <c r="A127" s="2987" t="s">
        <v>29</v>
      </c>
      <c r="B127" s="2973" t="s">
        <v>2850</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2920</v>
      </c>
      <c r="C148" s="2978">
        <v>0.13</v>
      </c>
      <c r="D148" s="2978">
        <v>0.13</v>
      </c>
      <c r="E148" s="2978">
        <v>0.13</v>
      </c>
      <c r="F148" s="2989"/>
      <c r="G148" s="2979">
        <v>0.13</v>
      </c>
    </row>
    <row r="149" spans="1:7">
      <c r="A149" s="2988" t="s">
        <v>29</v>
      </c>
      <c r="B149" s="2977" t="s">
        <v>2924</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2943</v>
      </c>
      <c r="C153" s="2978">
        <v>0.13</v>
      </c>
      <c r="D153" s="2978">
        <v>0.13</v>
      </c>
      <c r="E153" s="2978">
        <v>0.13</v>
      </c>
      <c r="F153" s="2978">
        <v>0.13</v>
      </c>
      <c r="G153" s="2979">
        <v>0.13</v>
      </c>
    </row>
    <row r="154" spans="1:7">
      <c r="A154" s="2988" t="s">
        <v>29</v>
      </c>
      <c r="B154" s="2977" t="s">
        <v>2950</v>
      </c>
      <c r="C154" s="2978">
        <v>0.121</v>
      </c>
      <c r="D154" s="2978">
        <v>0.121</v>
      </c>
      <c r="E154" s="2978">
        <v>0.105</v>
      </c>
      <c r="F154" s="2978">
        <v>0.121</v>
      </c>
      <c r="G154" s="2979">
        <v>0.123</v>
      </c>
    </row>
    <row r="155" spans="1:7">
      <c r="A155" s="2988" t="s">
        <v>29</v>
      </c>
      <c r="B155" s="2977" t="s">
        <v>2956</v>
      </c>
      <c r="C155" s="2978">
        <v>0.1</v>
      </c>
      <c r="D155" s="2978">
        <v>0.1</v>
      </c>
      <c r="E155" s="2978">
        <v>0.1</v>
      </c>
      <c r="F155" s="2978">
        <v>0.1</v>
      </c>
      <c r="G155" s="2979">
        <v>0.1</v>
      </c>
    </row>
    <row r="156" spans="1:7">
      <c r="A156" s="2988" t="s">
        <v>29</v>
      </c>
      <c r="B156" s="2977" t="s">
        <v>2963</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2983</v>
      </c>
      <c r="C160" s="2978">
        <v>0.13</v>
      </c>
      <c r="D160" s="2978">
        <v>0.13</v>
      </c>
      <c r="E160" s="2978">
        <v>0.124</v>
      </c>
      <c r="F160" s="2978">
        <v>0.126</v>
      </c>
      <c r="G160" s="2979">
        <v>0.13</v>
      </c>
    </row>
    <row r="161" spans="1:7">
      <c r="A161" s="2988" t="s">
        <v>29</v>
      </c>
      <c r="B161" s="2977" t="s">
        <v>2988</v>
      </c>
      <c r="C161" s="2978">
        <v>0.13</v>
      </c>
      <c r="D161" s="2978">
        <v>0.13</v>
      </c>
      <c r="E161" s="2978">
        <v>0.124</v>
      </c>
      <c r="F161" s="2978">
        <v>0.127</v>
      </c>
      <c r="G161" s="2979">
        <v>0.13</v>
      </c>
    </row>
    <row r="162" spans="1:7">
      <c r="A162" s="2988" t="s">
        <v>29</v>
      </c>
      <c r="B162" s="2977" t="s">
        <v>2993</v>
      </c>
      <c r="C162" s="2978">
        <v>0.1</v>
      </c>
      <c r="D162" s="2978">
        <v>0.1</v>
      </c>
      <c r="E162" s="2978">
        <v>0.1</v>
      </c>
      <c r="F162" s="2978">
        <v>0.121</v>
      </c>
      <c r="G162" s="2979">
        <v>0.105</v>
      </c>
    </row>
    <row r="163" spans="1:7">
      <c r="A163" s="2988" t="s">
        <v>29</v>
      </c>
      <c r="B163" s="2977" t="s">
        <v>2998</v>
      </c>
      <c r="C163" s="2978">
        <v>0.1</v>
      </c>
      <c r="D163" s="2978">
        <v>0.1</v>
      </c>
      <c r="E163" s="2978">
        <v>0.1</v>
      </c>
      <c r="F163" s="2978">
        <v>0.1</v>
      </c>
      <c r="G163" s="2979">
        <v>0.1</v>
      </c>
    </row>
    <row r="164" spans="1:7">
      <c r="A164" s="2988" t="s">
        <v>29</v>
      </c>
      <c r="B164" s="2977" t="s">
        <v>3003</v>
      </c>
      <c r="C164" s="2994"/>
      <c r="D164" s="2994"/>
      <c r="E164" s="2994"/>
      <c r="F164" s="2978">
        <v>0.1</v>
      </c>
      <c r="G164" s="2990"/>
    </row>
    <row r="165" spans="1:7">
      <c r="A165" s="2988" t="s">
        <v>29</v>
      </c>
      <c r="B165" s="2977" t="s">
        <v>3174</v>
      </c>
      <c r="C165" s="2978">
        <v>0.126</v>
      </c>
      <c r="D165" s="2978">
        <v>0.126</v>
      </c>
      <c r="E165" s="2978">
        <v>0.11899999999999999</v>
      </c>
      <c r="F165" s="2978">
        <v>0.13</v>
      </c>
      <c r="G165" s="2979">
        <v>0.128</v>
      </c>
    </row>
    <row r="166" spans="1:7">
      <c r="A166" s="2988" t="s">
        <v>29</v>
      </c>
      <c r="B166" s="2977" t="s">
        <v>3013</v>
      </c>
      <c r="C166" s="2978">
        <v>0.129</v>
      </c>
      <c r="D166" s="2978">
        <v>0.129</v>
      </c>
      <c r="E166" s="2978">
        <v>0.123</v>
      </c>
      <c r="F166" s="2978">
        <v>0.128</v>
      </c>
      <c r="G166" s="2979">
        <v>0.13</v>
      </c>
    </row>
    <row r="167" spans="1:7">
      <c r="A167" s="2988" t="s">
        <v>29</v>
      </c>
      <c r="B167" s="2977" t="s">
        <v>3017</v>
      </c>
      <c r="C167" s="2978">
        <v>0.125</v>
      </c>
      <c r="D167" s="2978">
        <v>0.125</v>
      </c>
      <c r="E167" s="2978">
        <v>0.11700000000000001</v>
      </c>
      <c r="F167" s="2978">
        <v>0.13</v>
      </c>
      <c r="G167" s="2979">
        <v>0.126</v>
      </c>
    </row>
    <row r="168" spans="1:7">
      <c r="A168" s="2988" t="s">
        <v>29</v>
      </c>
      <c r="B168" s="2977" t="s">
        <v>3022</v>
      </c>
      <c r="C168" s="2978">
        <v>0.128</v>
      </c>
      <c r="D168" s="2978">
        <v>0.128</v>
      </c>
      <c r="E168" s="2978">
        <v>0.123</v>
      </c>
      <c r="F168" s="2989"/>
      <c r="G168" s="2979">
        <v>0.13</v>
      </c>
    </row>
    <row r="169" spans="1:7">
      <c r="A169" s="2988" t="s">
        <v>29</v>
      </c>
      <c r="B169" s="2977" t="s">
        <v>3175</v>
      </c>
      <c r="C169" s="2994"/>
      <c r="D169" s="2994"/>
      <c r="E169" s="2994"/>
      <c r="F169" s="2978">
        <v>0.05</v>
      </c>
      <c r="G169" s="2990"/>
    </row>
    <row r="170" spans="1:7">
      <c r="A170" s="2988" t="s">
        <v>29</v>
      </c>
      <c r="B170" s="2977" t="s">
        <v>3176</v>
      </c>
      <c r="C170" s="2994"/>
      <c r="D170" s="2994"/>
      <c r="E170" s="2994"/>
      <c r="F170" s="2978">
        <v>0.05</v>
      </c>
      <c r="G170" s="2990"/>
    </row>
    <row r="171" spans="1:7">
      <c r="A171" s="2988" t="s">
        <v>29</v>
      </c>
      <c r="B171" s="2977" t="s">
        <v>3177</v>
      </c>
      <c r="C171" s="2994"/>
      <c r="D171" s="2994"/>
      <c r="E171" s="2994"/>
      <c r="F171" s="2978">
        <v>0.05</v>
      </c>
      <c r="G171" s="2995"/>
    </row>
    <row r="172" spans="1:7">
      <c r="A172" s="2988" t="s">
        <v>29</v>
      </c>
      <c r="B172" s="2977" t="s">
        <v>3178</v>
      </c>
      <c r="C172" s="2994"/>
      <c r="D172" s="2994"/>
      <c r="E172" s="2994"/>
      <c r="F172" s="2978">
        <v>0.05</v>
      </c>
      <c r="G172" s="2995"/>
    </row>
    <row r="173" spans="1:7">
      <c r="A173" s="2988" t="s">
        <v>29</v>
      </c>
      <c r="B173" s="2977" t="s">
        <v>3179</v>
      </c>
      <c r="C173" s="2994"/>
      <c r="D173" s="2994"/>
      <c r="E173" s="2994"/>
      <c r="F173" s="2978">
        <v>0.05</v>
      </c>
      <c r="G173" s="2990"/>
    </row>
    <row r="174" spans="1:7">
      <c r="A174" s="2988" t="s">
        <v>29</v>
      </c>
      <c r="B174" s="2977" t="s">
        <v>3180</v>
      </c>
      <c r="C174" s="2994"/>
      <c r="D174" s="2994"/>
      <c r="E174" s="2994"/>
      <c r="F174" s="2978">
        <v>0.05</v>
      </c>
      <c r="G174" s="2990"/>
    </row>
    <row r="175" spans="1:7">
      <c r="A175" s="2988" t="s">
        <v>29</v>
      </c>
      <c r="B175" s="2977" t="s">
        <v>3181</v>
      </c>
      <c r="C175" s="2994"/>
      <c r="D175" s="2994"/>
      <c r="E175" s="2994"/>
      <c r="F175" s="2978">
        <v>0.05</v>
      </c>
      <c r="G175" s="2990"/>
    </row>
    <row r="176" spans="1:7">
      <c r="A176" s="2988" t="s">
        <v>29</v>
      </c>
      <c r="B176" s="2977" t="s">
        <v>3182</v>
      </c>
      <c r="C176" s="2994"/>
      <c r="D176" s="2994"/>
      <c r="E176" s="2994"/>
      <c r="F176" s="2978">
        <v>0.05</v>
      </c>
      <c r="G176" s="2990"/>
    </row>
    <row r="177" spans="1:7">
      <c r="A177" s="2988" t="s">
        <v>29</v>
      </c>
      <c r="B177" s="2977" t="s">
        <v>3183</v>
      </c>
      <c r="C177" s="2989"/>
      <c r="D177" s="2989"/>
      <c r="E177" s="2989"/>
      <c r="F177" s="2978">
        <v>0.05</v>
      </c>
      <c r="G177" s="2995"/>
    </row>
    <row r="178" spans="1:7">
      <c r="A178" s="2988" t="s">
        <v>29</v>
      </c>
      <c r="B178" s="2977" t="s">
        <v>3184</v>
      </c>
      <c r="C178" s="2989"/>
      <c r="D178" s="2989"/>
      <c r="E178" s="2989"/>
      <c r="F178" s="2978">
        <v>0.05</v>
      </c>
      <c r="G178" s="2995"/>
    </row>
    <row r="179" spans="1:7">
      <c r="A179" s="2988" t="s">
        <v>29</v>
      </c>
      <c r="B179" s="2977" t="s">
        <v>3185</v>
      </c>
      <c r="C179" s="2989"/>
      <c r="D179" s="2989"/>
      <c r="E179" s="2989"/>
      <c r="F179" s="2978">
        <v>0.05</v>
      </c>
      <c r="G179" s="2995"/>
    </row>
    <row r="180" spans="1:7">
      <c r="A180" s="2988" t="s">
        <v>29</v>
      </c>
      <c r="B180" s="2977" t="s">
        <v>3186</v>
      </c>
      <c r="C180" s="2989"/>
      <c r="D180" s="2989"/>
      <c r="E180" s="2989"/>
      <c r="F180" s="2978">
        <v>0.05</v>
      </c>
      <c r="G180" s="2995"/>
    </row>
    <row r="181" spans="1:7">
      <c r="A181" s="2988" t="s">
        <v>29</v>
      </c>
      <c r="B181" s="2977" t="s">
        <v>3187</v>
      </c>
      <c r="C181" s="2989"/>
      <c r="D181" s="2989"/>
      <c r="E181" s="2989"/>
      <c r="F181" s="2978">
        <v>0.05</v>
      </c>
      <c r="G181" s="2995"/>
    </row>
    <row r="182" spans="1:7">
      <c r="A182" s="2988" t="s">
        <v>29</v>
      </c>
      <c r="B182" s="2977" t="s">
        <v>3188</v>
      </c>
      <c r="C182" s="2989"/>
      <c r="D182" s="2989"/>
      <c r="E182" s="2989"/>
      <c r="F182" s="2978">
        <v>0.05</v>
      </c>
      <c r="G182" s="2995"/>
    </row>
    <row r="183" spans="1:7">
      <c r="A183" s="2988" t="s">
        <v>29</v>
      </c>
      <c r="B183" s="2977" t="s">
        <v>3189</v>
      </c>
      <c r="C183" s="2989"/>
      <c r="D183" s="2989"/>
      <c r="E183" s="2989"/>
      <c r="F183" s="2978">
        <v>0.05</v>
      </c>
      <c r="G183" s="2995"/>
    </row>
    <row r="184" spans="1:7">
      <c r="A184" s="2988" t="s">
        <v>29</v>
      </c>
      <c r="B184" s="2977" t="s">
        <v>3190</v>
      </c>
      <c r="C184" s="2989"/>
      <c r="D184" s="2989"/>
      <c r="E184" s="2989"/>
      <c r="F184" s="2978">
        <v>0.05</v>
      </c>
      <c r="G184" s="2995"/>
    </row>
    <row r="185" spans="1:7">
      <c r="A185" s="2988" t="s">
        <v>29</v>
      </c>
      <c r="B185" s="2977" t="s">
        <v>3191</v>
      </c>
      <c r="C185" s="2989"/>
      <c r="D185" s="2989"/>
      <c r="E185" s="2989"/>
      <c r="F185" s="2978">
        <v>0.05</v>
      </c>
      <c r="G185" s="2995"/>
    </row>
    <row r="186" spans="1:7">
      <c r="A186" s="2988" t="s">
        <v>29</v>
      </c>
      <c r="B186" s="2977" t="s">
        <v>3192</v>
      </c>
      <c r="C186" s="2989"/>
      <c r="D186" s="2989"/>
      <c r="E186" s="2989"/>
      <c r="F186" s="2978">
        <v>0.05</v>
      </c>
      <c r="G186" s="2995"/>
    </row>
    <row r="187" spans="1:7">
      <c r="A187" s="2988" t="s">
        <v>29</v>
      </c>
      <c r="B187" s="2977" t="s">
        <v>3193</v>
      </c>
      <c r="C187" s="2989"/>
      <c r="D187" s="2989"/>
      <c r="E187" s="2989"/>
      <c r="F187" s="2978">
        <v>0.05</v>
      </c>
      <c r="G187" s="2995"/>
    </row>
    <row r="188" spans="1:7">
      <c r="A188" s="2988" t="s">
        <v>29</v>
      </c>
      <c r="B188" s="2977" t="s">
        <v>3194</v>
      </c>
      <c r="C188" s="2989"/>
      <c r="D188" s="2989"/>
      <c r="E188" s="2989"/>
      <c r="F188" s="2978">
        <v>0.05</v>
      </c>
      <c r="G188" s="2995"/>
    </row>
    <row r="189" spans="1:7" ht="14.25" thickBot="1">
      <c r="A189" s="2991" t="s">
        <v>29</v>
      </c>
      <c r="B189" s="2981" t="s">
        <v>3195</v>
      </c>
      <c r="C189" s="2983"/>
      <c r="D189" s="2983"/>
      <c r="E189" s="2983"/>
      <c r="F189" s="2982">
        <v>0.05</v>
      </c>
      <c r="G189" s="2996"/>
    </row>
    <row r="190" spans="1:7">
      <c r="A190" s="2987" t="s">
        <v>304</v>
      </c>
      <c r="B190" s="2973" t="s">
        <v>2851</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2887</v>
      </c>
      <c r="C199" s="2978">
        <v>0.13</v>
      </c>
      <c r="D199" s="2978">
        <v>0.13</v>
      </c>
      <c r="E199" s="2978">
        <v>0.13</v>
      </c>
      <c r="F199" s="2978">
        <v>0.13</v>
      </c>
      <c r="G199" s="2979">
        <v>0.13</v>
      </c>
    </row>
    <row r="200" spans="1:7">
      <c r="A200" s="2988" t="s">
        <v>304</v>
      </c>
      <c r="B200" s="2977" t="s">
        <v>2890</v>
      </c>
      <c r="C200" s="2994"/>
      <c r="D200" s="2994"/>
      <c r="E200" s="2994"/>
      <c r="F200" s="2978">
        <v>0.13</v>
      </c>
      <c r="G200" s="2990"/>
    </row>
    <row r="201" spans="1:7">
      <c r="A201" s="2988" t="s">
        <v>304</v>
      </c>
      <c r="B201" s="2977" t="s">
        <v>2895</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2898</v>
      </c>
      <c r="C203" s="2978">
        <v>0.129</v>
      </c>
      <c r="D203" s="2978">
        <v>0.129</v>
      </c>
      <c r="E203" s="2978">
        <v>0.13</v>
      </c>
      <c r="F203" s="2978">
        <v>0.13</v>
      </c>
      <c r="G203" s="2979">
        <v>0.13</v>
      </c>
    </row>
    <row r="204" spans="1:7">
      <c r="A204" s="2988" t="s">
        <v>304</v>
      </c>
      <c r="B204" s="2977" t="s">
        <v>2901</v>
      </c>
      <c r="C204" s="2978">
        <v>0.129</v>
      </c>
      <c r="D204" s="2978">
        <v>0.129</v>
      </c>
      <c r="E204" s="2978">
        <v>0.123</v>
      </c>
      <c r="F204" s="2978">
        <v>0.13</v>
      </c>
      <c r="G204" s="2979">
        <v>0.13</v>
      </c>
    </row>
    <row r="205" spans="1:7">
      <c r="A205" s="2988" t="s">
        <v>304</v>
      </c>
      <c r="B205" s="2977" t="s">
        <v>2903</v>
      </c>
      <c r="C205" s="2978">
        <v>0.13</v>
      </c>
      <c r="D205" s="2978">
        <v>0.13</v>
      </c>
      <c r="E205" s="2978">
        <v>0.13</v>
      </c>
      <c r="F205" s="2978">
        <v>0.13</v>
      </c>
      <c r="G205" s="2979">
        <v>0.13</v>
      </c>
    </row>
    <row r="206" spans="1:7">
      <c r="A206" s="2988" t="s">
        <v>304</v>
      </c>
      <c r="B206" s="2977" t="s">
        <v>2906</v>
      </c>
      <c r="C206" s="2978">
        <v>0.13</v>
      </c>
      <c r="D206" s="2978">
        <v>0.13</v>
      </c>
      <c r="E206" s="2978">
        <v>0.13</v>
      </c>
      <c r="F206" s="2978">
        <v>0.128</v>
      </c>
      <c r="G206" s="2979">
        <v>0.13</v>
      </c>
    </row>
    <row r="207" spans="1:7">
      <c r="A207" s="2988" t="s">
        <v>304</v>
      </c>
      <c r="B207" s="2977" t="s">
        <v>2908</v>
      </c>
      <c r="C207" s="2978">
        <v>0.13</v>
      </c>
      <c r="D207" s="2978">
        <v>0.13</v>
      </c>
      <c r="E207" s="2978">
        <v>0.13</v>
      </c>
      <c r="F207" s="2978">
        <v>0.13</v>
      </c>
      <c r="G207" s="2979">
        <v>0.13</v>
      </c>
    </row>
    <row r="208" spans="1:7">
      <c r="A208" s="2988" t="s">
        <v>304</v>
      </c>
      <c r="B208" s="2977" t="s">
        <v>2911</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2918</v>
      </c>
      <c r="C210" s="2978">
        <v>0.121</v>
      </c>
      <c r="D210" s="2978">
        <v>0.121</v>
      </c>
      <c r="E210" s="2978">
        <v>0.125</v>
      </c>
      <c r="F210" s="2978">
        <v>0.13</v>
      </c>
      <c r="G210" s="2979">
        <v>0.123</v>
      </c>
    </row>
    <row r="211" spans="1:7">
      <c r="A211" s="2988" t="s">
        <v>304</v>
      </c>
      <c r="B211" s="2977" t="s">
        <v>2921</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2933</v>
      </c>
      <c r="C214" s="2978">
        <v>0.128</v>
      </c>
      <c r="D214" s="2978">
        <v>0.128</v>
      </c>
      <c r="E214" s="2978">
        <v>0.13</v>
      </c>
      <c r="F214" s="2978">
        <v>0.13</v>
      </c>
      <c r="G214" s="2979">
        <v>0.13</v>
      </c>
    </row>
    <row r="215" spans="1:7">
      <c r="A215" s="2988" t="s">
        <v>304</v>
      </c>
      <c r="B215" s="2977" t="s">
        <v>2937</v>
      </c>
      <c r="C215" s="2978">
        <v>0.13</v>
      </c>
      <c r="D215" s="2978">
        <v>0.13</v>
      </c>
      <c r="E215" s="2978">
        <v>0.13</v>
      </c>
      <c r="F215" s="2978">
        <v>0.129</v>
      </c>
      <c r="G215" s="2979">
        <v>0.13</v>
      </c>
    </row>
    <row r="216" spans="1:7">
      <c r="A216" s="2988" t="s">
        <v>304</v>
      </c>
      <c r="B216" s="2977" t="s">
        <v>2944</v>
      </c>
      <c r="C216" s="2978">
        <v>0.13</v>
      </c>
      <c r="D216" s="2978">
        <v>0.13</v>
      </c>
      <c r="E216" s="2978">
        <v>0.13</v>
      </c>
      <c r="F216" s="2978">
        <v>0.13</v>
      </c>
      <c r="G216" s="2979">
        <v>0.13</v>
      </c>
    </row>
    <row r="217" spans="1:7">
      <c r="A217" s="2988" t="s">
        <v>304</v>
      </c>
      <c r="B217" s="2977" t="s">
        <v>2951</v>
      </c>
      <c r="C217" s="2978">
        <v>0.129</v>
      </c>
      <c r="D217" s="2978">
        <v>0.129</v>
      </c>
      <c r="E217" s="2978">
        <v>0.13</v>
      </c>
      <c r="F217" s="2978">
        <v>0.13</v>
      </c>
      <c r="G217" s="2979">
        <v>0.13</v>
      </c>
    </row>
    <row r="218" spans="1:7">
      <c r="A218" s="2988" t="s">
        <v>304</v>
      </c>
      <c r="B218" s="2977" t="s">
        <v>2957</v>
      </c>
      <c r="C218" s="2989"/>
      <c r="D218" s="2989"/>
      <c r="E218" s="2989"/>
      <c r="F218" s="2978">
        <v>0.05</v>
      </c>
      <c r="G218" s="2995"/>
    </row>
    <row r="219" spans="1:7">
      <c r="A219" s="2988" t="s">
        <v>304</v>
      </c>
      <c r="B219" s="2977" t="s">
        <v>2964</v>
      </c>
      <c r="C219" s="2989"/>
      <c r="D219" s="2989"/>
      <c r="E219" s="2989"/>
      <c r="F219" s="2978">
        <v>0.05</v>
      </c>
      <c r="G219" s="2995"/>
    </row>
    <row r="220" spans="1:7">
      <c r="A220" s="2988" t="s">
        <v>304</v>
      </c>
      <c r="B220" s="2977" t="s">
        <v>2970</v>
      </c>
      <c r="C220" s="2989"/>
      <c r="D220" s="2989"/>
      <c r="E220" s="2989"/>
      <c r="F220" s="2978">
        <v>0.05</v>
      </c>
      <c r="G220" s="2995"/>
    </row>
    <row r="221" spans="1:7">
      <c r="A221" s="2988" t="s">
        <v>304</v>
      </c>
      <c r="B221" s="2977" t="s">
        <v>2975</v>
      </c>
      <c r="C221" s="2989"/>
      <c r="D221" s="2989"/>
      <c r="E221" s="2989"/>
      <c r="F221" s="2978">
        <v>0.05</v>
      </c>
      <c r="G221" s="2995"/>
    </row>
    <row r="222" spans="1:7">
      <c r="A222" s="2988" t="s">
        <v>304</v>
      </c>
      <c r="B222" s="2977" t="s">
        <v>2979</v>
      </c>
      <c r="C222" s="2989"/>
      <c r="D222" s="2989"/>
      <c r="E222" s="2989"/>
      <c r="F222" s="2978">
        <v>0.05</v>
      </c>
      <c r="G222" s="2995"/>
    </row>
    <row r="223" spans="1:7">
      <c r="A223" s="2988" t="s">
        <v>304</v>
      </c>
      <c r="B223" s="2977" t="s">
        <v>2984</v>
      </c>
      <c r="C223" s="2989"/>
      <c r="D223" s="2989"/>
      <c r="E223" s="2989"/>
      <c r="F223" s="2978">
        <v>0.05</v>
      </c>
      <c r="G223" s="2995"/>
    </row>
    <row r="224" spans="1:7">
      <c r="A224" s="2988" t="s">
        <v>304</v>
      </c>
      <c r="B224" s="2977" t="s">
        <v>2989</v>
      </c>
      <c r="C224" s="2989"/>
      <c r="D224" s="2989"/>
      <c r="E224" s="2989"/>
      <c r="F224" s="2978">
        <v>0.05</v>
      </c>
      <c r="G224" s="2995"/>
    </row>
    <row r="225" spans="1:7">
      <c r="A225" s="2988" t="s">
        <v>304</v>
      </c>
      <c r="B225" s="2977" t="s">
        <v>2994</v>
      </c>
      <c r="C225" s="2989"/>
      <c r="D225" s="2989"/>
      <c r="E225" s="2989"/>
      <c r="F225" s="2978">
        <v>0.05</v>
      </c>
      <c r="G225" s="2995"/>
    </row>
    <row r="226" spans="1:7">
      <c r="A226" s="2988" t="s">
        <v>304</v>
      </c>
      <c r="B226" s="2977" t="s">
        <v>3196</v>
      </c>
      <c r="C226" s="2989"/>
      <c r="D226" s="2989"/>
      <c r="E226" s="2989"/>
      <c r="F226" s="2978">
        <v>0.05</v>
      </c>
      <c r="G226" s="2995"/>
    </row>
    <row r="227" spans="1:7">
      <c r="A227" s="2988" t="s">
        <v>304</v>
      </c>
      <c r="B227" s="2977" t="s">
        <v>3197</v>
      </c>
      <c r="C227" s="2989"/>
      <c r="D227" s="2989"/>
      <c r="E227" s="2989"/>
      <c r="F227" s="2978">
        <v>0.05</v>
      </c>
      <c r="G227" s="2995"/>
    </row>
    <row r="228" spans="1:7">
      <c r="A228" s="2988" t="s">
        <v>304</v>
      </c>
      <c r="B228" s="2977" t="s">
        <v>3198</v>
      </c>
      <c r="C228" s="2989"/>
      <c r="D228" s="2989"/>
      <c r="E228" s="2989"/>
      <c r="F228" s="2978">
        <v>0.05</v>
      </c>
      <c r="G228" s="2995"/>
    </row>
    <row r="229" spans="1:7">
      <c r="A229" s="2988" t="s">
        <v>304</v>
      </c>
      <c r="B229" s="2977" t="s">
        <v>3199</v>
      </c>
      <c r="C229" s="2989"/>
      <c r="D229" s="2989"/>
      <c r="E229" s="2989"/>
      <c r="F229" s="2978">
        <v>0.05</v>
      </c>
      <c r="G229" s="2995"/>
    </row>
    <row r="230" spans="1:7">
      <c r="A230" s="2988" t="s">
        <v>304</v>
      </c>
      <c r="B230" s="2977" t="s">
        <v>3200</v>
      </c>
      <c r="C230" s="2989"/>
      <c r="D230" s="2989"/>
      <c r="E230" s="2989"/>
      <c r="F230" s="2978">
        <v>0.05</v>
      </c>
      <c r="G230" s="2995"/>
    </row>
    <row r="231" spans="1:7">
      <c r="A231" s="2988" t="s">
        <v>304</v>
      </c>
      <c r="B231" s="2977" t="s">
        <v>3201</v>
      </c>
      <c r="C231" s="2989"/>
      <c r="D231" s="2989"/>
      <c r="E231" s="2989"/>
      <c r="F231" s="2978">
        <v>0.05</v>
      </c>
      <c r="G231" s="2995"/>
    </row>
    <row r="232" spans="1:7">
      <c r="A232" s="2988" t="s">
        <v>304</v>
      </c>
      <c r="B232" s="2977" t="s">
        <v>3202</v>
      </c>
      <c r="C232" s="2989"/>
      <c r="D232" s="2989"/>
      <c r="E232" s="2989"/>
      <c r="F232" s="2978">
        <v>0.05</v>
      </c>
      <c r="G232" s="2995"/>
    </row>
    <row r="233" spans="1:7" ht="14.25" thickBot="1">
      <c r="A233" s="2991" t="s">
        <v>304</v>
      </c>
      <c r="B233" s="2981" t="s">
        <v>3203</v>
      </c>
      <c r="C233" s="2983"/>
      <c r="D233" s="2983"/>
      <c r="E233" s="2983"/>
      <c r="F233" s="2982">
        <v>0.05</v>
      </c>
      <c r="G233" s="2996"/>
    </row>
    <row r="234" spans="1:7">
      <c r="A234" s="2987" t="s">
        <v>305</v>
      </c>
      <c r="B234" s="2973" t="s">
        <v>2852</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2872</v>
      </c>
      <c r="C238" s="2978">
        <v>0.14899999999999999</v>
      </c>
      <c r="D238" s="2978">
        <v>0.14899999999999999</v>
      </c>
      <c r="E238" s="2978">
        <v>0.15</v>
      </c>
      <c r="F238" s="2978">
        <v>0.15</v>
      </c>
      <c r="G238" s="2979">
        <v>0.15</v>
      </c>
    </row>
    <row r="239" spans="1:7">
      <c r="A239" s="2988" t="s">
        <v>305</v>
      </c>
      <c r="B239" s="2977" t="s">
        <v>2876</v>
      </c>
      <c r="C239" s="2978">
        <v>0.15</v>
      </c>
      <c r="D239" s="2978">
        <v>0.15</v>
      </c>
      <c r="E239" s="2978">
        <v>0.15</v>
      </c>
      <c r="F239" s="2978">
        <v>0.15</v>
      </c>
      <c r="G239" s="2979">
        <v>0.15</v>
      </c>
    </row>
    <row r="240" spans="1:7">
      <c r="A240" s="2988" t="s">
        <v>305</v>
      </c>
      <c r="B240" s="2977" t="s">
        <v>2881</v>
      </c>
      <c r="C240" s="2978">
        <v>0.15</v>
      </c>
      <c r="D240" s="2978">
        <v>0.15</v>
      </c>
      <c r="E240" s="2978">
        <v>0.15</v>
      </c>
      <c r="F240" s="2978">
        <v>0.15</v>
      </c>
      <c r="G240" s="2979">
        <v>0.15</v>
      </c>
    </row>
    <row r="241" spans="1:7">
      <c r="A241" s="2988" t="s">
        <v>305</v>
      </c>
      <c r="B241" s="2977" t="s">
        <v>2885</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2891</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2899</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2904</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2912</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2925</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2934</v>
      </c>
      <c r="C258" s="2978">
        <v>0.14299999999999999</v>
      </c>
      <c r="D258" s="2978">
        <v>0.14299999999999999</v>
      </c>
      <c r="E258" s="2978">
        <v>0.15</v>
      </c>
      <c r="F258" s="2978">
        <v>0.14799999999999999</v>
      </c>
      <c r="G258" s="2979">
        <v>0.14599999999999999</v>
      </c>
    </row>
    <row r="259" spans="1:7">
      <c r="A259" s="2988" t="s">
        <v>305</v>
      </c>
      <c r="B259" s="2977" t="s">
        <v>2938</v>
      </c>
      <c r="C259" s="2978">
        <v>0.14399999999999999</v>
      </c>
      <c r="D259" s="2978">
        <v>0.14399999999999999</v>
      </c>
      <c r="E259" s="2978">
        <v>0.14899999999999999</v>
      </c>
      <c r="F259" s="2978">
        <v>0.14699999999999999</v>
      </c>
      <c r="G259" s="2979">
        <v>0.14599999999999999</v>
      </c>
    </row>
    <row r="260" spans="1:7">
      <c r="A260" s="2988" t="s">
        <v>305</v>
      </c>
      <c r="B260" s="2977" t="s">
        <v>2945</v>
      </c>
      <c r="C260" s="2978">
        <v>0.109</v>
      </c>
      <c r="D260" s="2978">
        <v>0.111</v>
      </c>
      <c r="E260" s="2978">
        <v>0.13100000000000001</v>
      </c>
      <c r="F260" s="2978">
        <v>0.126</v>
      </c>
      <c r="G260" s="2979">
        <v>0.11899999999999999</v>
      </c>
    </row>
    <row r="261" spans="1:7">
      <c r="A261" s="2988" t="s">
        <v>305</v>
      </c>
      <c r="B261" s="2977" t="s">
        <v>2952</v>
      </c>
      <c r="C261" s="2978">
        <v>0.1</v>
      </c>
      <c r="D261" s="2978">
        <v>0.1</v>
      </c>
      <c r="E261" s="2978">
        <v>0.11799999999999999</v>
      </c>
      <c r="F261" s="2978">
        <v>0.108</v>
      </c>
      <c r="G261" s="2979">
        <v>0.107</v>
      </c>
    </row>
    <row r="262" spans="1:7">
      <c r="A262" s="2988" t="s">
        <v>305</v>
      </c>
      <c r="B262" s="2977" t="s">
        <v>2958</v>
      </c>
      <c r="C262" s="2978">
        <v>0.1</v>
      </c>
      <c r="D262" s="2978">
        <v>0.1</v>
      </c>
      <c r="E262" s="2978">
        <v>0.1</v>
      </c>
      <c r="F262" s="2978">
        <v>0.14099999999999999</v>
      </c>
      <c r="G262" s="2979">
        <v>0.1</v>
      </c>
    </row>
    <row r="263" spans="1:7">
      <c r="A263" s="2988" t="s">
        <v>305</v>
      </c>
      <c r="B263" s="2977" t="s">
        <v>2965</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2976</v>
      </c>
      <c r="C265" s="2989"/>
      <c r="D265" s="2989"/>
      <c r="E265" s="2989"/>
      <c r="F265" s="2978">
        <v>0.05</v>
      </c>
      <c r="G265" s="2995"/>
    </row>
    <row r="266" spans="1:7">
      <c r="A266" s="2988" t="s">
        <v>305</v>
      </c>
      <c r="B266" s="2977" t="s">
        <v>2980</v>
      </c>
      <c r="C266" s="2989"/>
      <c r="D266" s="2989"/>
      <c r="E266" s="2989"/>
      <c r="F266" s="2978">
        <v>0.05</v>
      </c>
      <c r="G266" s="2995"/>
    </row>
    <row r="267" spans="1:7">
      <c r="A267" s="2988" t="s">
        <v>305</v>
      </c>
      <c r="B267" s="2977" t="s">
        <v>2985</v>
      </c>
      <c r="C267" s="2989"/>
      <c r="D267" s="2989"/>
      <c r="E267" s="2989"/>
      <c r="F267" s="2978">
        <v>0.05</v>
      </c>
      <c r="G267" s="2995"/>
    </row>
    <row r="268" spans="1:7">
      <c r="A268" s="2988" t="s">
        <v>305</v>
      </c>
      <c r="B268" s="2977" t="s">
        <v>2990</v>
      </c>
      <c r="C268" s="2989"/>
      <c r="D268" s="2989"/>
      <c r="E268" s="2989"/>
      <c r="F268" s="2978">
        <v>0.05</v>
      </c>
      <c r="G268" s="2995"/>
    </row>
    <row r="269" spans="1:7">
      <c r="A269" s="2988" t="s">
        <v>305</v>
      </c>
      <c r="B269" s="2977" t="s">
        <v>2995</v>
      </c>
      <c r="C269" s="2989"/>
      <c r="D269" s="2989"/>
      <c r="E269" s="2989"/>
      <c r="F269" s="2978">
        <v>0.05</v>
      </c>
      <c r="G269" s="2995"/>
    </row>
    <row r="270" spans="1:7">
      <c r="A270" s="2988" t="s">
        <v>305</v>
      </c>
      <c r="B270" s="2977" t="s">
        <v>3000</v>
      </c>
      <c r="C270" s="2989"/>
      <c r="D270" s="2989"/>
      <c r="E270" s="2989"/>
      <c r="F270" s="2978">
        <v>0.05</v>
      </c>
      <c r="G270" s="2995"/>
    </row>
    <row r="271" spans="1:7">
      <c r="A271" s="2988" t="s">
        <v>305</v>
      </c>
      <c r="B271" s="2977" t="s">
        <v>3204</v>
      </c>
      <c r="C271" s="2989"/>
      <c r="D271" s="2989"/>
      <c r="E271" s="2989"/>
      <c r="F271" s="2978">
        <v>0.05</v>
      </c>
      <c r="G271" s="2995"/>
    </row>
    <row r="272" spans="1:7">
      <c r="A272" s="2988" t="s">
        <v>305</v>
      </c>
      <c r="B272" s="2977" t="s">
        <v>3205</v>
      </c>
      <c r="C272" s="2989"/>
      <c r="D272" s="2989"/>
      <c r="E272" s="2989"/>
      <c r="F272" s="2978">
        <v>0.05</v>
      </c>
      <c r="G272" s="2995"/>
    </row>
    <row r="273" spans="1:7">
      <c r="A273" s="2988" t="s">
        <v>305</v>
      </c>
      <c r="B273" s="2977" t="s">
        <v>3206</v>
      </c>
      <c r="C273" s="2989"/>
      <c r="D273" s="2989"/>
      <c r="E273" s="2989"/>
      <c r="F273" s="2978">
        <v>0.05</v>
      </c>
      <c r="G273" s="2995"/>
    </row>
    <row r="274" spans="1:7">
      <c r="A274" s="2988" t="s">
        <v>305</v>
      </c>
      <c r="B274" s="2977" t="s">
        <v>3207</v>
      </c>
      <c r="C274" s="2989"/>
      <c r="D274" s="2989"/>
      <c r="E274" s="2989"/>
      <c r="F274" s="2978">
        <v>0.05</v>
      </c>
      <c r="G274" s="2995"/>
    </row>
    <row r="275" spans="1:7">
      <c r="A275" s="2988" t="s">
        <v>305</v>
      </c>
      <c r="B275" s="2977" t="s">
        <v>3208</v>
      </c>
      <c r="C275" s="2989"/>
      <c r="D275" s="2989"/>
      <c r="E275" s="2989"/>
      <c r="F275" s="2978">
        <v>0.05</v>
      </c>
      <c r="G275" s="2995"/>
    </row>
    <row r="276" spans="1:7" ht="14.25" thickBot="1">
      <c r="A276" s="2991" t="s">
        <v>305</v>
      </c>
      <c r="B276" s="2981" t="s">
        <v>3209</v>
      </c>
      <c r="C276" s="2983"/>
      <c r="D276" s="2983"/>
      <c r="E276" s="2983"/>
      <c r="F276" s="2982">
        <v>0.05</v>
      </c>
      <c r="G276" s="2996"/>
    </row>
    <row r="277" spans="1:7">
      <c r="A277" s="2987" t="s">
        <v>306</v>
      </c>
      <c r="B277" s="2973" t="s">
        <v>2853</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2865</v>
      </c>
      <c r="C279" s="2978">
        <v>0.15</v>
      </c>
      <c r="D279" s="2978">
        <v>0.15</v>
      </c>
      <c r="E279" s="2978">
        <v>0.15</v>
      </c>
      <c r="F279" s="2978">
        <v>0.15</v>
      </c>
      <c r="G279" s="2979">
        <v>0.15</v>
      </c>
    </row>
    <row r="280" spans="1:7">
      <c r="A280" s="2988" t="s">
        <v>306</v>
      </c>
      <c r="B280" s="2977" t="s">
        <v>2869</v>
      </c>
      <c r="C280" s="2978">
        <v>0.15</v>
      </c>
      <c r="D280" s="2978">
        <v>0.15</v>
      </c>
      <c r="E280" s="2978">
        <v>0.15</v>
      </c>
      <c r="F280" s="2978">
        <v>0.15</v>
      </c>
      <c r="G280" s="2979">
        <v>0.15</v>
      </c>
    </row>
    <row r="281" spans="1:7">
      <c r="A281" s="2988" t="s">
        <v>306</v>
      </c>
      <c r="B281" s="2977" t="s">
        <v>2873</v>
      </c>
      <c r="C281" s="2978">
        <v>0.15</v>
      </c>
      <c r="D281" s="2978">
        <v>0.15</v>
      </c>
      <c r="E281" s="2978">
        <v>0.15</v>
      </c>
      <c r="F281" s="2978">
        <v>0.15</v>
      </c>
      <c r="G281" s="2979">
        <v>0.15</v>
      </c>
    </row>
    <row r="282" spans="1:7">
      <c r="A282" s="2988" t="s">
        <v>306</v>
      </c>
      <c r="B282" s="2977" t="s">
        <v>2877</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2892</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2897</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2907</v>
      </c>
      <c r="C293" s="2978">
        <v>0.15</v>
      </c>
      <c r="D293" s="2978">
        <v>0.15</v>
      </c>
      <c r="E293" s="2978">
        <v>0.15</v>
      </c>
      <c r="F293" s="2978">
        <v>0.14499999999999999</v>
      </c>
      <c r="G293" s="2979">
        <v>0.15</v>
      </c>
    </row>
    <row r="294" spans="1:7">
      <c r="A294" s="2988" t="s">
        <v>306</v>
      </c>
      <c r="B294" s="2977" t="s">
        <v>2909</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2926</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2939</v>
      </c>
      <c r="C302" s="2978">
        <v>0.15</v>
      </c>
      <c r="D302" s="2978">
        <v>0.15</v>
      </c>
      <c r="E302" s="2978">
        <v>0.15</v>
      </c>
      <c r="F302" s="2978">
        <v>0.14699999999999999</v>
      </c>
      <c r="G302" s="2979">
        <v>0.15</v>
      </c>
    </row>
    <row r="303" spans="1:7">
      <c r="A303" s="2988" t="s">
        <v>306</v>
      </c>
      <c r="B303" s="2977" t="s">
        <v>2946</v>
      </c>
      <c r="C303" s="2978">
        <v>0.15</v>
      </c>
      <c r="D303" s="2978">
        <v>0.15</v>
      </c>
      <c r="E303" s="2978">
        <v>0.15</v>
      </c>
      <c r="F303" s="2978">
        <v>0.14199999999999999</v>
      </c>
      <c r="G303" s="2979">
        <v>0.15</v>
      </c>
    </row>
    <row r="304" spans="1:7">
      <c r="A304" s="2988" t="s">
        <v>306</v>
      </c>
      <c r="B304" s="2977" t="s">
        <v>2953</v>
      </c>
      <c r="C304" s="2978">
        <v>0.15</v>
      </c>
      <c r="D304" s="2978">
        <v>0.15</v>
      </c>
      <c r="E304" s="2978">
        <v>0.15</v>
      </c>
      <c r="F304" s="2978">
        <v>0.14499999999999999</v>
      </c>
      <c r="G304" s="2979">
        <v>0.15</v>
      </c>
    </row>
    <row r="305" spans="1:7">
      <c r="A305" s="2988" t="s">
        <v>306</v>
      </c>
      <c r="B305" s="2977" t="s">
        <v>2959</v>
      </c>
      <c r="C305" s="2978">
        <v>0.15</v>
      </c>
      <c r="D305" s="2978">
        <v>0.15</v>
      </c>
      <c r="E305" s="2978">
        <v>0.15</v>
      </c>
      <c r="F305" s="2978">
        <v>0.111</v>
      </c>
      <c r="G305" s="2979">
        <v>0.15</v>
      </c>
    </row>
    <row r="306" spans="1:7">
      <c r="A306" s="2988" t="s">
        <v>306</v>
      </c>
      <c r="B306" s="2977" t="s">
        <v>2966</v>
      </c>
      <c r="C306" s="2978">
        <v>0.15</v>
      </c>
      <c r="D306" s="2978">
        <v>0.15</v>
      </c>
      <c r="E306" s="2978">
        <v>0.15</v>
      </c>
      <c r="F306" s="2978">
        <v>0.126</v>
      </c>
      <c r="G306" s="2979">
        <v>0.15</v>
      </c>
    </row>
    <row r="307" spans="1:7">
      <c r="A307" s="2988" t="s">
        <v>306</v>
      </c>
      <c r="B307" s="2977" t="s">
        <v>2971</v>
      </c>
      <c r="C307" s="2978">
        <v>0.15</v>
      </c>
      <c r="D307" s="2978">
        <v>0.15</v>
      </c>
      <c r="E307" s="2978">
        <v>0.15</v>
      </c>
      <c r="F307" s="2978">
        <v>0.12</v>
      </c>
      <c r="G307" s="2979">
        <v>0.15</v>
      </c>
    </row>
    <row r="308" spans="1:7">
      <c r="A308" s="2988" t="s">
        <v>306</v>
      </c>
      <c r="B308" s="2977" t="s">
        <v>2977</v>
      </c>
      <c r="C308" s="2978">
        <v>0.15</v>
      </c>
      <c r="D308" s="2978">
        <v>0.15</v>
      </c>
      <c r="E308" s="2978">
        <v>0.15</v>
      </c>
      <c r="F308" s="2978">
        <v>0.13</v>
      </c>
      <c r="G308" s="2979">
        <v>0.15</v>
      </c>
    </row>
    <row r="309" spans="1:7">
      <c r="A309" s="2988" t="s">
        <v>306</v>
      </c>
      <c r="B309" s="2977" t="s">
        <v>2981</v>
      </c>
      <c r="C309" s="2978">
        <v>0.15</v>
      </c>
      <c r="D309" s="2978">
        <v>0.15</v>
      </c>
      <c r="E309" s="2978">
        <v>0.15</v>
      </c>
      <c r="F309" s="2978">
        <v>0.14099999999999999</v>
      </c>
      <c r="G309" s="2979">
        <v>0.15</v>
      </c>
    </row>
    <row r="310" spans="1:7">
      <c r="A310" s="2988" t="s">
        <v>306</v>
      </c>
      <c r="B310" s="2977" t="s">
        <v>2986</v>
      </c>
      <c r="C310" s="2978">
        <v>0.15</v>
      </c>
      <c r="D310" s="2978">
        <v>0.15</v>
      </c>
      <c r="E310" s="2978">
        <v>0.15</v>
      </c>
      <c r="F310" s="2978">
        <v>0.15</v>
      </c>
      <c r="G310" s="2979">
        <v>0.15</v>
      </c>
    </row>
    <row r="311" spans="1:7">
      <c r="A311" s="2988" t="s">
        <v>306</v>
      </c>
      <c r="B311" s="2977" t="s">
        <v>2991</v>
      </c>
      <c r="C311" s="2978">
        <v>0.13200000000000001</v>
      </c>
      <c r="D311" s="2978">
        <v>0.13300000000000001</v>
      </c>
      <c r="E311" s="2978">
        <v>0.14499999999999999</v>
      </c>
      <c r="F311" s="2978">
        <v>0.14199999999999999</v>
      </c>
      <c r="G311" s="2979">
        <v>0.14000000000000001</v>
      </c>
    </row>
    <row r="312" spans="1:7">
      <c r="A312" s="2988" t="s">
        <v>306</v>
      </c>
      <c r="B312" s="2977" t="s">
        <v>2996</v>
      </c>
      <c r="C312" s="2978">
        <v>0.13800000000000001</v>
      </c>
      <c r="D312" s="2978">
        <v>0.14000000000000001</v>
      </c>
      <c r="E312" s="2978">
        <v>0.14599999999999999</v>
      </c>
      <c r="F312" s="2978">
        <v>0.14899999999999999</v>
      </c>
      <c r="G312" s="2979">
        <v>0.14199999999999999</v>
      </c>
    </row>
    <row r="313" spans="1:7">
      <c r="A313" s="2988" t="s">
        <v>306</v>
      </c>
      <c r="B313" s="2977" t="s">
        <v>3001</v>
      </c>
      <c r="C313" s="2978">
        <v>0.125</v>
      </c>
      <c r="D313" s="2978">
        <v>0.127</v>
      </c>
      <c r="E313" s="2978">
        <v>0.14399999999999999</v>
      </c>
      <c r="F313" s="2978">
        <v>0.115</v>
      </c>
      <c r="G313" s="2979">
        <v>0.13600000000000001</v>
      </c>
    </row>
    <row r="314" spans="1:7">
      <c r="A314" s="2988" t="s">
        <v>306</v>
      </c>
      <c r="B314" s="2977" t="s">
        <v>3210</v>
      </c>
      <c r="C314" s="2994"/>
      <c r="D314" s="2994"/>
      <c r="E314" s="2994"/>
      <c r="F314" s="2978">
        <v>0.05</v>
      </c>
      <c r="G314" s="2995"/>
    </row>
    <row r="315" spans="1:7">
      <c r="A315" s="2988" t="s">
        <v>306</v>
      </c>
      <c r="B315" s="2977" t="s">
        <v>3211</v>
      </c>
      <c r="C315" s="2994"/>
      <c r="D315" s="2994"/>
      <c r="E315" s="2994"/>
      <c r="F315" s="2978">
        <v>0.05</v>
      </c>
      <c r="G315" s="2995"/>
    </row>
    <row r="316" spans="1:7">
      <c r="A316" s="2988" t="s">
        <v>306</v>
      </c>
      <c r="B316" s="2977" t="s">
        <v>3212</v>
      </c>
      <c r="C316" s="2989"/>
      <c r="D316" s="2989"/>
      <c r="E316" s="2989"/>
      <c r="F316" s="2978">
        <v>0.05</v>
      </c>
      <c r="G316" s="2995"/>
    </row>
    <row r="317" spans="1:7">
      <c r="A317" s="2988" t="s">
        <v>306</v>
      </c>
      <c r="B317" s="2977" t="s">
        <v>3213</v>
      </c>
      <c r="C317" s="2989"/>
      <c r="D317" s="2989"/>
      <c r="E317" s="2989"/>
      <c r="F317" s="2978">
        <v>0.05</v>
      </c>
      <c r="G317" s="2995"/>
    </row>
    <row r="318" spans="1:7">
      <c r="A318" s="2988" t="s">
        <v>306</v>
      </c>
      <c r="B318" s="2977" t="s">
        <v>3214</v>
      </c>
      <c r="C318" s="2989"/>
      <c r="D318" s="2989"/>
      <c r="E318" s="2989"/>
      <c r="F318" s="2978">
        <v>0.05</v>
      </c>
      <c r="G318" s="2995"/>
    </row>
    <row r="319" spans="1:7">
      <c r="A319" s="2988" t="s">
        <v>306</v>
      </c>
      <c r="B319" s="2977" t="s">
        <v>3215</v>
      </c>
      <c r="C319" s="2989"/>
      <c r="D319" s="2989"/>
      <c r="E319" s="2989"/>
      <c r="F319" s="2978">
        <v>0.05</v>
      </c>
      <c r="G319" s="2995"/>
    </row>
    <row r="320" spans="1:7">
      <c r="A320" s="2988" t="s">
        <v>306</v>
      </c>
      <c r="B320" s="2977" t="s">
        <v>3216</v>
      </c>
      <c r="C320" s="2989"/>
      <c r="D320" s="2989"/>
      <c r="E320" s="2989"/>
      <c r="F320" s="2978">
        <v>0.05</v>
      </c>
      <c r="G320" s="2995"/>
    </row>
    <row r="321" spans="1:7">
      <c r="A321" s="2988" t="s">
        <v>306</v>
      </c>
      <c r="B321" s="2977" t="s">
        <v>3217</v>
      </c>
      <c r="C321" s="2989"/>
      <c r="D321" s="2989"/>
      <c r="E321" s="2989"/>
      <c r="F321" s="2978">
        <v>0.05</v>
      </c>
      <c r="G321" s="2995"/>
    </row>
    <row r="322" spans="1:7">
      <c r="A322" s="2988" t="s">
        <v>306</v>
      </c>
      <c r="B322" s="2977" t="s">
        <v>3218</v>
      </c>
      <c r="C322" s="2989"/>
      <c r="D322" s="2989"/>
      <c r="E322" s="2989"/>
      <c r="F322" s="2978">
        <v>0.05</v>
      </c>
      <c r="G322" s="2995"/>
    </row>
    <row r="323" spans="1:7">
      <c r="A323" s="2988" t="s">
        <v>306</v>
      </c>
      <c r="B323" s="2977" t="s">
        <v>3219</v>
      </c>
      <c r="C323" s="2989"/>
      <c r="D323" s="2989"/>
      <c r="E323" s="2989"/>
      <c r="F323" s="2978">
        <v>0.05</v>
      </c>
      <c r="G323" s="2995"/>
    </row>
    <row r="324" spans="1:7">
      <c r="A324" s="2988" t="s">
        <v>306</v>
      </c>
      <c r="B324" s="2977" t="s">
        <v>3220</v>
      </c>
      <c r="C324" s="2989"/>
      <c r="D324" s="2989"/>
      <c r="E324" s="2989"/>
      <c r="F324" s="2978">
        <v>0.05</v>
      </c>
      <c r="G324" s="2995"/>
    </row>
    <row r="325" spans="1:7">
      <c r="A325" s="2988" t="s">
        <v>306</v>
      </c>
      <c r="B325" s="2977" t="s">
        <v>3221</v>
      </c>
      <c r="C325" s="2989"/>
      <c r="D325" s="2989"/>
      <c r="E325" s="2989"/>
      <c r="F325" s="2978">
        <v>0.05</v>
      </c>
      <c r="G325" s="2995"/>
    </row>
    <row r="326" spans="1:7" ht="14.25" thickBot="1">
      <c r="A326" s="2991" t="s">
        <v>306</v>
      </c>
      <c r="B326" s="2981" t="s">
        <v>3222</v>
      </c>
      <c r="C326" s="2983"/>
      <c r="D326" s="2983"/>
      <c r="E326" s="2983"/>
      <c r="F326" s="2982">
        <v>0.05</v>
      </c>
      <c r="G326" s="2996"/>
    </row>
    <row r="327" spans="1:7">
      <c r="A327" s="2987" t="s">
        <v>307</v>
      </c>
      <c r="B327" s="2973" t="s">
        <v>2854</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2866</v>
      </c>
      <c r="C329" s="2978">
        <v>0.15</v>
      </c>
      <c r="D329" s="2978">
        <v>0.15</v>
      </c>
      <c r="E329" s="2978">
        <v>0.15</v>
      </c>
      <c r="F329" s="2978">
        <v>0.15</v>
      </c>
      <c r="G329" s="2979">
        <v>0.15</v>
      </c>
    </row>
    <row r="330" spans="1:7">
      <c r="A330" s="2988" t="s">
        <v>307</v>
      </c>
      <c r="B330" s="2977" t="s">
        <v>2870</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2878</v>
      </c>
      <c r="C332" s="2978">
        <v>0.15</v>
      </c>
      <c r="D332" s="2978">
        <v>0.15</v>
      </c>
      <c r="E332" s="2978">
        <v>0.15</v>
      </c>
      <c r="F332" s="2978">
        <v>0.15</v>
      </c>
      <c r="G332" s="2979">
        <v>0.15</v>
      </c>
    </row>
    <row r="333" spans="1:7">
      <c r="A333" s="2988" t="s">
        <v>307</v>
      </c>
      <c r="B333" s="2977" t="s">
        <v>2882</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2888</v>
      </c>
      <c r="C336" s="2978">
        <v>0.15</v>
      </c>
      <c r="D336" s="2978">
        <v>0.15</v>
      </c>
      <c r="E336" s="2978">
        <v>0.15</v>
      </c>
      <c r="F336" s="2978">
        <v>0.14199999999999999</v>
      </c>
      <c r="G336" s="2979">
        <v>0.15</v>
      </c>
    </row>
    <row r="337" spans="1:7">
      <c r="A337" s="2988" t="s">
        <v>307</v>
      </c>
      <c r="B337" s="2977" t="s">
        <v>2893</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2900</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2905</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2913</v>
      </c>
      <c r="C345" s="2978">
        <v>0.15</v>
      </c>
      <c r="D345" s="2978">
        <v>0.15</v>
      </c>
      <c r="E345" s="2978">
        <v>0.15</v>
      </c>
      <c r="F345" s="2978">
        <v>0.13800000000000001</v>
      </c>
      <c r="G345" s="2979">
        <v>0.15</v>
      </c>
    </row>
    <row r="346" spans="1:7">
      <c r="A346" s="2988" t="s">
        <v>307</v>
      </c>
      <c r="B346" s="2977" t="s">
        <v>2915</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2922</v>
      </c>
      <c r="C348" s="2978">
        <v>0.15</v>
      </c>
      <c r="D348" s="2978">
        <v>0.15</v>
      </c>
      <c r="E348" s="2978">
        <v>0.15</v>
      </c>
      <c r="F348" s="2978">
        <v>0.14399999999999999</v>
      </c>
      <c r="G348" s="2979">
        <v>0.15</v>
      </c>
    </row>
    <row r="349" spans="1:7">
      <c r="A349" s="2988" t="s">
        <v>307</v>
      </c>
      <c r="B349" s="2977" t="s">
        <v>2927</v>
      </c>
      <c r="C349" s="2978">
        <v>0.15</v>
      </c>
      <c r="D349" s="2978">
        <v>0.15</v>
      </c>
      <c r="E349" s="2978">
        <v>0.15</v>
      </c>
      <c r="F349" s="2978">
        <v>0.15</v>
      </c>
      <c r="G349" s="2979">
        <v>0.15</v>
      </c>
    </row>
    <row r="350" spans="1:7">
      <c r="A350" s="2988" t="s">
        <v>307</v>
      </c>
      <c r="B350" s="2977" t="s">
        <v>2930</v>
      </c>
      <c r="C350" s="2978">
        <v>0.15</v>
      </c>
      <c r="D350" s="2978">
        <v>0.15</v>
      </c>
      <c r="E350" s="2978">
        <v>0.15</v>
      </c>
      <c r="F350" s="2978">
        <v>0.14699999999999999</v>
      </c>
      <c r="G350" s="2979">
        <v>0.15</v>
      </c>
    </row>
    <row r="351" spans="1:7">
      <c r="A351" s="2988" t="s">
        <v>307</v>
      </c>
      <c r="B351" s="2977" t="s">
        <v>2935</v>
      </c>
      <c r="C351" s="2978">
        <v>0.15</v>
      </c>
      <c r="D351" s="2978">
        <v>0.15</v>
      </c>
      <c r="E351" s="2978">
        <v>0.15</v>
      </c>
      <c r="F351" s="2978">
        <v>0.13</v>
      </c>
      <c r="G351" s="2979">
        <v>0.15</v>
      </c>
    </row>
    <row r="352" spans="1:7">
      <c r="A352" s="2988" t="s">
        <v>307</v>
      </c>
      <c r="B352" s="2977" t="s">
        <v>2940</v>
      </c>
      <c r="C352" s="2978">
        <v>0.15</v>
      </c>
      <c r="D352" s="2978">
        <v>0.15</v>
      </c>
      <c r="E352" s="2978">
        <v>0.15</v>
      </c>
      <c r="F352" s="2978">
        <v>0.14599999999999999</v>
      </c>
      <c r="G352" s="2979">
        <v>0.15</v>
      </c>
    </row>
    <row r="353" spans="1:7">
      <c r="A353" s="2988" t="s">
        <v>307</v>
      </c>
      <c r="B353" s="2977" t="s">
        <v>2947</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2960</v>
      </c>
      <c r="C355" s="2978">
        <v>0.15</v>
      </c>
      <c r="D355" s="2978">
        <v>0.15</v>
      </c>
      <c r="E355" s="2978">
        <v>0.15</v>
      </c>
      <c r="F355" s="2978">
        <v>0.15</v>
      </c>
      <c r="G355" s="2979">
        <v>0.15</v>
      </c>
    </row>
    <row r="356" spans="1:7">
      <c r="A356" s="2988" t="s">
        <v>307</v>
      </c>
      <c r="B356" s="2977" t="s">
        <v>2967</v>
      </c>
      <c r="C356" s="2978">
        <v>0.15</v>
      </c>
      <c r="D356" s="2978">
        <v>0.15</v>
      </c>
      <c r="E356" s="2978">
        <v>0.15</v>
      </c>
      <c r="F356" s="2978">
        <v>0.15</v>
      </c>
      <c r="G356" s="2979">
        <v>0.15</v>
      </c>
    </row>
    <row r="357" spans="1:7" ht="14.25" thickBot="1">
      <c r="A357" s="2991" t="s">
        <v>307</v>
      </c>
      <c r="B357" s="2981" t="s">
        <v>2972</v>
      </c>
      <c r="C357" s="2982">
        <v>0.126</v>
      </c>
      <c r="D357" s="2982">
        <v>0.127</v>
      </c>
      <c r="E357" s="2982">
        <v>0.14299999999999999</v>
      </c>
      <c r="F357" s="2982">
        <v>0.125</v>
      </c>
      <c r="G357" s="2984">
        <v>0.129</v>
      </c>
    </row>
    <row r="358" spans="1:7">
      <c r="A358" s="2987" t="s">
        <v>2841</v>
      </c>
      <c r="B358" s="2973" t="s">
        <v>2855</v>
      </c>
      <c r="C358" s="2974">
        <v>0.15</v>
      </c>
      <c r="D358" s="2974">
        <v>0.15</v>
      </c>
      <c r="E358" s="2974">
        <v>0.15</v>
      </c>
      <c r="F358" s="2974">
        <v>0.15</v>
      </c>
      <c r="G358" s="2975">
        <v>0.15</v>
      </c>
    </row>
    <row r="359" spans="1:7">
      <c r="A359" s="2988" t="s">
        <v>2841</v>
      </c>
      <c r="B359" s="2977" t="s">
        <v>2861</v>
      </c>
      <c r="C359" s="2978">
        <v>0.1</v>
      </c>
      <c r="D359" s="2978">
        <v>0.1</v>
      </c>
      <c r="E359" s="2978">
        <v>0.1</v>
      </c>
      <c r="F359" s="2978">
        <v>0.1</v>
      </c>
      <c r="G359" s="2979">
        <v>0.1</v>
      </c>
    </row>
    <row r="360" spans="1:7">
      <c r="A360" s="2988" t="s">
        <v>2841</v>
      </c>
      <c r="B360" s="2977" t="s">
        <v>2867</v>
      </c>
      <c r="C360" s="2978">
        <v>0.15</v>
      </c>
      <c r="D360" s="2978">
        <v>0.15</v>
      </c>
      <c r="E360" s="2978">
        <v>0.15</v>
      </c>
      <c r="F360" s="2978">
        <v>0.14899999999999999</v>
      </c>
      <c r="G360" s="2979">
        <v>0.15</v>
      </c>
    </row>
    <row r="361" spans="1:7">
      <c r="A361" s="2988" t="s">
        <v>2841</v>
      </c>
      <c r="B361" s="2977" t="s">
        <v>153</v>
      </c>
      <c r="C361" s="2978">
        <v>0.15</v>
      </c>
      <c r="D361" s="2978">
        <v>0.15</v>
      </c>
      <c r="E361" s="2978">
        <v>0.15</v>
      </c>
      <c r="F361" s="2978">
        <v>0.115</v>
      </c>
      <c r="G361" s="2979">
        <v>0.15</v>
      </c>
    </row>
    <row r="362" spans="1:7">
      <c r="A362" s="2988" t="s">
        <v>2841</v>
      </c>
      <c r="B362" s="2977" t="s">
        <v>2874</v>
      </c>
      <c r="C362" s="2978">
        <v>0.15</v>
      </c>
      <c r="D362" s="2978">
        <v>0.15</v>
      </c>
      <c r="E362" s="2978">
        <v>0.15</v>
      </c>
      <c r="F362" s="2978">
        <v>0.106</v>
      </c>
      <c r="G362" s="2979">
        <v>0.15</v>
      </c>
    </row>
    <row r="363" spans="1:7">
      <c r="A363" s="2988" t="s">
        <v>2841</v>
      </c>
      <c r="B363" s="2977" t="s">
        <v>2879</v>
      </c>
      <c r="C363" s="2978">
        <v>0.15</v>
      </c>
      <c r="D363" s="2978">
        <v>0.15</v>
      </c>
      <c r="E363" s="2978">
        <v>0.15</v>
      </c>
      <c r="F363" s="2978">
        <v>0.14699999999999999</v>
      </c>
      <c r="G363" s="2979">
        <v>0.15</v>
      </c>
    </row>
    <row r="364" spans="1:7">
      <c r="A364" s="2988" t="s">
        <v>2841</v>
      </c>
      <c r="B364" s="2977" t="s">
        <v>2883</v>
      </c>
      <c r="C364" s="2978">
        <v>0.15</v>
      </c>
      <c r="D364" s="2978">
        <v>0.15</v>
      </c>
      <c r="E364" s="2978">
        <v>0.15</v>
      </c>
      <c r="F364" s="2978">
        <v>0.14799999999999999</v>
      </c>
      <c r="G364" s="2979">
        <v>0.15</v>
      </c>
    </row>
    <row r="365" spans="1:7">
      <c r="A365" s="2988" t="s">
        <v>2841</v>
      </c>
      <c r="B365" s="2977" t="s">
        <v>200</v>
      </c>
      <c r="C365" s="2978">
        <v>0.15</v>
      </c>
      <c r="D365" s="2978">
        <v>0.15</v>
      </c>
      <c r="E365" s="2978">
        <v>0.15</v>
      </c>
      <c r="F365" s="2978">
        <v>0.15</v>
      </c>
      <c r="G365" s="2979">
        <v>0.15</v>
      </c>
    </row>
    <row r="366" spans="1:7">
      <c r="A366" s="2988" t="s">
        <v>2841</v>
      </c>
      <c r="B366" s="2977" t="s">
        <v>2886</v>
      </c>
      <c r="C366" s="2978">
        <v>0.15</v>
      </c>
      <c r="D366" s="2978">
        <v>0.15</v>
      </c>
      <c r="E366" s="2978">
        <v>0.15</v>
      </c>
      <c r="F366" s="2978">
        <v>0.15</v>
      </c>
      <c r="G366" s="2979">
        <v>0.15</v>
      </c>
    </row>
    <row r="367" spans="1:7">
      <c r="A367" s="2988" t="s">
        <v>2841</v>
      </c>
      <c r="B367" s="2977" t="s">
        <v>2889</v>
      </c>
      <c r="C367" s="2978">
        <v>0.15</v>
      </c>
      <c r="D367" s="2978">
        <v>0.15</v>
      </c>
      <c r="E367" s="2978">
        <v>0.15</v>
      </c>
      <c r="F367" s="2978">
        <v>0.14699999999999999</v>
      </c>
      <c r="G367" s="2979">
        <v>0.15</v>
      </c>
    </row>
    <row r="368" spans="1:7">
      <c r="A368" s="2988" t="s">
        <v>2841</v>
      </c>
      <c r="B368" s="2977" t="s">
        <v>2894</v>
      </c>
      <c r="C368" s="2978">
        <v>0.15</v>
      </c>
      <c r="D368" s="2978">
        <v>0.15</v>
      </c>
      <c r="E368" s="2978">
        <v>0.15</v>
      </c>
      <c r="F368" s="2978">
        <v>0.13600000000000001</v>
      </c>
      <c r="G368" s="2979">
        <v>0.15</v>
      </c>
    </row>
    <row r="369" spans="1:7">
      <c r="A369" s="2988" t="s">
        <v>2841</v>
      </c>
      <c r="B369" s="2977" t="s">
        <v>214</v>
      </c>
      <c r="C369" s="2978">
        <v>0.15</v>
      </c>
      <c r="D369" s="2978">
        <v>0.15</v>
      </c>
      <c r="E369" s="2978">
        <v>0.15</v>
      </c>
      <c r="F369" s="2978">
        <v>0.14399999999999999</v>
      </c>
      <c r="G369" s="2979">
        <v>0.15</v>
      </c>
    </row>
    <row r="370" spans="1:7">
      <c r="A370" s="2988" t="s">
        <v>2841</v>
      </c>
      <c r="B370" s="2977" t="s">
        <v>221</v>
      </c>
      <c r="C370" s="2978">
        <v>0.15</v>
      </c>
      <c r="D370" s="2978">
        <v>0.15</v>
      </c>
      <c r="E370" s="2978">
        <v>0.15</v>
      </c>
      <c r="F370" s="2978">
        <v>0.14599999999999999</v>
      </c>
      <c r="G370" s="2979">
        <v>0.15</v>
      </c>
    </row>
    <row r="371" spans="1:7">
      <c r="A371" s="2988" t="s">
        <v>2841</v>
      </c>
      <c r="B371" s="2977" t="s">
        <v>229</v>
      </c>
      <c r="C371" s="2978">
        <v>0.15</v>
      </c>
      <c r="D371" s="2978">
        <v>0.15</v>
      </c>
      <c r="E371" s="2978">
        <v>0.15</v>
      </c>
      <c r="F371" s="2978">
        <v>0.12</v>
      </c>
      <c r="G371" s="2979">
        <v>0.15</v>
      </c>
    </row>
    <row r="372" spans="1:7">
      <c r="A372" s="2988" t="s">
        <v>2841</v>
      </c>
      <c r="B372" s="2977" t="s">
        <v>2902</v>
      </c>
      <c r="C372" s="2978">
        <v>0.15</v>
      </c>
      <c r="D372" s="2978">
        <v>0.15</v>
      </c>
      <c r="E372" s="2978">
        <v>0.15</v>
      </c>
      <c r="F372" s="2978">
        <v>0.14299999999999999</v>
      </c>
      <c r="G372" s="2979">
        <v>0.15</v>
      </c>
    </row>
    <row r="373" spans="1:7">
      <c r="A373" s="2988" t="s">
        <v>2841</v>
      </c>
      <c r="B373" s="2977" t="s">
        <v>258</v>
      </c>
      <c r="C373" s="2978">
        <v>0.15</v>
      </c>
      <c r="D373" s="2978">
        <v>0.15</v>
      </c>
      <c r="E373" s="2978">
        <v>0.15</v>
      </c>
      <c r="F373" s="2978">
        <v>0.14599999999999999</v>
      </c>
      <c r="G373" s="2979">
        <v>0.15</v>
      </c>
    </row>
    <row r="374" spans="1:7">
      <c r="A374" s="2988" t="s">
        <v>2841</v>
      </c>
      <c r="B374" s="2977" t="s">
        <v>266</v>
      </c>
      <c r="C374" s="2978">
        <v>0.15</v>
      </c>
      <c r="D374" s="2978">
        <v>0.15</v>
      </c>
      <c r="E374" s="2978">
        <v>0.15</v>
      </c>
      <c r="F374" s="2978">
        <v>0.14399999999999999</v>
      </c>
      <c r="G374" s="2979">
        <v>0.15</v>
      </c>
    </row>
    <row r="375" spans="1:7">
      <c r="A375" s="2988" t="s">
        <v>2841</v>
      </c>
      <c r="B375" s="2977" t="s">
        <v>2910</v>
      </c>
      <c r="C375" s="2978">
        <v>0.15</v>
      </c>
      <c r="D375" s="2978">
        <v>0.15</v>
      </c>
      <c r="E375" s="2978">
        <v>0.15</v>
      </c>
      <c r="F375" s="2978">
        <v>0.13</v>
      </c>
      <c r="G375" s="2979">
        <v>0.15</v>
      </c>
    </row>
    <row r="376" spans="1:7">
      <c r="A376" s="2988" t="s">
        <v>2841</v>
      </c>
      <c r="B376" s="2977" t="s">
        <v>277</v>
      </c>
      <c r="C376" s="2978">
        <v>0.15</v>
      </c>
      <c r="D376" s="2978">
        <v>0.15</v>
      </c>
      <c r="E376" s="2978">
        <v>0.15</v>
      </c>
      <c r="F376" s="2978">
        <v>0.14199999999999999</v>
      </c>
      <c r="G376" s="2979">
        <v>0.15</v>
      </c>
    </row>
    <row r="377" spans="1:7" ht="14.25" thickBot="1">
      <c r="A377" s="2991" t="s">
        <v>2841</v>
      </c>
      <c r="B377" s="2981" t="s">
        <v>2916</v>
      </c>
      <c r="C377" s="2982">
        <v>0.15</v>
      </c>
      <c r="D377" s="2982">
        <v>0.15</v>
      </c>
      <c r="E377" s="2982">
        <v>0.15</v>
      </c>
      <c r="F377" s="2982">
        <v>0.14000000000000001</v>
      </c>
      <c r="G377" s="2984">
        <v>0.15</v>
      </c>
    </row>
    <row r="378" spans="1:7">
      <c r="A378" s="2987" t="s">
        <v>2842</v>
      </c>
      <c r="B378" s="2973" t="s">
        <v>2856</v>
      </c>
      <c r="C378" s="2974">
        <v>0.15</v>
      </c>
      <c r="D378" s="2974">
        <v>0.15</v>
      </c>
      <c r="E378" s="2974">
        <v>0.15</v>
      </c>
      <c r="F378" s="2974">
        <v>0.107</v>
      </c>
      <c r="G378" s="2975">
        <v>0.15</v>
      </c>
    </row>
    <row r="379" spans="1:7">
      <c r="A379" s="2988" t="s">
        <v>2842</v>
      </c>
      <c r="B379" s="2977" t="s">
        <v>2862</v>
      </c>
      <c r="C379" s="2978">
        <v>0.15</v>
      </c>
      <c r="D379" s="2978">
        <v>0.15</v>
      </c>
      <c r="E379" s="2978">
        <v>0.15</v>
      </c>
      <c r="F379" s="2978">
        <v>0.115</v>
      </c>
      <c r="G379" s="2979">
        <v>0.14899999999999999</v>
      </c>
    </row>
    <row r="380" spans="1:7">
      <c r="A380" s="2988" t="s">
        <v>2842</v>
      </c>
      <c r="B380" s="2977" t="s">
        <v>2868</v>
      </c>
      <c r="C380" s="2978">
        <v>0.15</v>
      </c>
      <c r="D380" s="2978">
        <v>0.15</v>
      </c>
      <c r="E380" s="2978">
        <v>0.15</v>
      </c>
      <c r="F380" s="2978">
        <v>0.1</v>
      </c>
      <c r="G380" s="2979">
        <v>0.14799999999999999</v>
      </c>
    </row>
    <row r="381" spans="1:7">
      <c r="A381" s="2988" t="s">
        <v>2842</v>
      </c>
      <c r="B381" s="2977" t="s">
        <v>2871</v>
      </c>
      <c r="C381" s="2978">
        <v>0.15</v>
      </c>
      <c r="D381" s="2978">
        <v>0.15</v>
      </c>
      <c r="E381" s="2978">
        <v>0.15</v>
      </c>
      <c r="F381" s="2978">
        <v>0.126</v>
      </c>
      <c r="G381" s="2979">
        <v>0.15</v>
      </c>
    </row>
    <row r="382" spans="1:7">
      <c r="A382" s="2988" t="s">
        <v>2842</v>
      </c>
      <c r="B382" s="2977" t="s">
        <v>2875</v>
      </c>
      <c r="C382" s="2978">
        <v>0.15</v>
      </c>
      <c r="D382" s="2978">
        <v>0.15</v>
      </c>
      <c r="E382" s="2978">
        <v>0.15</v>
      </c>
      <c r="F382" s="2978">
        <v>0.15</v>
      </c>
      <c r="G382" s="2979">
        <v>0.15</v>
      </c>
    </row>
    <row r="383" spans="1:7">
      <c r="A383" s="2988" t="s">
        <v>2842</v>
      </c>
      <c r="B383" s="2977" t="s">
        <v>2880</v>
      </c>
      <c r="C383" s="2978">
        <v>0.15</v>
      </c>
      <c r="D383" s="2978">
        <v>0.15</v>
      </c>
      <c r="E383" s="2978">
        <v>0.15</v>
      </c>
      <c r="F383" s="2978">
        <v>0.14699999999999999</v>
      </c>
      <c r="G383" s="2979">
        <v>0.15</v>
      </c>
    </row>
    <row r="384" spans="1:7" ht="14.25" thickBot="1">
      <c r="A384" s="2998" t="s">
        <v>2842</v>
      </c>
      <c r="B384" s="2999" t="s">
        <v>2884</v>
      </c>
      <c r="C384" s="3000">
        <v>0.15</v>
      </c>
      <c r="D384" s="3000">
        <v>0.15</v>
      </c>
      <c r="E384" s="3000">
        <v>0.15</v>
      </c>
      <c r="F384" s="3000">
        <v>0.15</v>
      </c>
      <c r="G384" s="3001">
        <v>0.15</v>
      </c>
    </row>
  </sheetData>
  <sheetProtection password="CEE9" sheet="1" objects="1" scenarios="1"/>
  <mergeCells count="1">
    <mergeCell ref="A1:B1"/>
  </mergeCells>
  <phoneticPr fontId="9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813"/>
  </cols>
  <sheetData>
    <row r="1" spans="1:6">
      <c r="A1" s="3534" t="s">
        <v>3223</v>
      </c>
      <c r="B1" s="3534"/>
      <c r="C1" s="3534"/>
      <c r="D1" s="3534"/>
      <c r="E1" s="3534"/>
      <c r="F1" s="3535"/>
    </row>
    <row r="2" spans="1:6">
      <c r="A2" s="3002" t="s">
        <v>3224</v>
      </c>
    </row>
    <row r="3" spans="1:6">
      <c r="A3" s="3002" t="s">
        <v>3225</v>
      </c>
      <c r="F3" s="3003" t="s">
        <v>3226</v>
      </c>
    </row>
    <row r="4" spans="1:6">
      <c r="A4" s="3004" t="s">
        <v>672</v>
      </c>
      <c r="B4" s="3004" t="s">
        <v>673</v>
      </c>
      <c r="C4" s="3004" t="s">
        <v>21</v>
      </c>
      <c r="D4" s="3004" t="s">
        <v>674</v>
      </c>
      <c r="E4" s="3004" t="s">
        <v>3</v>
      </c>
      <c r="F4" s="3004" t="s">
        <v>3227</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zoomScale="90" zoomScaleNormal="90" workbookViewId="0">
      <selection activeCell="A36" sqref="A36:XFD36"/>
    </sheetView>
  </sheetViews>
  <sheetFormatPr defaultRowHeight="13.5"/>
  <cols>
    <col min="1" max="1" width="13.875" customWidth="1"/>
    <col min="11" max="17" width="0" hidden="1" customWidth="1"/>
    <col min="25" max="30" width="0" hidden="1" customWidth="1"/>
  </cols>
  <sheetData>
    <row r="1" spans="1:44">
      <c r="A1" s="2937">
        <f>基准地价修正!G23</f>
        <v>45785</v>
      </c>
      <c r="B1" s="2929" t="s">
        <v>3368</v>
      </c>
      <c r="C1" s="2930"/>
      <c r="D1" s="2930"/>
      <c r="E1" s="2930"/>
      <c r="F1" s="2930"/>
      <c r="G1" s="2930"/>
      <c r="H1" s="2930"/>
      <c r="I1" s="2930"/>
      <c r="J1" s="2896"/>
      <c r="K1" s="2930" t="s">
        <v>454</v>
      </c>
      <c r="L1" s="2930"/>
      <c r="M1" s="2930"/>
      <c r="N1" s="2930"/>
      <c r="O1" s="2930"/>
      <c r="P1" s="2930"/>
      <c r="Q1" s="2896"/>
      <c r="R1" s="3536" t="s">
        <v>456</v>
      </c>
      <c r="S1" s="3537"/>
      <c r="T1" s="3537"/>
      <c r="U1" s="3537"/>
      <c r="V1" s="3537"/>
      <c r="W1" s="3537"/>
      <c r="X1" s="2896"/>
      <c r="Y1" s="3536" t="s">
        <v>457</v>
      </c>
      <c r="Z1" s="3537"/>
      <c r="AA1" s="3537"/>
      <c r="AB1" s="3537"/>
      <c r="AC1" s="3537"/>
      <c r="AD1" s="3537"/>
    </row>
    <row r="2" spans="1:44" s="2010" customFormat="1" ht="14.25" thickBot="1">
      <c r="B2" s="2881"/>
      <c r="C2" s="2882"/>
      <c r="D2" s="2011" t="s">
        <v>2801</v>
      </c>
      <c r="E2" s="2012" t="s">
        <v>2802</v>
      </c>
      <c r="F2" s="2012" t="s">
        <v>2803</v>
      </c>
      <c r="G2" s="2012" t="s">
        <v>2804</v>
      </c>
      <c r="H2" s="2012" t="s">
        <v>2805</v>
      </c>
      <c r="I2" s="2012" t="s">
        <v>2622</v>
      </c>
      <c r="J2" s="2883"/>
      <c r="K2" s="2011" t="s">
        <v>2801</v>
      </c>
      <c r="L2" s="2012" t="s">
        <v>2802</v>
      </c>
      <c r="M2" s="2012" t="s">
        <v>2803</v>
      </c>
      <c r="N2" s="2012" t="s">
        <v>2804</v>
      </c>
      <c r="O2" s="2012" t="s">
        <v>2806</v>
      </c>
      <c r="P2" s="2012" t="s">
        <v>2622</v>
      </c>
      <c r="Q2" s="2883"/>
      <c r="R2" s="2011" t="s">
        <v>2801</v>
      </c>
      <c r="S2" s="2012" t="s">
        <v>2802</v>
      </c>
      <c r="T2" s="2012" t="s">
        <v>2803</v>
      </c>
      <c r="U2" s="2012" t="s">
        <v>2807</v>
      </c>
      <c r="V2" s="2012" t="s">
        <v>2808</v>
      </c>
      <c r="W2" s="2012" t="s">
        <v>2622</v>
      </c>
      <c r="X2" s="2883"/>
      <c r="Y2" s="2011" t="s">
        <v>2801</v>
      </c>
      <c r="Z2" s="2012" t="s">
        <v>2802</v>
      </c>
      <c r="AA2" s="2012" t="s">
        <v>2803</v>
      </c>
      <c r="AB2" s="2012" t="s">
        <v>2809</v>
      </c>
      <c r="AC2" s="2012" t="s">
        <v>2808</v>
      </c>
      <c r="AD2" s="2012" t="s">
        <v>2622</v>
      </c>
      <c r="AF2" t="s">
        <v>3395</v>
      </c>
      <c r="AG2" t="s">
        <v>673</v>
      </c>
      <c r="AH2" t="s">
        <v>21</v>
      </c>
      <c r="AI2" t="s">
        <v>3396</v>
      </c>
      <c r="AJ2" t="s">
        <v>3</v>
      </c>
      <c r="AK2" t="s">
        <v>3397</v>
      </c>
      <c r="AM2" t="s">
        <v>3395</v>
      </c>
      <c r="AN2" t="s">
        <v>673</v>
      </c>
      <c r="AO2" t="s">
        <v>21</v>
      </c>
      <c r="AP2" t="s">
        <v>3396</v>
      </c>
      <c r="AQ2" t="s">
        <v>3</v>
      </c>
      <c r="AR2" t="s">
        <v>3397</v>
      </c>
    </row>
    <row r="3" spans="1:44" s="2886" customFormat="1" ht="12.75">
      <c r="A3" s="2884" t="s">
        <v>2810</v>
      </c>
      <c r="B3" s="2885"/>
      <c r="D3" s="2886">
        <f>ROUND(AVERAGEIF(D4:D24,"&lt;&gt;0"),2)</f>
        <v>0.39</v>
      </c>
      <c r="E3" s="2886">
        <f t="shared" ref="E3:H3" si="0">ROUND(AVERAGEIF(E4:E24,"&lt;&gt;0"),2)</f>
        <v>0.21</v>
      </c>
      <c r="F3" s="2886">
        <f t="shared" si="0"/>
        <v>-0.06</v>
      </c>
      <c r="G3" s="2886">
        <f t="shared" si="0"/>
        <v>0.46</v>
      </c>
      <c r="H3" s="2886">
        <f t="shared" si="0"/>
        <v>0.51</v>
      </c>
      <c r="I3" s="2886">
        <f>F3</f>
        <v>-0.06</v>
      </c>
      <c r="J3" s="2887"/>
      <c r="K3" s="2888">
        <f>ROUND(AVERAGEIF(K4:K24,"&lt;&gt;0"),4)</f>
        <v>3.8999999999999998E-3</v>
      </c>
      <c r="L3" s="2889">
        <f t="shared" ref="L3:O3" si="1">ROUND(AVERAGEIF(L4:L24,"&lt;&gt;0"),4)</f>
        <v>2.0999999999999999E-3</v>
      </c>
      <c r="M3" s="2889">
        <f t="shared" si="1"/>
        <v>-5.9999999999999995E-4</v>
      </c>
      <c r="N3" s="2889">
        <f t="shared" si="1"/>
        <v>4.5999999999999999E-3</v>
      </c>
      <c r="O3" s="2889">
        <f t="shared" si="1"/>
        <v>5.1000000000000004E-3</v>
      </c>
      <c r="P3" s="2889">
        <f>M3</f>
        <v>-5.9999999999999995E-4</v>
      </c>
      <c r="Q3" s="2887"/>
      <c r="R3" s="2890">
        <f>ROUND(SUMPRODUCT(PRODUCT(1+K4:K24)),4)</f>
        <v>1.0674999999999999</v>
      </c>
      <c r="S3" s="2891">
        <f t="shared" ref="S3:V3" si="2">ROUND(SUMPRODUCT(PRODUCT(1+L4:L24)),4)</f>
        <v>1.0355000000000001</v>
      </c>
      <c r="T3" s="2891">
        <f t="shared" si="2"/>
        <v>0.98880000000000001</v>
      </c>
      <c r="U3" s="2891">
        <f t="shared" si="2"/>
        <v>1.0798000000000001</v>
      </c>
      <c r="V3" s="2891">
        <f t="shared" si="2"/>
        <v>1.0911</v>
      </c>
      <c r="W3" s="2890">
        <f>T3</f>
        <v>0.98880000000000001</v>
      </c>
      <c r="X3" s="2887"/>
      <c r="Y3" s="2892">
        <f>ROUND(AVERAGEIF(Y11:Y24,"&lt;&gt;0"),4)</f>
        <v>8.3999999999999995E-3</v>
      </c>
      <c r="Z3" s="2893">
        <f t="shared" ref="Z3:AC3" si="3">ROUND(AVERAGEIF(Z11:Z24,"&lt;&gt;0"),4)</f>
        <v>3.5000000000000001E-3</v>
      </c>
      <c r="AA3" s="2894">
        <f t="shared" si="3"/>
        <v>8.0000000000000004E-4</v>
      </c>
      <c r="AB3" s="2892">
        <f t="shared" si="3"/>
        <v>9.1000000000000004E-3</v>
      </c>
      <c r="AC3" s="2895">
        <f t="shared" si="3"/>
        <v>6.1000000000000004E-3</v>
      </c>
      <c r="AD3" s="2892">
        <f>AA3</f>
        <v>8.0000000000000004E-4</v>
      </c>
    </row>
    <row r="4" spans="1:44" s="2009" customFormat="1" ht="12.75">
      <c r="B4" s="2025"/>
      <c r="J4" s="2896"/>
      <c r="K4" s="2897"/>
      <c r="L4" s="2898"/>
      <c r="M4" s="2898"/>
      <c r="N4" s="2898"/>
      <c r="O4" s="2898"/>
      <c r="P4" s="2898"/>
      <c r="Q4" s="2896"/>
      <c r="R4" s="2027"/>
      <c r="S4" s="2899"/>
      <c r="T4" s="2900"/>
      <c r="U4" s="2027"/>
      <c r="V4" s="2901"/>
      <c r="W4" s="2027"/>
      <c r="X4" s="2896"/>
      <c r="Y4" s="2028"/>
      <c r="Z4" s="2902"/>
      <c r="AA4" s="2903"/>
      <c r="AB4" s="2028"/>
      <c r="AC4" s="2904"/>
      <c r="AD4" s="2028"/>
    </row>
    <row r="5" spans="1:44" s="2045" customFormat="1">
      <c r="A5" s="2040" t="s">
        <v>3394</v>
      </c>
      <c r="B5" s="2031">
        <v>2025</v>
      </c>
      <c r="C5" s="2042">
        <v>4</v>
      </c>
      <c r="D5" s="2007">
        <v>0</v>
      </c>
      <c r="E5" s="2007">
        <v>0</v>
      </c>
      <c r="F5" s="2007">
        <v>0</v>
      </c>
      <c r="G5" s="2007">
        <v>0</v>
      </c>
      <c r="H5" s="2007">
        <v>0</v>
      </c>
      <c r="I5" s="2008">
        <f t="shared" ref="I5" si="4">F5</f>
        <v>0</v>
      </c>
      <c r="J5" s="2906"/>
      <c r="K5" s="2043">
        <f t="shared" ref="K5" si="5">D5/100</f>
        <v>0</v>
      </c>
      <c r="L5" s="2028">
        <f t="shared" ref="L5" si="6">E5/100</f>
        <v>0</v>
      </c>
      <c r="M5" s="2028">
        <f t="shared" ref="M5" si="7">F5/100</f>
        <v>0</v>
      </c>
      <c r="N5" s="2028">
        <f t="shared" ref="N5" si="8">G5/100</f>
        <v>0</v>
      </c>
      <c r="O5" s="2028">
        <f t="shared" ref="O5" si="9">H5/100</f>
        <v>0</v>
      </c>
      <c r="P5" s="2028">
        <f t="shared" ref="P5:P11" si="10">M5</f>
        <v>0</v>
      </c>
      <c r="Q5" s="2906"/>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6"/>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3">
        <f>$AF$24*R5</f>
        <v>105.72</v>
      </c>
      <c r="AG5" s="3153">
        <f t="shared" ref="AG5:AK5" si="18">$AF$24*S5</f>
        <v>103.39</v>
      </c>
      <c r="AH5" s="3153">
        <f t="shared" si="18"/>
        <v>99.13</v>
      </c>
      <c r="AI5" s="3153">
        <f t="shared" si="18"/>
        <v>106.79</v>
      </c>
      <c r="AJ5" s="3153">
        <f t="shared" si="18"/>
        <v>108.72</v>
      </c>
      <c r="AK5" s="3153">
        <f t="shared" si="18"/>
        <v>99.13</v>
      </c>
      <c r="AM5" s="3159">
        <v>100</v>
      </c>
      <c r="AN5" s="3159">
        <v>100</v>
      </c>
      <c r="AO5" s="3159">
        <v>100</v>
      </c>
      <c r="AP5" s="3159">
        <v>100</v>
      </c>
      <c r="AQ5" s="3159">
        <v>100</v>
      </c>
      <c r="AR5" s="3159">
        <v>100</v>
      </c>
    </row>
    <row r="6" spans="1:44" s="2045" customFormat="1" ht="12.75">
      <c r="A6" s="2040" t="s">
        <v>3393</v>
      </c>
      <c r="B6" s="2031">
        <v>2025</v>
      </c>
      <c r="C6" s="2042">
        <v>3</v>
      </c>
      <c r="D6" s="2007">
        <v>0</v>
      </c>
      <c r="E6" s="2007">
        <v>0</v>
      </c>
      <c r="F6" s="2007">
        <v>0</v>
      </c>
      <c r="G6" s="2007">
        <v>0</v>
      </c>
      <c r="H6" s="2007">
        <v>0</v>
      </c>
      <c r="I6" s="2008">
        <f t="shared" ref="I6" si="19">F6</f>
        <v>0</v>
      </c>
      <c r="J6" s="2906"/>
      <c r="K6" s="2043">
        <f t="shared" ref="K6" si="20">D6/100</f>
        <v>0</v>
      </c>
      <c r="L6" s="2028">
        <f t="shared" ref="L6" si="21">E6/100</f>
        <v>0</v>
      </c>
      <c r="M6" s="2028">
        <f t="shared" ref="M6" si="22">F6/100</f>
        <v>0</v>
      </c>
      <c r="N6" s="2028">
        <f t="shared" ref="N6" si="23">G6/100</f>
        <v>0</v>
      </c>
      <c r="O6" s="2028">
        <f t="shared" ref="O6" si="24">H6/100</f>
        <v>0</v>
      </c>
      <c r="P6" s="2028">
        <f t="shared" si="10"/>
        <v>0</v>
      </c>
      <c r="Q6" s="2906"/>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6"/>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3">
        <f t="shared" ref="AF6:AF23" si="30">$AF$24*R6</f>
        <v>105.72</v>
      </c>
      <c r="AG6" s="3153">
        <f t="shared" ref="AG6:AG23" si="31">$AF$24*S6</f>
        <v>103.39</v>
      </c>
      <c r="AH6" s="3153">
        <f t="shared" ref="AH6:AH23" si="32">$AF$24*T6</f>
        <v>99.13</v>
      </c>
      <c r="AI6" s="3153">
        <f t="shared" ref="AI6:AI23" si="33">$AF$24*U6</f>
        <v>106.79</v>
      </c>
      <c r="AJ6" s="3153">
        <f t="shared" ref="AJ6:AJ23" si="34">$AF$24*V6</f>
        <v>108.72</v>
      </c>
      <c r="AK6" s="3153">
        <f t="shared" ref="AK6:AK23" si="35">$AF$24*W6</f>
        <v>99.13</v>
      </c>
      <c r="AM6" s="3153">
        <f>AM5/(1+D5/100)</f>
        <v>100</v>
      </c>
      <c r="AN6" s="3153">
        <f t="shared" ref="AN6:AR6" si="36">AN5/(1+E5/100)</f>
        <v>100</v>
      </c>
      <c r="AO6" s="3153">
        <f t="shared" si="36"/>
        <v>100</v>
      </c>
      <c r="AP6" s="3153">
        <f t="shared" si="36"/>
        <v>100</v>
      </c>
      <c r="AQ6" s="3153">
        <f t="shared" si="36"/>
        <v>100</v>
      </c>
      <c r="AR6" s="3153">
        <f t="shared" si="36"/>
        <v>100</v>
      </c>
    </row>
    <row r="7" spans="1:44" s="2916" customFormat="1" ht="12.75">
      <c r="A7" s="2907" t="s">
        <v>3392</v>
      </c>
      <c r="B7" s="2908">
        <v>2025</v>
      </c>
      <c r="C7" s="2909">
        <v>2</v>
      </c>
      <c r="D7" s="2910">
        <v>0</v>
      </c>
      <c r="E7" s="2910">
        <v>0</v>
      </c>
      <c r="F7" s="2910">
        <v>0</v>
      </c>
      <c r="G7" s="2910">
        <v>0</v>
      </c>
      <c r="H7" s="2911">
        <v>0</v>
      </c>
      <c r="I7" s="2912">
        <f t="shared" ref="I7" si="37">F7</f>
        <v>0</v>
      </c>
      <c r="J7" s="2913"/>
      <c r="K7" s="2914">
        <f t="shared" ref="K7" si="38">D7/100</f>
        <v>0</v>
      </c>
      <c r="L7" s="2915">
        <f t="shared" ref="L7" si="39">E7/100</f>
        <v>0</v>
      </c>
      <c r="M7" s="2915">
        <f t="shared" ref="M7" si="40">F7/100</f>
        <v>0</v>
      </c>
      <c r="N7" s="2915">
        <f t="shared" ref="N7" si="41">G7/100</f>
        <v>0</v>
      </c>
      <c r="O7" s="2915">
        <f t="shared" ref="O7" si="42">H7/100</f>
        <v>0</v>
      </c>
      <c r="P7" s="2915">
        <f t="shared" si="10"/>
        <v>0</v>
      </c>
      <c r="Q7" s="2913"/>
      <c r="R7" s="2913">
        <f>ROUND(IF(项目基本情况!$B$8="出让",SUMPRODUCT(PRODUCT(1+K7:$K$24)),SUMPRODUCT(PRODUCT(1+K7:$K$23))),4)</f>
        <v>1.0571999999999999</v>
      </c>
      <c r="S7" s="2913">
        <f>ROUND(IF(项目基本情况!$B$8="出让",SUMPRODUCT(PRODUCT(1+L7:$L$24)),SUMPRODUCT(PRODUCT(1+L7:$L$23))),4)</f>
        <v>1.0339</v>
      </c>
      <c r="T7" s="2913">
        <f>ROUND(IF(项目基本情况!$B$8="出让",SUMPRODUCT(PRODUCT(1+M7:$M$24)),SUMPRODUCT(PRODUCT(1+M7:$M$23))),4)</f>
        <v>0.99129999999999996</v>
      </c>
      <c r="U7" s="2913">
        <f>ROUND(IF(项目基本情况!$B$8="出让",SUMPRODUCT(PRODUCT(1+N7:$N$24)),SUMPRODUCT(PRODUCT(1+N7:$N$23))),4)</f>
        <v>1.0679000000000001</v>
      </c>
      <c r="V7" s="2913">
        <f>ROUND(IF(项目基本情况!$B$8="出让",SUMPRODUCT(PRODUCT(1+O7:$O$24)),SUMPRODUCT(PRODUCT(1+O7:$O$23))),4)</f>
        <v>1.0871999999999999</v>
      </c>
      <c r="W7" s="2913">
        <f t="shared" si="11"/>
        <v>0.99129999999999996</v>
      </c>
      <c r="X7" s="2913"/>
      <c r="Y7" s="2915">
        <f t="shared" si="12"/>
        <v>0</v>
      </c>
      <c r="Z7" s="2915">
        <f t="shared" ref="Z7" si="43">IF(E7=0,0,ROUND(AVERAGE(E7:E20)/100,4))</f>
        <v>0</v>
      </c>
      <c r="AA7" s="2915">
        <f t="shared" ref="AA7" si="44">IF(F7=0,0,ROUND(AVERAGE(F7:F20)/100,4))</f>
        <v>0</v>
      </c>
      <c r="AB7" s="2915">
        <f t="shared" ref="AB7" si="45">IF(G7=0,0,ROUND(AVERAGE(G7:G20)/100,4))</f>
        <v>0</v>
      </c>
      <c r="AC7" s="2915">
        <f t="shared" ref="AC7" si="46">IF(H7=0,0,ROUND(AVERAGE(H7:H20)/100,4))</f>
        <v>0</v>
      </c>
      <c r="AD7" s="2915">
        <f t="shared" ref="AD7" si="47">AA7</f>
        <v>0</v>
      </c>
      <c r="AF7" s="3154">
        <f t="shared" si="30"/>
        <v>105.72</v>
      </c>
      <c r="AG7" s="3154">
        <f t="shared" si="31"/>
        <v>103.39</v>
      </c>
      <c r="AH7" s="3154">
        <f t="shared" si="32"/>
        <v>99.13</v>
      </c>
      <c r="AI7" s="3154">
        <f t="shared" si="33"/>
        <v>106.79</v>
      </c>
      <c r="AJ7" s="3154">
        <f t="shared" si="34"/>
        <v>108.72</v>
      </c>
      <c r="AK7" s="3154">
        <f t="shared" si="35"/>
        <v>99.13</v>
      </c>
      <c r="AM7" s="3154">
        <f t="shared" ref="AM7:AM24" si="48">AM6/(1+D6/100)</f>
        <v>100</v>
      </c>
      <c r="AN7" s="3154">
        <f t="shared" ref="AN7:AN24" si="49">AN6/(1+E6/100)</f>
        <v>100</v>
      </c>
      <c r="AO7" s="3154">
        <f t="shared" ref="AO7:AO24" si="50">AO6/(1+F6/100)</f>
        <v>100</v>
      </c>
      <c r="AP7" s="3154">
        <f t="shared" ref="AP7:AP24" si="51">AP6/(1+G6/100)</f>
        <v>100</v>
      </c>
      <c r="AQ7" s="3154">
        <f t="shared" ref="AQ7:AQ24" si="52">AQ6/(1+H6/100)</f>
        <v>100</v>
      </c>
      <c r="AR7" s="3154">
        <f t="shared" ref="AR7:AR24" si="53">AR6/(1+I6/100)</f>
        <v>100</v>
      </c>
    </row>
    <row r="8" spans="1:44" s="2045" customFormat="1" ht="12.75">
      <c r="A8" s="2040" t="s">
        <v>3400</v>
      </c>
      <c r="B8" s="2031">
        <v>2025</v>
      </c>
      <c r="C8" s="2042">
        <v>1</v>
      </c>
      <c r="D8" s="2007">
        <v>0.56999999999999995</v>
      </c>
      <c r="E8" s="2007">
        <v>-0.56999999999999995</v>
      </c>
      <c r="F8" s="2007">
        <v>-0.9</v>
      </c>
      <c r="G8" s="2007">
        <v>1.1200000000000001</v>
      </c>
      <c r="H8" s="2007">
        <v>0.42</v>
      </c>
      <c r="I8" s="2008">
        <f t="shared" ref="I8" si="54">F8</f>
        <v>-0.9</v>
      </c>
      <c r="J8" s="2906"/>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6"/>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6"/>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3">
        <f t="shared" si="30"/>
        <v>105.72</v>
      </c>
      <c r="AG8" s="3153">
        <f t="shared" si="31"/>
        <v>103.39</v>
      </c>
      <c r="AH8" s="3153">
        <f t="shared" si="32"/>
        <v>99.13</v>
      </c>
      <c r="AI8" s="3153">
        <f t="shared" si="33"/>
        <v>106.79</v>
      </c>
      <c r="AJ8" s="3153">
        <f t="shared" si="34"/>
        <v>108.72</v>
      </c>
      <c r="AK8" s="3153">
        <f t="shared" si="35"/>
        <v>99.13</v>
      </c>
      <c r="AM8" s="3153">
        <f t="shared" si="48"/>
        <v>100</v>
      </c>
      <c r="AN8" s="3153">
        <f t="shared" si="49"/>
        <v>100</v>
      </c>
      <c r="AO8" s="3153">
        <f t="shared" si="50"/>
        <v>100</v>
      </c>
      <c r="AP8" s="3153">
        <f t="shared" si="51"/>
        <v>100</v>
      </c>
      <c r="AQ8" s="3153">
        <f t="shared" si="52"/>
        <v>100</v>
      </c>
      <c r="AR8" s="3153">
        <f t="shared" si="53"/>
        <v>100</v>
      </c>
    </row>
    <row r="9" spans="1:44" s="2045" customFormat="1" ht="12.75">
      <c r="A9" s="2040" t="s">
        <v>3399</v>
      </c>
      <c r="B9" s="2031">
        <v>2024</v>
      </c>
      <c r="C9" s="2042">
        <v>4</v>
      </c>
      <c r="D9" s="2007">
        <v>-1.02</v>
      </c>
      <c r="E9" s="2007">
        <v>-0.48</v>
      </c>
      <c r="F9" s="2007">
        <v>-0.75</v>
      </c>
      <c r="G9" s="2007">
        <v>-1.05</v>
      </c>
      <c r="H9" s="2007">
        <v>0.08</v>
      </c>
      <c r="I9" s="2008">
        <f t="shared" ref="I9" si="65">F9</f>
        <v>-0.75</v>
      </c>
      <c r="J9" s="2906"/>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6"/>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6"/>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3">
        <f t="shared" si="30"/>
        <v>105.11999999999999</v>
      </c>
      <c r="AG9" s="3153">
        <f t="shared" si="31"/>
        <v>103.98</v>
      </c>
      <c r="AH9" s="3153">
        <f t="shared" si="32"/>
        <v>100.03</v>
      </c>
      <c r="AI9" s="3153">
        <f t="shared" si="33"/>
        <v>105.61</v>
      </c>
      <c r="AJ9" s="3153">
        <f t="shared" si="34"/>
        <v>108.27</v>
      </c>
      <c r="AK9" s="3153">
        <f t="shared" si="35"/>
        <v>100.03</v>
      </c>
      <c r="AM9" s="3153">
        <f t="shared" si="48"/>
        <v>99.433230585661718</v>
      </c>
      <c r="AN9" s="3153">
        <f t="shared" si="49"/>
        <v>100.57326762546515</v>
      </c>
      <c r="AO9" s="3153">
        <f t="shared" si="50"/>
        <v>100.90817356205852</v>
      </c>
      <c r="AP9" s="3153">
        <f t="shared" si="51"/>
        <v>98.892405063291136</v>
      </c>
      <c r="AQ9" s="3153">
        <f t="shared" si="52"/>
        <v>99.581756622186816</v>
      </c>
      <c r="AR9" s="3153">
        <f t="shared" si="53"/>
        <v>100.90817356205852</v>
      </c>
    </row>
    <row r="10" spans="1:44" s="2045" customFormat="1" ht="12.75">
      <c r="A10" s="2040" t="s">
        <v>3372</v>
      </c>
      <c r="B10" s="2031">
        <v>2024</v>
      </c>
      <c r="C10" s="2042">
        <v>3</v>
      </c>
      <c r="D10" s="2007">
        <v>-1.19</v>
      </c>
      <c r="E10" s="2007">
        <v>-0.47</v>
      </c>
      <c r="F10" s="2007">
        <v>-0.28999999999999998</v>
      </c>
      <c r="G10" s="2007">
        <v>-0.74</v>
      </c>
      <c r="H10" s="2007">
        <v>-0.21</v>
      </c>
      <c r="I10" s="2008">
        <f t="shared" ref="I10" si="76">F10</f>
        <v>-0.28999999999999998</v>
      </c>
      <c r="J10" s="2906"/>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6"/>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6"/>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3">
        <f t="shared" si="30"/>
        <v>106.2</v>
      </c>
      <c r="AG10" s="3153">
        <f t="shared" si="31"/>
        <v>104.47999999999999</v>
      </c>
      <c r="AH10" s="3153">
        <f t="shared" si="32"/>
        <v>100.79</v>
      </c>
      <c r="AI10" s="3153">
        <f t="shared" si="33"/>
        <v>106.72999999999999</v>
      </c>
      <c r="AJ10" s="3153">
        <f t="shared" si="34"/>
        <v>108.18</v>
      </c>
      <c r="AK10" s="3153">
        <f t="shared" si="35"/>
        <v>100.79</v>
      </c>
      <c r="AM10" s="3153">
        <f t="shared" si="48"/>
        <v>100.45790117767399</v>
      </c>
      <c r="AN10" s="3153">
        <f t="shared" si="49"/>
        <v>101.05834769439826</v>
      </c>
      <c r="AO10" s="3153">
        <f t="shared" si="50"/>
        <v>101.670703840865</v>
      </c>
      <c r="AP10" s="3153">
        <f t="shared" si="51"/>
        <v>99.941793899233076</v>
      </c>
      <c r="AQ10" s="3153">
        <f t="shared" si="52"/>
        <v>99.502154898268216</v>
      </c>
      <c r="AR10" s="3153">
        <f t="shared" si="53"/>
        <v>101.670703840865</v>
      </c>
    </row>
    <row r="11" spans="1:44" s="2045" customFormat="1" ht="12.75">
      <c r="A11" s="2905" t="s">
        <v>3366</v>
      </c>
      <c r="B11" s="2031">
        <v>2024</v>
      </c>
      <c r="C11" s="2042">
        <v>2</v>
      </c>
      <c r="D11" s="2007">
        <v>-0.59</v>
      </c>
      <c r="E11" s="2007">
        <v>-0.21</v>
      </c>
      <c r="F11" s="2007">
        <v>-1.38</v>
      </c>
      <c r="G11" s="2007">
        <v>-1.24</v>
      </c>
      <c r="H11" s="2917">
        <v>0.34</v>
      </c>
      <c r="I11" s="2008">
        <f t="shared" ref="I11:I24" si="87">F11</f>
        <v>-1.38</v>
      </c>
      <c r="J11" s="2906"/>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6"/>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6"/>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3">
        <f t="shared" si="30"/>
        <v>107.48</v>
      </c>
      <c r="AG11" s="3153">
        <f t="shared" si="31"/>
        <v>104.98</v>
      </c>
      <c r="AH11" s="3153">
        <f t="shared" si="32"/>
        <v>101.08</v>
      </c>
      <c r="AI11" s="3153">
        <f t="shared" si="33"/>
        <v>107.52999999999999</v>
      </c>
      <c r="AJ11" s="3153">
        <f t="shared" si="34"/>
        <v>108.41000000000001</v>
      </c>
      <c r="AK11" s="3153">
        <f t="shared" si="35"/>
        <v>101.08</v>
      </c>
      <c r="AM11" s="3153">
        <f t="shared" si="48"/>
        <v>101.66774737139357</v>
      </c>
      <c r="AN11" s="3153">
        <f t="shared" si="49"/>
        <v>101.53556484918946</v>
      </c>
      <c r="AO11" s="3153">
        <f t="shared" si="50"/>
        <v>101.9664064194815</v>
      </c>
      <c r="AP11" s="3153">
        <f t="shared" si="51"/>
        <v>100.68687678746028</v>
      </c>
      <c r="AQ11" s="3153">
        <f t="shared" si="52"/>
        <v>99.711549151486338</v>
      </c>
      <c r="AR11" s="3153">
        <f t="shared" si="53"/>
        <v>101.9664064194815</v>
      </c>
    </row>
    <row r="12" spans="1:44" s="2045" customFormat="1" ht="12.75">
      <c r="A12" s="2905" t="s">
        <v>3365</v>
      </c>
      <c r="B12" s="2031">
        <v>2024</v>
      </c>
      <c r="C12" s="2042">
        <v>1</v>
      </c>
      <c r="D12" s="2007">
        <v>0.08</v>
      </c>
      <c r="E12" s="2007">
        <v>0.46</v>
      </c>
      <c r="F12" s="2007">
        <v>-0.16</v>
      </c>
      <c r="G12" s="2007">
        <v>0.26</v>
      </c>
      <c r="H12" s="2917">
        <v>0.59</v>
      </c>
      <c r="I12" s="2008">
        <f t="shared" si="87"/>
        <v>-0.16</v>
      </c>
      <c r="J12" s="2906"/>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6"/>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6"/>
      <c r="Y12" s="2028"/>
      <c r="Z12" s="2028"/>
      <c r="AA12" s="2028"/>
      <c r="AB12" s="2028"/>
      <c r="AC12" s="2028"/>
      <c r="AD12" s="2028"/>
      <c r="AF12" s="3153">
        <f t="shared" si="30"/>
        <v>108.11999999999999</v>
      </c>
      <c r="AG12" s="3153">
        <f t="shared" si="31"/>
        <v>105.2</v>
      </c>
      <c r="AH12" s="3153">
        <f t="shared" si="32"/>
        <v>102.49999999999999</v>
      </c>
      <c r="AI12" s="3153">
        <f t="shared" si="33"/>
        <v>108.88</v>
      </c>
      <c r="AJ12" s="3153">
        <f t="shared" si="34"/>
        <v>108.04</v>
      </c>
      <c r="AK12" s="3153">
        <f t="shared" si="35"/>
        <v>102.49999999999999</v>
      </c>
      <c r="AM12" s="3153">
        <f t="shared" si="48"/>
        <v>102.27114713951673</v>
      </c>
      <c r="AN12" s="3153">
        <f t="shared" si="49"/>
        <v>101.74923824951344</v>
      </c>
      <c r="AO12" s="3153">
        <f t="shared" si="50"/>
        <v>103.3932330353696</v>
      </c>
      <c r="AP12" s="3153">
        <f t="shared" si="51"/>
        <v>101.95107005615662</v>
      </c>
      <c r="AQ12" s="3153">
        <f t="shared" si="52"/>
        <v>99.373678644096401</v>
      </c>
      <c r="AR12" s="3153">
        <f t="shared" si="53"/>
        <v>103.3932330353696</v>
      </c>
    </row>
    <row r="13" spans="1:44" s="2045" customFormat="1" ht="12.75">
      <c r="A13" s="2905" t="s">
        <v>3361</v>
      </c>
      <c r="B13" s="2031">
        <v>2023</v>
      </c>
      <c r="C13" s="2042">
        <v>4</v>
      </c>
      <c r="D13" s="2007">
        <v>0.19</v>
      </c>
      <c r="E13" s="2007">
        <v>0.24</v>
      </c>
      <c r="F13" s="2007">
        <v>-0.16</v>
      </c>
      <c r="G13" s="2007">
        <v>0.17</v>
      </c>
      <c r="H13" s="2917">
        <v>0.61</v>
      </c>
      <c r="I13" s="2008">
        <f>F13</f>
        <v>-0.16</v>
      </c>
      <c r="J13" s="2906"/>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6"/>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6"/>
      <c r="Y13" s="2028"/>
      <c r="Z13" s="2028"/>
      <c r="AA13" s="2028"/>
      <c r="AB13" s="2028"/>
      <c r="AC13" s="2028"/>
      <c r="AD13" s="2028"/>
      <c r="AF13" s="3153">
        <f t="shared" si="30"/>
        <v>108.04</v>
      </c>
      <c r="AG13" s="3153">
        <f t="shared" si="31"/>
        <v>104.71999999999998</v>
      </c>
      <c r="AH13" s="3153">
        <f t="shared" si="32"/>
        <v>102.66</v>
      </c>
      <c r="AI13" s="3153">
        <f t="shared" si="33"/>
        <v>108.59</v>
      </c>
      <c r="AJ13" s="3153">
        <f t="shared" si="34"/>
        <v>107.41000000000001</v>
      </c>
      <c r="AK13" s="3153">
        <f t="shared" si="35"/>
        <v>102.66</v>
      </c>
      <c r="AM13" s="3153">
        <f t="shared" si="48"/>
        <v>102.18939562301833</v>
      </c>
      <c r="AN13" s="3153">
        <f t="shared" si="49"/>
        <v>101.28333490893236</v>
      </c>
      <c r="AO13" s="3153">
        <f t="shared" si="50"/>
        <v>103.55892731908014</v>
      </c>
      <c r="AP13" s="3153">
        <f t="shared" si="51"/>
        <v>101.68668467599903</v>
      </c>
      <c r="AQ13" s="3153">
        <f t="shared" si="52"/>
        <v>98.79081284829148</v>
      </c>
      <c r="AR13" s="3153">
        <f t="shared" si="53"/>
        <v>103.55892731908014</v>
      </c>
    </row>
    <row r="14" spans="1:44" s="2045" customFormat="1" ht="12.75">
      <c r="A14" s="2905" t="s">
        <v>3360</v>
      </c>
      <c r="B14" s="2031">
        <v>2023</v>
      </c>
      <c r="C14" s="2042">
        <v>3</v>
      </c>
      <c r="D14" s="2007">
        <v>0.25</v>
      </c>
      <c r="E14" s="2007">
        <v>0.5</v>
      </c>
      <c r="F14" s="2007">
        <v>0.31</v>
      </c>
      <c r="G14" s="2007">
        <v>0.21</v>
      </c>
      <c r="H14" s="2917">
        <v>0.43</v>
      </c>
      <c r="I14" s="2008">
        <f t="shared" si="87"/>
        <v>0.31</v>
      </c>
      <c r="J14" s="2906"/>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6"/>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6"/>
      <c r="Y14" s="2028"/>
      <c r="Z14" s="2028"/>
      <c r="AA14" s="2028"/>
      <c r="AB14" s="2028"/>
      <c r="AC14" s="2028"/>
      <c r="AD14" s="2028"/>
      <c r="AF14" s="3153">
        <f t="shared" si="30"/>
        <v>107.83</v>
      </c>
      <c r="AG14" s="3153">
        <f t="shared" si="31"/>
        <v>104.47</v>
      </c>
      <c r="AH14" s="3153">
        <f t="shared" si="32"/>
        <v>102.82</v>
      </c>
      <c r="AI14" s="3153">
        <f t="shared" si="33"/>
        <v>108.41000000000001</v>
      </c>
      <c r="AJ14" s="3153">
        <f t="shared" si="34"/>
        <v>106.74999999999999</v>
      </c>
      <c r="AK14" s="3153">
        <f t="shared" si="35"/>
        <v>102.82</v>
      </c>
      <c r="AM14" s="3153">
        <f t="shared" si="48"/>
        <v>101.99560397546495</v>
      </c>
      <c r="AN14" s="3153">
        <f t="shared" si="49"/>
        <v>101.04083690037147</v>
      </c>
      <c r="AO14" s="3153">
        <f t="shared" si="50"/>
        <v>103.72488713850174</v>
      </c>
      <c r="AP14" s="3153">
        <f t="shared" si="51"/>
        <v>101.51411068782971</v>
      </c>
      <c r="AQ14" s="3153">
        <f t="shared" si="52"/>
        <v>98.191842608380355</v>
      </c>
      <c r="AR14" s="3153">
        <f t="shared" si="53"/>
        <v>103.72488713850174</v>
      </c>
    </row>
    <row r="15" spans="1:44" s="2045" customFormat="1" ht="12.75">
      <c r="A15" s="2905" t="s">
        <v>3358</v>
      </c>
      <c r="B15" s="2031">
        <v>2023</v>
      </c>
      <c r="C15" s="2042">
        <v>2</v>
      </c>
      <c r="D15" s="2007">
        <v>0.91</v>
      </c>
      <c r="E15" s="2007">
        <v>0.66</v>
      </c>
      <c r="F15" s="2007">
        <v>0.47</v>
      </c>
      <c r="G15" s="2007">
        <v>0.96</v>
      </c>
      <c r="H15" s="2917">
        <v>0.71</v>
      </c>
      <c r="I15" s="2008">
        <f t="shared" si="87"/>
        <v>0.47</v>
      </c>
      <c r="J15" s="2906"/>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6"/>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6"/>
      <c r="Y15" s="2028"/>
      <c r="Z15" s="2028"/>
      <c r="AA15" s="2028"/>
      <c r="AB15" s="2028"/>
      <c r="AC15" s="2028"/>
      <c r="AD15" s="2028"/>
      <c r="AF15" s="3153">
        <f t="shared" si="30"/>
        <v>107.55999999999999</v>
      </c>
      <c r="AG15" s="3153">
        <f t="shared" si="31"/>
        <v>103.95</v>
      </c>
      <c r="AH15" s="3153">
        <f t="shared" si="32"/>
        <v>102.50999999999999</v>
      </c>
      <c r="AI15" s="3153">
        <f t="shared" si="33"/>
        <v>108.18</v>
      </c>
      <c r="AJ15" s="3153">
        <f t="shared" si="34"/>
        <v>106.3</v>
      </c>
      <c r="AK15" s="3153">
        <f t="shared" si="35"/>
        <v>102.50999999999999</v>
      </c>
      <c r="AM15" s="3153">
        <f t="shared" si="48"/>
        <v>101.74125084834409</v>
      </c>
      <c r="AN15" s="3153">
        <f t="shared" si="49"/>
        <v>100.53814616952387</v>
      </c>
      <c r="AO15" s="3153">
        <f t="shared" si="50"/>
        <v>103.40433370401927</v>
      </c>
      <c r="AP15" s="3153">
        <f t="shared" si="51"/>
        <v>101.30137779446135</v>
      </c>
      <c r="AQ15" s="3153">
        <f t="shared" si="52"/>
        <v>97.771425478821428</v>
      </c>
      <c r="AR15" s="3153">
        <f t="shared" si="53"/>
        <v>103.40433370401927</v>
      </c>
    </row>
    <row r="16" spans="1:44" s="2045" customFormat="1" ht="12.75">
      <c r="A16" s="2905" t="s">
        <v>3357</v>
      </c>
      <c r="B16" s="2031">
        <v>2023</v>
      </c>
      <c r="C16" s="2042">
        <v>1</v>
      </c>
      <c r="D16" s="2007">
        <v>0.89</v>
      </c>
      <c r="E16" s="2007">
        <v>0.74</v>
      </c>
      <c r="F16" s="2007">
        <v>0.56999999999999995</v>
      </c>
      <c r="G16" s="2007">
        <v>0.92</v>
      </c>
      <c r="H16" s="2917">
        <v>0.5</v>
      </c>
      <c r="I16" s="2008">
        <f t="shared" si="87"/>
        <v>0.56999999999999995</v>
      </c>
      <c r="J16" s="2906"/>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6"/>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6"/>
      <c r="Y16" s="2028"/>
      <c r="Z16" s="2028"/>
      <c r="AA16" s="2028"/>
      <c r="AB16" s="2028"/>
      <c r="AC16" s="2028"/>
      <c r="AD16" s="2028"/>
      <c r="AF16" s="3153">
        <f t="shared" si="30"/>
        <v>106.59</v>
      </c>
      <c r="AG16" s="3153">
        <f t="shared" si="31"/>
        <v>103.25999999999999</v>
      </c>
      <c r="AH16" s="3153">
        <f t="shared" si="32"/>
        <v>102.03</v>
      </c>
      <c r="AI16" s="3153">
        <f t="shared" si="33"/>
        <v>107.14999999999999</v>
      </c>
      <c r="AJ16" s="3153">
        <f t="shared" si="34"/>
        <v>105.55000000000001</v>
      </c>
      <c r="AK16" s="3153">
        <f t="shared" si="35"/>
        <v>102.03</v>
      </c>
      <c r="AM16" s="3153">
        <f t="shared" si="48"/>
        <v>100.82375468074926</v>
      </c>
      <c r="AN16" s="3153">
        <f t="shared" si="49"/>
        <v>99.878945131654959</v>
      </c>
      <c r="AO16" s="3153">
        <f t="shared" si="50"/>
        <v>102.92060685181573</v>
      </c>
      <c r="AP16" s="3153">
        <f t="shared" si="51"/>
        <v>100.33813172985474</v>
      </c>
      <c r="AQ16" s="3153">
        <f t="shared" si="52"/>
        <v>97.082142268713554</v>
      </c>
      <c r="AR16" s="3153">
        <f t="shared" si="53"/>
        <v>102.92060685181573</v>
      </c>
    </row>
    <row r="17" spans="1:44" s="2045" customFormat="1" ht="12.75">
      <c r="A17" s="2905" t="s">
        <v>3356</v>
      </c>
      <c r="B17" s="2031">
        <v>2022</v>
      </c>
      <c r="C17" s="2042">
        <v>4</v>
      </c>
      <c r="D17" s="2007">
        <v>0.62</v>
      </c>
      <c r="E17" s="2007">
        <v>0.2</v>
      </c>
      <c r="F17" s="2007">
        <v>0.11</v>
      </c>
      <c r="G17" s="2007">
        <v>0.69</v>
      </c>
      <c r="H17" s="2917">
        <v>0.53</v>
      </c>
      <c r="I17" s="2008">
        <f t="shared" si="87"/>
        <v>0.11</v>
      </c>
      <c r="J17" s="2906"/>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6"/>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6"/>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3">
        <f t="shared" si="30"/>
        <v>105.65</v>
      </c>
      <c r="AG17" s="3153">
        <f t="shared" si="31"/>
        <v>102.50999999999999</v>
      </c>
      <c r="AH17" s="3153">
        <f t="shared" si="32"/>
        <v>101.44999999999999</v>
      </c>
      <c r="AI17" s="3153">
        <f t="shared" si="33"/>
        <v>106.18</v>
      </c>
      <c r="AJ17" s="3153">
        <f t="shared" si="34"/>
        <v>105.02</v>
      </c>
      <c r="AK17" s="3153">
        <f t="shared" si="35"/>
        <v>101.44999999999999</v>
      </c>
      <c r="AM17" s="3153">
        <f t="shared" si="48"/>
        <v>99.934339063087791</v>
      </c>
      <c r="AN17" s="3153">
        <f t="shared" si="49"/>
        <v>99.145270132673176</v>
      </c>
      <c r="AO17" s="3153">
        <f t="shared" si="50"/>
        <v>102.3372843311283</v>
      </c>
      <c r="AP17" s="3153">
        <f t="shared" si="51"/>
        <v>99.423436117573061</v>
      </c>
      <c r="AQ17" s="3153">
        <f t="shared" si="52"/>
        <v>96.599146536033402</v>
      </c>
      <c r="AR17" s="3153">
        <f t="shared" si="53"/>
        <v>102.3372843311283</v>
      </c>
    </row>
    <row r="18" spans="1:44" s="2045" customFormat="1" ht="12.75">
      <c r="A18" s="2905" t="s">
        <v>3354</v>
      </c>
      <c r="B18" s="2031">
        <v>2022</v>
      </c>
      <c r="C18" s="2042">
        <v>3</v>
      </c>
      <c r="D18" s="2007">
        <v>0.66</v>
      </c>
      <c r="E18" s="2007">
        <v>0.32</v>
      </c>
      <c r="F18" s="2007">
        <v>0.23</v>
      </c>
      <c r="G18" s="2007">
        <v>0.72</v>
      </c>
      <c r="H18" s="2917">
        <v>0.63</v>
      </c>
      <c r="I18" s="2008">
        <f t="shared" si="87"/>
        <v>0.23</v>
      </c>
      <c r="J18" s="2906"/>
      <c r="K18" s="2043">
        <f t="shared" si="88"/>
        <v>6.6E-3</v>
      </c>
      <c r="L18" s="2028">
        <f t="shared" si="88"/>
        <v>3.2000000000000002E-3</v>
      </c>
      <c r="M18" s="2028">
        <f t="shared" si="88"/>
        <v>2.3E-3</v>
      </c>
      <c r="N18" s="2028">
        <f t="shared" si="88"/>
        <v>7.1999999999999998E-3</v>
      </c>
      <c r="O18" s="2028">
        <f t="shared" si="88"/>
        <v>6.3E-3</v>
      </c>
      <c r="P18" s="2028">
        <f t="shared" si="108"/>
        <v>2.3E-3</v>
      </c>
      <c r="Q18" s="2906"/>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6"/>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3">
        <f t="shared" si="30"/>
        <v>105</v>
      </c>
      <c r="AG18" s="3153">
        <f t="shared" si="31"/>
        <v>102.3</v>
      </c>
      <c r="AH18" s="3153">
        <f t="shared" si="32"/>
        <v>101.34</v>
      </c>
      <c r="AI18" s="3153">
        <f t="shared" si="33"/>
        <v>105.45</v>
      </c>
      <c r="AJ18" s="3153">
        <f t="shared" si="34"/>
        <v>104.47</v>
      </c>
      <c r="AK18" s="3153">
        <f t="shared" si="35"/>
        <v>101.34</v>
      </c>
      <c r="AM18" s="3153">
        <f t="shared" si="48"/>
        <v>99.318563966495518</v>
      </c>
      <c r="AN18" s="3153">
        <f t="shared" si="49"/>
        <v>98.947375381909353</v>
      </c>
      <c r="AO18" s="3153">
        <f t="shared" si="50"/>
        <v>102.22483701041683</v>
      </c>
      <c r="AP18" s="3153">
        <f t="shared" si="51"/>
        <v>98.742115520481747</v>
      </c>
      <c r="AQ18" s="3153">
        <f t="shared" si="52"/>
        <v>96.089870223847001</v>
      </c>
      <c r="AR18" s="3153">
        <f t="shared" si="53"/>
        <v>102.22483701041683</v>
      </c>
    </row>
    <row r="19" spans="1:44" s="2045" customFormat="1" ht="12.75">
      <c r="A19" s="2905" t="s">
        <v>3345</v>
      </c>
      <c r="B19" s="2031">
        <v>2022</v>
      </c>
      <c r="C19" s="2042">
        <v>2</v>
      </c>
      <c r="D19" s="2007">
        <v>0.93</v>
      </c>
      <c r="E19" s="2007">
        <v>0.15</v>
      </c>
      <c r="F19" s="2007">
        <v>0.01</v>
      </c>
      <c r="G19" s="2007">
        <v>1.05</v>
      </c>
      <c r="H19" s="2917">
        <v>1.08</v>
      </c>
      <c r="I19" s="2008">
        <f t="shared" si="87"/>
        <v>0.01</v>
      </c>
      <c r="J19" s="2906"/>
      <c r="K19" s="2043">
        <f t="shared" si="88"/>
        <v>9.300000000000001E-3</v>
      </c>
      <c r="L19" s="2028">
        <f t="shared" si="88"/>
        <v>1.5E-3</v>
      </c>
      <c r="M19" s="2028">
        <f t="shared" si="88"/>
        <v>1E-4</v>
      </c>
      <c r="N19" s="2028">
        <f t="shared" si="88"/>
        <v>1.0500000000000001E-2</v>
      </c>
      <c r="O19" s="2028">
        <f t="shared" si="88"/>
        <v>1.0800000000000001E-2</v>
      </c>
      <c r="P19" s="2028">
        <f t="shared" si="108"/>
        <v>1E-4</v>
      </c>
      <c r="Q19" s="2906"/>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6"/>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3">
        <f t="shared" si="30"/>
        <v>104.30999999999999</v>
      </c>
      <c r="AG19" s="3153">
        <f t="shared" si="31"/>
        <v>101.97</v>
      </c>
      <c r="AH19" s="3153">
        <f t="shared" si="32"/>
        <v>101.1</v>
      </c>
      <c r="AI19" s="3153">
        <f t="shared" si="33"/>
        <v>104.69</v>
      </c>
      <c r="AJ19" s="3153">
        <f t="shared" si="34"/>
        <v>103.82000000000001</v>
      </c>
      <c r="AK19" s="3153">
        <f t="shared" si="35"/>
        <v>101.1</v>
      </c>
      <c r="AM19" s="3153">
        <f t="shared" si="48"/>
        <v>98.667359394491882</v>
      </c>
      <c r="AN19" s="3153">
        <f t="shared" si="49"/>
        <v>98.631753769845844</v>
      </c>
      <c r="AO19" s="3153">
        <f t="shared" si="50"/>
        <v>101.99025941376517</v>
      </c>
      <c r="AP19" s="3153">
        <f t="shared" si="51"/>
        <v>98.036254488166932</v>
      </c>
      <c r="AQ19" s="3153">
        <f t="shared" si="52"/>
        <v>95.488293971824504</v>
      </c>
      <c r="AR19" s="3153">
        <f t="shared" si="53"/>
        <v>101.99025941376517</v>
      </c>
    </row>
    <row r="20" spans="1:44" s="2045" customFormat="1" ht="12.75">
      <c r="A20" s="2905" t="s">
        <v>2811</v>
      </c>
      <c r="B20" s="2031">
        <v>2022</v>
      </c>
      <c r="C20" s="2042">
        <v>1</v>
      </c>
      <c r="D20" s="2007">
        <v>0.89</v>
      </c>
      <c r="E20" s="2007">
        <v>0.44</v>
      </c>
      <c r="F20" s="2007">
        <v>0.37</v>
      </c>
      <c r="G20" s="2007">
        <v>0.96</v>
      </c>
      <c r="H20" s="2917">
        <v>0.64</v>
      </c>
      <c r="I20" s="2008">
        <f t="shared" si="87"/>
        <v>0.37</v>
      </c>
      <c r="J20" s="2906"/>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6"/>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6"/>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3">
        <f t="shared" si="30"/>
        <v>103.35000000000001</v>
      </c>
      <c r="AG20" s="3153">
        <f t="shared" si="31"/>
        <v>101.82</v>
      </c>
      <c r="AH20" s="3153">
        <f t="shared" si="32"/>
        <v>101.08999999999999</v>
      </c>
      <c r="AI20" s="3153">
        <f t="shared" si="33"/>
        <v>103.61</v>
      </c>
      <c r="AJ20" s="3153">
        <f t="shared" si="34"/>
        <v>102.71</v>
      </c>
      <c r="AK20" s="3153">
        <f t="shared" si="35"/>
        <v>101.08999999999999</v>
      </c>
      <c r="AM20" s="3153">
        <f t="shared" si="48"/>
        <v>97.758208059538163</v>
      </c>
      <c r="AN20" s="3153">
        <f t="shared" si="49"/>
        <v>98.484027728253452</v>
      </c>
      <c r="AO20" s="3153">
        <f t="shared" si="50"/>
        <v>101.98006140762442</v>
      </c>
      <c r="AP20" s="3153">
        <f t="shared" si="51"/>
        <v>97.017570003134026</v>
      </c>
      <c r="AQ20" s="3153">
        <f t="shared" si="52"/>
        <v>94.468039149015155</v>
      </c>
      <c r="AR20" s="3153">
        <f t="shared" si="53"/>
        <v>101.98006140762442</v>
      </c>
    </row>
    <row r="21" spans="1:44" s="2045" customFormat="1" ht="12.75">
      <c r="A21" s="2905" t="s">
        <v>2812</v>
      </c>
      <c r="B21" s="2031">
        <v>2021</v>
      </c>
      <c r="C21" s="2042">
        <v>4</v>
      </c>
      <c r="D21" s="2007">
        <v>1.03</v>
      </c>
      <c r="E21" s="2007">
        <v>0.24</v>
      </c>
      <c r="F21" s="2007">
        <v>7.0000000000000007E-2</v>
      </c>
      <c r="G21" s="2007">
        <v>1.17</v>
      </c>
      <c r="H21" s="2917">
        <v>0.55000000000000004</v>
      </c>
      <c r="I21" s="2008">
        <f t="shared" si="87"/>
        <v>7.0000000000000007E-2</v>
      </c>
      <c r="J21" s="2906"/>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6"/>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6"/>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3">
        <f t="shared" si="30"/>
        <v>102.44</v>
      </c>
      <c r="AG21" s="3153">
        <f t="shared" si="31"/>
        <v>101.38000000000001</v>
      </c>
      <c r="AH21" s="3153">
        <f t="shared" si="32"/>
        <v>100.72000000000001</v>
      </c>
      <c r="AI21" s="3153">
        <f t="shared" si="33"/>
        <v>102.62</v>
      </c>
      <c r="AJ21" s="3153">
        <f t="shared" si="34"/>
        <v>102.05</v>
      </c>
      <c r="AK21" s="3153">
        <f t="shared" si="35"/>
        <v>100.72000000000001</v>
      </c>
      <c r="AM21" s="3153">
        <f t="shared" si="48"/>
        <v>96.895835126908679</v>
      </c>
      <c r="AN21" s="3153">
        <f t="shared" si="49"/>
        <v>98.0525963045136</v>
      </c>
      <c r="AO21" s="3153">
        <f t="shared" si="50"/>
        <v>101.60412614090308</v>
      </c>
      <c r="AP21" s="3153">
        <f t="shared" si="51"/>
        <v>96.095057451598677</v>
      </c>
      <c r="AQ21" s="3153">
        <f t="shared" si="52"/>
        <v>93.867288502598527</v>
      </c>
      <c r="AR21" s="3153">
        <f t="shared" si="53"/>
        <v>101.60412614090308</v>
      </c>
    </row>
    <row r="22" spans="1:44" s="2045" customFormat="1" ht="12.75">
      <c r="A22" s="2905" t="s">
        <v>2813</v>
      </c>
      <c r="B22" s="2031">
        <v>2021</v>
      </c>
      <c r="C22" s="2042">
        <v>3</v>
      </c>
      <c r="D22" s="2007">
        <v>0.47</v>
      </c>
      <c r="E22" s="2007">
        <v>0.41</v>
      </c>
      <c r="F22" s="2007">
        <v>0.24</v>
      </c>
      <c r="G22" s="2007">
        <v>0.48</v>
      </c>
      <c r="H22" s="2917">
        <v>0.48</v>
      </c>
      <c r="I22" s="2008">
        <f t="shared" si="87"/>
        <v>0.24</v>
      </c>
      <c r="J22" s="2906"/>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6"/>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6"/>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3">
        <f t="shared" si="30"/>
        <v>101.39</v>
      </c>
      <c r="AG22" s="3153">
        <f t="shared" si="31"/>
        <v>101.13000000000001</v>
      </c>
      <c r="AH22" s="3153">
        <f t="shared" si="32"/>
        <v>100.64999999999999</v>
      </c>
      <c r="AI22" s="3153">
        <f t="shared" si="33"/>
        <v>101.42999999999999</v>
      </c>
      <c r="AJ22" s="3153">
        <f t="shared" si="34"/>
        <v>101.49</v>
      </c>
      <c r="AK22" s="3153">
        <f t="shared" si="35"/>
        <v>100.64999999999999</v>
      </c>
      <c r="AM22" s="3153">
        <f t="shared" si="48"/>
        <v>95.907982903007706</v>
      </c>
      <c r="AN22" s="3153">
        <f t="shared" si="49"/>
        <v>97.81783350410376</v>
      </c>
      <c r="AO22" s="3153">
        <f t="shared" si="50"/>
        <v>101.53305300380042</v>
      </c>
      <c r="AP22" s="3153">
        <f t="shared" si="51"/>
        <v>94.983747604624568</v>
      </c>
      <c r="AQ22" s="3153">
        <f t="shared" si="52"/>
        <v>93.353842369565911</v>
      </c>
      <c r="AR22" s="3153">
        <f t="shared" si="53"/>
        <v>101.53305300380042</v>
      </c>
    </row>
    <row r="23" spans="1:44" s="2045" customFormat="1" ht="12.75">
      <c r="A23" s="2905" t="s">
        <v>2814</v>
      </c>
      <c r="B23" s="2031">
        <v>2021</v>
      </c>
      <c r="C23" s="2042">
        <v>2</v>
      </c>
      <c r="D23" s="2007">
        <v>0.92</v>
      </c>
      <c r="E23" s="2007">
        <v>0.72</v>
      </c>
      <c r="F23" s="2007">
        <v>0.41</v>
      </c>
      <c r="G23" s="2007">
        <v>0.95</v>
      </c>
      <c r="H23" s="2917">
        <v>1.01</v>
      </c>
      <c r="I23" s="2008">
        <f t="shared" si="87"/>
        <v>0.41</v>
      </c>
      <c r="J23" s="2906"/>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6"/>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6"/>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3">
        <f t="shared" si="30"/>
        <v>100.92000000000002</v>
      </c>
      <c r="AG23" s="3153">
        <f t="shared" si="31"/>
        <v>100.72000000000001</v>
      </c>
      <c r="AH23" s="3153">
        <f t="shared" si="32"/>
        <v>100.41</v>
      </c>
      <c r="AI23" s="3153">
        <f t="shared" si="33"/>
        <v>100.95</v>
      </c>
      <c r="AJ23" s="3153">
        <f t="shared" si="34"/>
        <v>101.01</v>
      </c>
      <c r="AK23" s="3153">
        <f t="shared" si="35"/>
        <v>100.41</v>
      </c>
      <c r="AM23" s="3153">
        <f t="shared" si="48"/>
        <v>95.459324079832498</v>
      </c>
      <c r="AN23" s="3153">
        <f t="shared" si="49"/>
        <v>97.418417990343357</v>
      </c>
      <c r="AO23" s="3153">
        <f t="shared" si="50"/>
        <v>101.28995710674424</v>
      </c>
      <c r="AP23" s="3153">
        <f t="shared" si="51"/>
        <v>94.530003587405034</v>
      </c>
      <c r="AQ23" s="3153">
        <f t="shared" si="52"/>
        <v>92.907884523851436</v>
      </c>
      <c r="AR23" s="3153">
        <f t="shared" si="53"/>
        <v>101.28995710674424</v>
      </c>
    </row>
    <row r="24" spans="1:44" s="2928" customFormat="1" ht="14.25" thickBot="1">
      <c r="A24" s="2918" t="s">
        <v>2815</v>
      </c>
      <c r="B24" s="2919">
        <v>2021</v>
      </c>
      <c r="C24" s="2920">
        <v>1</v>
      </c>
      <c r="D24" s="2921">
        <v>0.97</v>
      </c>
      <c r="E24" s="2921">
        <v>0.16</v>
      </c>
      <c r="F24" s="2921">
        <v>-0.25</v>
      </c>
      <c r="G24" s="2921">
        <v>1.1100000000000001</v>
      </c>
      <c r="H24" s="2922">
        <v>0.36</v>
      </c>
      <c r="I24" s="2923">
        <f t="shared" si="87"/>
        <v>-0.25</v>
      </c>
      <c r="J24" s="2924"/>
      <c r="K24" s="2925">
        <f t="shared" si="88"/>
        <v>9.7000000000000003E-3</v>
      </c>
      <c r="L24" s="2926">
        <f t="shared" si="88"/>
        <v>1.6000000000000001E-3</v>
      </c>
      <c r="M24" s="2926">
        <f>F24/100</f>
        <v>-2.5000000000000001E-3</v>
      </c>
      <c r="N24" s="2926">
        <f t="shared" si="88"/>
        <v>1.11E-2</v>
      </c>
      <c r="O24" s="2926">
        <f t="shared" si="88"/>
        <v>3.5999999999999999E-3</v>
      </c>
      <c r="P24" s="2926">
        <f t="shared" si="108"/>
        <v>-2.5000000000000001E-3</v>
      </c>
      <c r="Q24" s="2924"/>
      <c r="R24" s="2927">
        <v>1</v>
      </c>
      <c r="S24" s="2927">
        <v>1</v>
      </c>
      <c r="T24" s="2927">
        <v>1</v>
      </c>
      <c r="U24" s="2927">
        <v>1</v>
      </c>
      <c r="V24" s="2927">
        <v>1</v>
      </c>
      <c r="W24" s="2927">
        <f t="shared" ref="W24" si="114">T24</f>
        <v>1</v>
      </c>
      <c r="X24" s="2924"/>
      <c r="Y24" s="2926">
        <f>IF(D24=0,0,ROUND(AVERAGE(D24:D24)/100,4))</f>
        <v>9.7000000000000003E-3</v>
      </c>
      <c r="Z24" s="2926">
        <f>IF(E24=0,0,ROUND(AVERAGE(E24:E24)/100,4))</f>
        <v>1.6000000000000001E-3</v>
      </c>
      <c r="AA24" s="2926">
        <f>IF(F24=0,0,ROUND(AVERAGE(F24:F24)/100,4))</f>
        <v>-2.5000000000000001E-3</v>
      </c>
      <c r="AB24" s="2926">
        <f>IF(G24=0,0,ROUND(AVERAGE(G24:G24)/100,4))</f>
        <v>1.11E-2</v>
      </c>
      <c r="AC24" s="2926">
        <f>IF(H24=0,0,ROUND(AVERAGE(H24:H24)/100,4))</f>
        <v>3.5999999999999999E-3</v>
      </c>
      <c r="AD24" s="2926">
        <f>AA24</f>
        <v>-2.5000000000000001E-3</v>
      </c>
      <c r="AF24" s="3161">
        <v>100</v>
      </c>
      <c r="AG24" s="3161">
        <v>100</v>
      </c>
      <c r="AH24" s="3161">
        <v>100</v>
      </c>
      <c r="AI24" s="3161">
        <v>100</v>
      </c>
      <c r="AJ24" s="3161">
        <v>100</v>
      </c>
      <c r="AK24" s="3161">
        <v>100</v>
      </c>
      <c r="AM24" s="3160">
        <f t="shared" si="48"/>
        <v>94.589104320087685</v>
      </c>
      <c r="AN24" s="3160">
        <f t="shared" si="49"/>
        <v>96.722019450301175</v>
      </c>
      <c r="AO24" s="3160">
        <f t="shared" si="50"/>
        <v>100.87636401428567</v>
      </c>
      <c r="AP24" s="3160">
        <f t="shared" si="51"/>
        <v>93.640419601193685</v>
      </c>
      <c r="AQ24" s="3160">
        <f t="shared" si="52"/>
        <v>91.978897657510586</v>
      </c>
      <c r="AR24" s="3160">
        <f t="shared" si="53"/>
        <v>100.87636401428567</v>
      </c>
    </row>
    <row r="25" spans="1:44" ht="14.25" thickTop="1"/>
    <row r="26" spans="1:44">
      <c r="A26" s="3143" t="s">
        <v>3371</v>
      </c>
    </row>
    <row r="27" spans="1:44">
      <c r="I27" s="1405" t="s">
        <v>2816</v>
      </c>
    </row>
    <row r="29" spans="1:44" s="2009" customFormat="1" ht="12.75">
      <c r="B29" s="2929" t="s">
        <v>3369</v>
      </c>
      <c r="C29" s="2930"/>
      <c r="D29" s="2930"/>
      <c r="E29" s="2930"/>
      <c r="F29" s="2930"/>
      <c r="G29" s="2930"/>
      <c r="H29" s="2930"/>
      <c r="I29" s="2930"/>
      <c r="J29" s="2896"/>
      <c r="K29" s="2930" t="s">
        <v>2817</v>
      </c>
      <c r="L29" s="2930"/>
      <c r="M29" s="2930"/>
      <c r="N29" s="2930"/>
      <c r="O29" s="2930"/>
      <c r="P29" s="2930"/>
      <c r="Q29" s="2896"/>
      <c r="R29" s="3536" t="s">
        <v>2818</v>
      </c>
      <c r="S29" s="3537"/>
      <c r="T29" s="3537"/>
      <c r="U29" s="3537"/>
      <c r="V29" s="3537"/>
      <c r="W29" s="3537"/>
      <c r="X29" s="2896"/>
      <c r="Y29" s="3536" t="s">
        <v>2819</v>
      </c>
      <c r="Z29" s="3537"/>
      <c r="AA29" s="3537"/>
      <c r="AB29" s="3537"/>
      <c r="AC29" s="3537"/>
      <c r="AD29" s="3537"/>
    </row>
    <row r="30" spans="1:44" s="2010" customFormat="1" ht="14.25" thickBot="1">
      <c r="B30" s="2881"/>
      <c r="C30" s="2882"/>
      <c r="D30" s="2011" t="s">
        <v>2820</v>
      </c>
      <c r="E30" s="2012" t="s">
        <v>2821</v>
      </c>
      <c r="F30" s="2012" t="s">
        <v>2822</v>
      </c>
      <c r="G30" s="2012" t="s">
        <v>2823</v>
      </c>
      <c r="H30" s="2012"/>
      <c r="I30" s="2012" t="s">
        <v>2824</v>
      </c>
      <c r="J30" s="2883"/>
      <c r="K30" s="2011" t="s">
        <v>2820</v>
      </c>
      <c r="L30" s="2012" t="s">
        <v>2821</v>
      </c>
      <c r="M30" s="2012" t="s">
        <v>2822</v>
      </c>
      <c r="N30" s="2012" t="s">
        <v>2823</v>
      </c>
      <c r="O30" s="2012"/>
      <c r="P30" s="2012" t="s">
        <v>2824</v>
      </c>
      <c r="Q30" s="2883"/>
      <c r="R30" s="2011" t="s">
        <v>2820</v>
      </c>
      <c r="S30" s="2012" t="s">
        <v>2821</v>
      </c>
      <c r="T30" s="2012" t="s">
        <v>2822</v>
      </c>
      <c r="U30" s="2012" t="s">
        <v>2823</v>
      </c>
      <c r="V30" s="2012"/>
      <c r="W30" s="2012" t="s">
        <v>2824</v>
      </c>
      <c r="X30" s="2883"/>
      <c r="Y30" s="2011" t="s">
        <v>2820</v>
      </c>
      <c r="Z30" s="2012" t="s">
        <v>2821</v>
      </c>
      <c r="AA30" s="2012" t="s">
        <v>2822</v>
      </c>
      <c r="AB30" s="2012" t="s">
        <v>2823</v>
      </c>
      <c r="AC30" s="2012"/>
      <c r="AD30" s="2012" t="s">
        <v>2824</v>
      </c>
      <c r="AG30" t="s">
        <v>673</v>
      </c>
      <c r="AH30" t="s">
        <v>21</v>
      </c>
      <c r="AI30" t="s">
        <v>3396</v>
      </c>
      <c r="AJ30"/>
      <c r="AK30" t="s">
        <v>3397</v>
      </c>
      <c r="AN30" t="s">
        <v>673</v>
      </c>
      <c r="AO30" t="s">
        <v>21</v>
      </c>
      <c r="AP30" t="s">
        <v>3396</v>
      </c>
      <c r="AQ30"/>
      <c r="AR30" t="s">
        <v>3397</v>
      </c>
    </row>
    <row r="31" spans="1:44" s="2886" customFormat="1" ht="12.75">
      <c r="A31" s="2884" t="s">
        <v>2825</v>
      </c>
      <c r="B31" s="2885"/>
      <c r="E31" s="2886">
        <f t="shared" ref="E31:G31" si="115">ROUND(AVERAGEIF(E32:E52,"&lt;&gt;0"),2)</f>
        <v>0.11</v>
      </c>
      <c r="F31" s="2886">
        <f t="shared" si="115"/>
        <v>7.0000000000000007E-2</v>
      </c>
      <c r="G31" s="2886">
        <f t="shared" si="115"/>
        <v>0.26</v>
      </c>
      <c r="I31" s="2886">
        <f>F31</f>
        <v>7.0000000000000007E-2</v>
      </c>
      <c r="J31" s="2887"/>
      <c r="K31" s="2888"/>
      <c r="L31" s="2889">
        <f t="shared" ref="L31:N31" si="116">ROUND(AVERAGEIF(L32:L52,"&lt;&gt;0"),4)</f>
        <v>1.1000000000000001E-3</v>
      </c>
      <c r="M31" s="2889">
        <f t="shared" si="116"/>
        <v>6.9999999999999999E-4</v>
      </c>
      <c r="N31" s="2889">
        <f t="shared" si="116"/>
        <v>2.5999999999999999E-3</v>
      </c>
      <c r="O31" s="2889"/>
      <c r="P31" s="2889">
        <f>M31</f>
        <v>6.9999999999999999E-4</v>
      </c>
      <c r="Q31" s="2887"/>
      <c r="R31" s="2890"/>
      <c r="S31" s="2891">
        <f>ROUND(SUMPRODUCT(PRODUCT(1+L32:L52)),4)</f>
        <v>1.0185</v>
      </c>
      <c r="T31" s="2891">
        <f t="shared" ref="T31:U31" si="117">ROUND(SUMPRODUCT(PRODUCT(1+M32:M52)),4)</f>
        <v>1.012</v>
      </c>
      <c r="U31" s="2891">
        <f t="shared" si="117"/>
        <v>1.0436000000000001</v>
      </c>
      <c r="V31" s="2891"/>
      <c r="W31" s="2890">
        <f>T31</f>
        <v>1.012</v>
      </c>
      <c r="X31" s="2887"/>
      <c r="Y31" s="2892"/>
      <c r="Z31" s="2893">
        <f t="shared" ref="Z31:AB31" si="118">ROUND(AVERAGEIF(Z32:Z52,"&lt;&gt;0"),4)</f>
        <v>3.5999999999999999E-3</v>
      </c>
      <c r="AA31" s="2894">
        <f t="shared" si="118"/>
        <v>3.0000000000000001E-3</v>
      </c>
      <c r="AB31" s="2892">
        <f t="shared" si="118"/>
        <v>7.0000000000000001E-3</v>
      </c>
      <c r="AC31" s="2895"/>
      <c r="AD31" s="2892">
        <f>AA31</f>
        <v>3.0000000000000001E-3</v>
      </c>
    </row>
    <row r="32" spans="1:44" s="2009" customFormat="1" ht="12.75">
      <c r="B32" s="2025"/>
      <c r="J32" s="2896"/>
      <c r="K32" s="2897"/>
      <c r="L32" s="2898"/>
      <c r="M32" s="2898"/>
      <c r="N32" s="2898"/>
      <c r="O32" s="2898"/>
      <c r="P32" s="2898"/>
      <c r="Q32" s="2896"/>
      <c r="R32" s="2027"/>
      <c r="S32" s="2899"/>
      <c r="T32" s="2900"/>
      <c r="U32" s="2027"/>
      <c r="V32" s="2901"/>
      <c r="W32" s="2027"/>
      <c r="X32" s="2896"/>
      <c r="Y32" s="2028"/>
      <c r="Z32" s="2902"/>
      <c r="AA32" s="2903"/>
      <c r="AB32" s="2028"/>
      <c r="AC32" s="2904"/>
      <c r="AD32" s="2028"/>
    </row>
    <row r="33" spans="1:44" s="2045" customFormat="1">
      <c r="A33" s="2040" t="s">
        <v>3394</v>
      </c>
      <c r="B33" s="2031">
        <v>2025</v>
      </c>
      <c r="C33" s="2042">
        <v>4</v>
      </c>
      <c r="D33" s="2007"/>
      <c r="E33" s="2007">
        <v>0</v>
      </c>
      <c r="F33" s="2007">
        <v>0</v>
      </c>
      <c r="G33" s="2007">
        <v>0</v>
      </c>
      <c r="H33" s="2007"/>
      <c r="I33" s="2008">
        <f t="shared" ref="I33" si="119">F33</f>
        <v>0</v>
      </c>
      <c r="J33" s="2906"/>
      <c r="K33" s="2043"/>
      <c r="L33" s="2028">
        <f t="shared" ref="L33" si="120">E33/100</f>
        <v>0</v>
      </c>
      <c r="M33" s="2028">
        <f t="shared" ref="M33" si="121">F33/100</f>
        <v>0</v>
      </c>
      <c r="N33" s="2028">
        <f t="shared" ref="N33" si="122">G33/100</f>
        <v>0</v>
      </c>
      <c r="O33" s="2028"/>
      <c r="P33" s="2028">
        <f t="shared" ref="P33:P39" si="123">M33</f>
        <v>0</v>
      </c>
      <c r="Q33" s="2906"/>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6"/>
      <c r="Y33" s="2028"/>
      <c r="Z33" s="2902">
        <f t="shared" ref="Z33" si="125">IF(E33=0,0,ROUND(AVERAGE(E33:E46)/100,4))</f>
        <v>0</v>
      </c>
      <c r="AA33" s="2902">
        <f t="shared" ref="AA33" si="126">IF(F33=0,0,ROUND(AVERAGE(F33:F46)/100,4))</f>
        <v>0</v>
      </c>
      <c r="AB33" s="2902">
        <f t="shared" ref="AB33" si="127">IF(G33=0,0,ROUND(AVERAGE(G33:G46)/100,4))</f>
        <v>0</v>
      </c>
      <c r="AC33" s="2904"/>
      <c r="AD33" s="2028">
        <f t="shared" ref="AD33:AD39" si="128">IF(I33=0,0,ROUND(AVERAGE(I33:I46)/100,4))</f>
        <v>0</v>
      </c>
      <c r="AG33" s="3153">
        <f t="shared" ref="AG33:AG50" si="129">$AG$52*S33</f>
        <v>101.49</v>
      </c>
      <c r="AH33" s="3153">
        <f t="shared" ref="AH33:AH50" si="130">$AG$52*T33</f>
        <v>100.72000000000001</v>
      </c>
      <c r="AI33" s="3153">
        <f t="shared" ref="AI33:AI50" si="131">$AG$52*U33</f>
        <v>103.35000000000001</v>
      </c>
      <c r="AJ33" s="3155"/>
      <c r="AK33" s="3153">
        <f t="shared" ref="AK33:AK50" si="132">$AG$52*W33</f>
        <v>100.72000000000001</v>
      </c>
      <c r="AN33" s="3158">
        <v>100</v>
      </c>
      <c r="AO33" s="3158">
        <v>100</v>
      </c>
      <c r="AP33" s="3158">
        <v>100</v>
      </c>
      <c r="AQ33" s="3158"/>
      <c r="AR33" s="3158">
        <v>100</v>
      </c>
    </row>
    <row r="34" spans="1:44" s="2045" customFormat="1" ht="12.75">
      <c r="A34" s="2040" t="s">
        <v>3393</v>
      </c>
      <c r="B34" s="2031">
        <v>2025</v>
      </c>
      <c r="C34" s="2042">
        <v>3</v>
      </c>
      <c r="D34" s="2007"/>
      <c r="E34" s="2007">
        <v>0</v>
      </c>
      <c r="F34" s="2007">
        <v>0</v>
      </c>
      <c r="G34" s="2007">
        <v>0</v>
      </c>
      <c r="H34" s="2007"/>
      <c r="I34" s="2008">
        <f t="shared" ref="I34" si="133">F34</f>
        <v>0</v>
      </c>
      <c r="J34" s="2906"/>
      <c r="K34" s="2043"/>
      <c r="L34" s="2028">
        <f t="shared" ref="L34" si="134">E34/100</f>
        <v>0</v>
      </c>
      <c r="M34" s="2028">
        <f t="shared" ref="M34" si="135">F34/100</f>
        <v>0</v>
      </c>
      <c r="N34" s="2028">
        <f t="shared" ref="N34" si="136">G34/100</f>
        <v>0</v>
      </c>
      <c r="O34" s="2028"/>
      <c r="P34" s="2028">
        <f t="shared" si="123"/>
        <v>0</v>
      </c>
      <c r="Q34" s="2906"/>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6"/>
      <c r="Y34" s="2028"/>
      <c r="Z34" s="2902">
        <f t="shared" ref="Z34" si="137">IF(E34=0,0,ROUND(AVERAGE(E34:E47)/100,4))</f>
        <v>0</v>
      </c>
      <c r="AA34" s="2902">
        <f t="shared" ref="AA34" si="138">IF(F34=0,0,ROUND(AVERAGE(F34:F47)/100,4))</f>
        <v>0</v>
      </c>
      <c r="AB34" s="2902">
        <f t="shared" ref="AB34" si="139">IF(G34=0,0,ROUND(AVERAGE(G34:G47)/100,4))</f>
        <v>0</v>
      </c>
      <c r="AC34" s="2904"/>
      <c r="AD34" s="2028">
        <f t="shared" si="128"/>
        <v>0</v>
      </c>
      <c r="AG34" s="3153">
        <f t="shared" si="129"/>
        <v>101.49</v>
      </c>
      <c r="AH34" s="3153">
        <f t="shared" si="130"/>
        <v>100.72000000000001</v>
      </c>
      <c r="AI34" s="3153">
        <f t="shared" si="131"/>
        <v>103.35000000000001</v>
      </c>
      <c r="AJ34" s="3155"/>
      <c r="AK34" s="3153">
        <f t="shared" si="132"/>
        <v>100.72000000000001</v>
      </c>
      <c r="AN34" s="3153">
        <f>AN33/(1+E33/100)</f>
        <v>100</v>
      </c>
      <c r="AO34" s="3153">
        <f t="shared" ref="AO34:AR34" si="140">AO33/(1+F33/100)</f>
        <v>100</v>
      </c>
      <c r="AP34" s="3153">
        <f t="shared" si="140"/>
        <v>100</v>
      </c>
      <c r="AQ34" s="3153"/>
      <c r="AR34" s="3153">
        <f t="shared" si="140"/>
        <v>100</v>
      </c>
    </row>
    <row r="35" spans="1:44" s="2916" customFormat="1" ht="12.75">
      <c r="A35" s="2907" t="s">
        <v>3401</v>
      </c>
      <c r="B35" s="2908">
        <v>2025</v>
      </c>
      <c r="C35" s="2909">
        <v>2</v>
      </c>
      <c r="D35" s="2910"/>
      <c r="E35" s="2910">
        <v>0</v>
      </c>
      <c r="F35" s="2910">
        <v>0</v>
      </c>
      <c r="G35" s="2910">
        <v>0</v>
      </c>
      <c r="H35" s="2911"/>
      <c r="I35" s="2912">
        <f t="shared" ref="I35" si="141">F35</f>
        <v>0</v>
      </c>
      <c r="J35" s="2913"/>
      <c r="K35" s="2914"/>
      <c r="L35" s="2915">
        <f t="shared" ref="L35" si="142">E35/100</f>
        <v>0</v>
      </c>
      <c r="M35" s="2915">
        <f t="shared" ref="M35" si="143">F35/100</f>
        <v>0</v>
      </c>
      <c r="N35" s="2915">
        <f t="shared" ref="N35" si="144">G35/100</f>
        <v>0</v>
      </c>
      <c r="O35" s="2915"/>
      <c r="P35" s="2915">
        <f t="shared" si="123"/>
        <v>0</v>
      </c>
      <c r="Q35" s="2913"/>
      <c r="R35" s="2913"/>
      <c r="S35" s="2913">
        <f>ROUND(IF(项目基本情况!$B$8="出让",SUMPRODUCT(PRODUCT(1+L35:L$52)),SUMPRODUCT(PRODUCT(1+L35:L$51))),4)</f>
        <v>1.0148999999999999</v>
      </c>
      <c r="T35" s="2913">
        <f>ROUND(IF(项目基本情况!$B$8="出让",SUMPRODUCT(PRODUCT(1+M35:M$52)),SUMPRODUCT(PRODUCT(1+M35:M$51))),4)</f>
        <v>1.0072000000000001</v>
      </c>
      <c r="U35" s="2913">
        <f>ROUND(IF(项目基本情况!$B$8="出让",SUMPRODUCT(PRODUCT(1+N35:N$52)),SUMPRODUCT(PRODUCT(1+N35:N$51))),4)</f>
        <v>1.0335000000000001</v>
      </c>
      <c r="V35" s="2913"/>
      <c r="W35" s="2913">
        <f t="shared" si="124"/>
        <v>1.0072000000000001</v>
      </c>
      <c r="X35" s="2913"/>
      <c r="Y35" s="2915"/>
      <c r="Z35" s="2931">
        <f t="shared" ref="Z35" si="145">IF(E35=0,0,ROUND(AVERAGE(E35:E48)/100,4))</f>
        <v>0</v>
      </c>
      <c r="AA35" s="2932">
        <f t="shared" ref="AA35" si="146">IF(F35=0,0,ROUND(AVERAGE(F35:F48)/100,4))</f>
        <v>0</v>
      </c>
      <c r="AB35" s="2915">
        <f t="shared" ref="AB35" si="147">IF(G35=0,0,ROUND(AVERAGE(G35:G48)/100,4))</f>
        <v>0</v>
      </c>
      <c r="AC35" s="2933"/>
      <c r="AD35" s="2915">
        <f t="shared" si="128"/>
        <v>0</v>
      </c>
      <c r="AG35" s="3154">
        <f t="shared" si="129"/>
        <v>101.49</v>
      </c>
      <c r="AH35" s="3154">
        <f t="shared" si="130"/>
        <v>100.72000000000001</v>
      </c>
      <c r="AI35" s="3154">
        <f t="shared" si="131"/>
        <v>103.35000000000001</v>
      </c>
      <c r="AJ35" s="3156"/>
      <c r="AK35" s="3154">
        <f t="shared" si="132"/>
        <v>100.72000000000001</v>
      </c>
      <c r="AN35" s="3154">
        <f t="shared" ref="AN35:AN52" si="148">AN34/(1+E34/100)</f>
        <v>100</v>
      </c>
      <c r="AO35" s="3154">
        <f t="shared" ref="AO35" si="149">AO34/(1+F34/100)</f>
        <v>100</v>
      </c>
      <c r="AP35" s="3154">
        <f t="shared" ref="AP35" si="150">AP34/(1+G34/100)</f>
        <v>100</v>
      </c>
      <c r="AQ35" s="3154"/>
      <c r="AR35" s="3154">
        <f t="shared" ref="AR35" si="151">AR34/(1+I34/100)</f>
        <v>100</v>
      </c>
    </row>
    <row r="36" spans="1:44" s="2045" customFormat="1" ht="12.75">
      <c r="A36" s="2040" t="s">
        <v>3398</v>
      </c>
      <c r="B36" s="2031">
        <v>2025</v>
      </c>
      <c r="C36" s="2042">
        <v>1</v>
      </c>
      <c r="D36" s="2007"/>
      <c r="E36" s="2007">
        <v>-1.47</v>
      </c>
      <c r="F36" s="2007">
        <v>-0.98</v>
      </c>
      <c r="G36" s="2007">
        <v>-0.51</v>
      </c>
      <c r="H36" s="2007"/>
      <c r="I36" s="2008">
        <f t="shared" ref="I36" si="152">F36</f>
        <v>-0.98</v>
      </c>
      <c r="J36" s="2906"/>
      <c r="K36" s="2043"/>
      <c r="L36" s="2028">
        <f t="shared" ref="L36" si="153">E36/100</f>
        <v>-1.47E-2</v>
      </c>
      <c r="M36" s="2028">
        <f t="shared" ref="M36" si="154">F36/100</f>
        <v>-9.7999999999999997E-3</v>
      </c>
      <c r="N36" s="2028">
        <f t="shared" ref="N36" si="155">G36/100</f>
        <v>-5.1000000000000004E-3</v>
      </c>
      <c r="O36" s="2028"/>
      <c r="P36" s="2028">
        <f t="shared" si="123"/>
        <v>-9.7999999999999997E-3</v>
      </c>
      <c r="Q36" s="2906"/>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6"/>
      <c r="Y36" s="2028"/>
      <c r="Z36" s="2902">
        <f t="shared" ref="Z36" si="156">IF(E36=0,0,ROUND(AVERAGE(E36:E49)/100,4))</f>
        <v>4.0000000000000002E-4</v>
      </c>
      <c r="AA36" s="2902">
        <f t="shared" ref="AA36" si="157">IF(F36=0,0,ROUND(AVERAGE(F36:F49)/100,4))</f>
        <v>0</v>
      </c>
      <c r="AB36" s="2902">
        <f t="shared" ref="AB36" si="158">IF(G36=0,0,ROUND(AVERAGE(G36:G49)/100,4))</f>
        <v>1E-3</v>
      </c>
      <c r="AC36" s="2904"/>
      <c r="AD36" s="2028">
        <f t="shared" si="128"/>
        <v>0</v>
      </c>
      <c r="AG36" s="3153">
        <f t="shared" si="129"/>
        <v>101.49</v>
      </c>
      <c r="AH36" s="3153">
        <f t="shared" si="130"/>
        <v>100.72000000000001</v>
      </c>
      <c r="AI36" s="3153">
        <f t="shared" si="131"/>
        <v>103.35000000000001</v>
      </c>
      <c r="AJ36" s="3155"/>
      <c r="AK36" s="3153">
        <f t="shared" si="132"/>
        <v>100.72000000000001</v>
      </c>
      <c r="AN36" s="3153">
        <f t="shared" si="148"/>
        <v>100</v>
      </c>
      <c r="AO36" s="3153">
        <f t="shared" ref="AO36:AO52" si="159">AO35/(1+F35/100)</f>
        <v>100</v>
      </c>
      <c r="AP36" s="3153">
        <f t="shared" ref="AP36:AP52" si="160">AP35/(1+G35/100)</f>
        <v>100</v>
      </c>
      <c r="AQ36" s="3153"/>
      <c r="AR36" s="3153">
        <f t="shared" ref="AR36:AR52" si="161">AR35/(1+I35/100)</f>
        <v>100</v>
      </c>
    </row>
    <row r="37" spans="1:44" s="2045" customFormat="1" ht="12.75">
      <c r="A37" s="2040" t="s">
        <v>3399</v>
      </c>
      <c r="B37" s="2031">
        <v>2024</v>
      </c>
      <c r="C37" s="2042">
        <v>4</v>
      </c>
      <c r="D37" s="2007"/>
      <c r="E37" s="2007">
        <v>-0.61</v>
      </c>
      <c r="F37" s="2007">
        <v>-0.71</v>
      </c>
      <c r="G37" s="2007">
        <v>-0.88</v>
      </c>
      <c r="H37" s="2007"/>
      <c r="I37" s="2008">
        <f t="shared" ref="I37" si="162">F37</f>
        <v>-0.71</v>
      </c>
      <c r="J37" s="2906"/>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6"/>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6"/>
      <c r="Y37" s="2028"/>
      <c r="Z37" s="2902">
        <f t="shared" ref="Z37" si="166">IF(E37=0,0,ROUND(AVERAGE(E37:E50)/100,4))</f>
        <v>1.6999999999999999E-3</v>
      </c>
      <c r="AA37" s="2902">
        <f t="shared" ref="AA37" si="167">IF(F37=0,0,ROUND(AVERAGE(F37:F50)/100,4))</f>
        <v>8.9999999999999998E-4</v>
      </c>
      <c r="AB37" s="2902">
        <f t="shared" ref="AB37" si="168">IF(G37=0,0,ROUND(AVERAGE(G37:G50)/100,4))</f>
        <v>2E-3</v>
      </c>
      <c r="AC37" s="2904"/>
      <c r="AD37" s="2028">
        <f t="shared" si="128"/>
        <v>8.9999999999999998E-4</v>
      </c>
      <c r="AG37" s="3153">
        <f t="shared" si="129"/>
        <v>103.01</v>
      </c>
      <c r="AH37" s="3153">
        <f t="shared" si="130"/>
        <v>101.71</v>
      </c>
      <c r="AI37" s="3153">
        <f t="shared" si="131"/>
        <v>103.88</v>
      </c>
      <c r="AJ37" s="3155"/>
      <c r="AK37" s="3153">
        <f t="shared" si="132"/>
        <v>101.71</v>
      </c>
      <c r="AN37" s="3153">
        <f t="shared" si="148"/>
        <v>101.49193139145439</v>
      </c>
      <c r="AO37" s="3153">
        <f t="shared" si="159"/>
        <v>100.98969905069683</v>
      </c>
      <c r="AP37" s="3153">
        <f t="shared" si="160"/>
        <v>100.51261433309881</v>
      </c>
      <c r="AQ37" s="3153"/>
      <c r="AR37" s="3153">
        <f t="shared" si="161"/>
        <v>100.98969905069683</v>
      </c>
    </row>
    <row r="38" spans="1:44" s="2045" customFormat="1" ht="12.75">
      <c r="A38" s="2040" t="s">
        <v>3363</v>
      </c>
      <c r="B38" s="2031">
        <v>2024</v>
      </c>
      <c r="C38" s="2042">
        <v>3</v>
      </c>
      <c r="D38" s="2007"/>
      <c r="E38" s="2007">
        <v>-0.66</v>
      </c>
      <c r="F38" s="2007">
        <v>-0.52</v>
      </c>
      <c r="G38" s="2007">
        <v>-2.87</v>
      </c>
      <c r="H38" s="2007"/>
      <c r="I38" s="2008">
        <f t="shared" ref="I38" si="169">F38</f>
        <v>-0.52</v>
      </c>
      <c r="J38" s="2906"/>
      <c r="K38" s="2043"/>
      <c r="L38" s="2028">
        <f t="shared" ref="L38" si="170">E38/100</f>
        <v>-6.6E-3</v>
      </c>
      <c r="M38" s="2028">
        <f t="shared" ref="M38" si="171">F38/100</f>
        <v>-5.1999999999999998E-3</v>
      </c>
      <c r="N38" s="2028">
        <f t="shared" ref="N38" si="172">G38/100</f>
        <v>-2.87E-2</v>
      </c>
      <c r="O38" s="2028"/>
      <c r="P38" s="2028">
        <f t="shared" si="123"/>
        <v>-5.1999999999999998E-3</v>
      </c>
      <c r="Q38" s="2906"/>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6"/>
      <c r="Y38" s="2028"/>
      <c r="Z38" s="2902">
        <f t="shared" ref="Z38:AB39" si="173">IF(E38=0,0,ROUND(AVERAGE(E38:E51)/100,4))</f>
        <v>2.5999999999999999E-3</v>
      </c>
      <c r="AA38" s="2902">
        <f t="shared" si="173"/>
        <v>1.6999999999999999E-3</v>
      </c>
      <c r="AB38" s="2902">
        <f t="shared" si="173"/>
        <v>3.3999999999999998E-3</v>
      </c>
      <c r="AC38" s="2904"/>
      <c r="AD38" s="2028">
        <f t="shared" si="128"/>
        <v>1.6999999999999999E-3</v>
      </c>
      <c r="AG38" s="3153">
        <f t="shared" si="129"/>
        <v>103.64</v>
      </c>
      <c r="AH38" s="3153">
        <f t="shared" si="130"/>
        <v>102.44</v>
      </c>
      <c r="AI38" s="3153">
        <f t="shared" si="131"/>
        <v>104.80000000000001</v>
      </c>
      <c r="AJ38" s="3155"/>
      <c r="AK38" s="3153">
        <f t="shared" si="132"/>
        <v>102.44</v>
      </c>
      <c r="AN38" s="3153">
        <f t="shared" si="148"/>
        <v>102.11483186583598</v>
      </c>
      <c r="AO38" s="3153">
        <f t="shared" si="159"/>
        <v>101.71185320847701</v>
      </c>
      <c r="AP38" s="3153">
        <f t="shared" si="160"/>
        <v>101.4049781407373</v>
      </c>
      <c r="AQ38" s="3153"/>
      <c r="AR38" s="3153">
        <f t="shared" si="161"/>
        <v>101.71185320847701</v>
      </c>
    </row>
    <row r="39" spans="1:44" s="2045" customFormat="1" ht="12.75">
      <c r="A39" s="2905" t="s">
        <v>3367</v>
      </c>
      <c r="B39" s="2031">
        <v>2024</v>
      </c>
      <c r="C39" s="2042">
        <v>2</v>
      </c>
      <c r="D39" s="2007"/>
      <c r="E39" s="2007">
        <v>-0.31</v>
      </c>
      <c r="F39" s="2007">
        <v>-0.39</v>
      </c>
      <c r="G39" s="2007">
        <v>1.23</v>
      </c>
      <c r="H39" s="2917"/>
      <c r="I39" s="2008">
        <f t="shared" ref="I39:I52" si="174">F39</f>
        <v>-0.39</v>
      </c>
      <c r="J39" s="2906"/>
      <c r="K39" s="2043"/>
      <c r="L39" s="2028">
        <f t="shared" ref="L39:N52" si="175">E39/100</f>
        <v>-3.0999999999999999E-3</v>
      </c>
      <c r="M39" s="2028">
        <f t="shared" si="175"/>
        <v>-3.9000000000000003E-3</v>
      </c>
      <c r="N39" s="2028">
        <f t="shared" si="175"/>
        <v>1.23E-2</v>
      </c>
      <c r="O39" s="2028"/>
      <c r="P39" s="2028">
        <f t="shared" si="123"/>
        <v>-3.9000000000000003E-3</v>
      </c>
      <c r="Q39" s="2906"/>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6"/>
      <c r="Y39" s="2028"/>
      <c r="Z39" s="2902">
        <f t="shared" si="173"/>
        <v>3.3E-3</v>
      </c>
      <c r="AA39" s="2903">
        <f t="shared" si="173"/>
        <v>2.3999999999999998E-3</v>
      </c>
      <c r="AB39" s="2028">
        <f t="shared" si="173"/>
        <v>6.1999999999999998E-3</v>
      </c>
      <c r="AC39" s="2904"/>
      <c r="AD39" s="2028">
        <f t="shared" si="128"/>
        <v>2.3999999999999998E-3</v>
      </c>
      <c r="AG39" s="3153">
        <f t="shared" si="129"/>
        <v>104.32999999999998</v>
      </c>
      <c r="AH39" s="3153">
        <f t="shared" si="130"/>
        <v>102.98</v>
      </c>
      <c r="AI39" s="3153">
        <f t="shared" si="131"/>
        <v>107.89999999999999</v>
      </c>
      <c r="AJ39" s="3155"/>
      <c r="AK39" s="3153">
        <f t="shared" si="132"/>
        <v>102.98</v>
      </c>
      <c r="AN39" s="3153">
        <f t="shared" si="148"/>
        <v>102.79326743087979</v>
      </c>
      <c r="AO39" s="3153">
        <f t="shared" si="159"/>
        <v>102.24351950992863</v>
      </c>
      <c r="AP39" s="3153">
        <f t="shared" si="160"/>
        <v>104.40129531631555</v>
      </c>
      <c r="AQ39" s="3153"/>
      <c r="AR39" s="3153">
        <f t="shared" si="161"/>
        <v>102.24351950992863</v>
      </c>
    </row>
    <row r="40" spans="1:44" s="2045" customFormat="1" ht="12.75">
      <c r="A40" s="2905" t="s">
        <v>3364</v>
      </c>
      <c r="B40" s="2031">
        <v>2024</v>
      </c>
      <c r="C40" s="2042">
        <v>1</v>
      </c>
      <c r="D40" s="2007"/>
      <c r="E40" s="2007">
        <v>0.25</v>
      </c>
      <c r="F40" s="2007">
        <v>0.4</v>
      </c>
      <c r="G40" s="2007">
        <v>-0.63</v>
      </c>
      <c r="H40" s="2917"/>
      <c r="I40" s="2008">
        <f t="shared" ref="I40:I41" si="176">F40</f>
        <v>0.4</v>
      </c>
      <c r="J40" s="2906"/>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6"/>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6"/>
      <c r="Y40" s="2028"/>
      <c r="Z40" s="2902"/>
      <c r="AA40" s="2903"/>
      <c r="AB40" s="2028"/>
      <c r="AC40" s="2904"/>
      <c r="AD40" s="2028"/>
      <c r="AG40" s="3153">
        <f t="shared" si="129"/>
        <v>104.65</v>
      </c>
      <c r="AH40" s="3153">
        <f t="shared" si="130"/>
        <v>103.38000000000001</v>
      </c>
      <c r="AI40" s="3153">
        <f t="shared" si="131"/>
        <v>106.59</v>
      </c>
      <c r="AJ40" s="3155"/>
      <c r="AK40" s="3153">
        <f t="shared" si="132"/>
        <v>103.38000000000001</v>
      </c>
      <c r="AN40" s="3153">
        <f t="shared" si="148"/>
        <v>103.11291747505246</v>
      </c>
      <c r="AO40" s="3153">
        <f t="shared" si="159"/>
        <v>102.64383044867849</v>
      </c>
      <c r="AP40" s="3153">
        <f t="shared" si="160"/>
        <v>103.13276233953923</v>
      </c>
      <c r="AQ40" s="3153"/>
      <c r="AR40" s="3153">
        <f t="shared" si="161"/>
        <v>102.64383044867849</v>
      </c>
    </row>
    <row r="41" spans="1:44" s="2045" customFormat="1" ht="12.75">
      <c r="A41" s="2905" t="s">
        <v>3362</v>
      </c>
      <c r="B41" s="2031">
        <v>2023</v>
      </c>
      <c r="C41" s="2042">
        <v>4</v>
      </c>
      <c r="D41" s="2007"/>
      <c r="E41" s="2007">
        <v>7.0000000000000007E-2</v>
      </c>
      <c r="F41" s="2007">
        <v>0.09</v>
      </c>
      <c r="G41" s="2007">
        <v>0.03</v>
      </c>
      <c r="H41" s="2917"/>
      <c r="I41" s="2008">
        <f t="shared" si="176"/>
        <v>0.09</v>
      </c>
      <c r="J41" s="2906"/>
      <c r="K41" s="2043"/>
      <c r="L41" s="2028">
        <f t="shared" si="175"/>
        <v>7.000000000000001E-4</v>
      </c>
      <c r="M41" s="2028">
        <f t="shared" si="175"/>
        <v>8.9999999999999998E-4</v>
      </c>
      <c r="N41" s="2028">
        <f t="shared" si="175"/>
        <v>2.9999999999999997E-4</v>
      </c>
      <c r="O41" s="2028"/>
      <c r="P41" s="2028">
        <f t="shared" ref="P41" si="182">M41</f>
        <v>8.9999999999999998E-4</v>
      </c>
      <c r="Q41" s="2906"/>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6"/>
      <c r="Y41" s="2028"/>
      <c r="Z41" s="2902"/>
      <c r="AA41" s="2903"/>
      <c r="AB41" s="2028"/>
      <c r="AC41" s="2904"/>
      <c r="AD41" s="2028"/>
      <c r="AG41" s="3153">
        <f t="shared" si="129"/>
        <v>104.39</v>
      </c>
      <c r="AH41" s="3153">
        <f t="shared" si="130"/>
        <v>102.97</v>
      </c>
      <c r="AI41" s="3153">
        <f t="shared" si="131"/>
        <v>107.27</v>
      </c>
      <c r="AJ41" s="3155"/>
      <c r="AK41" s="3153">
        <f t="shared" si="132"/>
        <v>102.97</v>
      </c>
      <c r="AN41" s="3153">
        <f t="shared" si="148"/>
        <v>102.85577802997751</v>
      </c>
      <c r="AO41" s="3153">
        <f t="shared" si="159"/>
        <v>102.23489088513793</v>
      </c>
      <c r="AP41" s="3153">
        <f t="shared" si="160"/>
        <v>103.78661803314806</v>
      </c>
      <c r="AQ41" s="3153"/>
      <c r="AR41" s="3153">
        <f t="shared" si="161"/>
        <v>102.23489088513793</v>
      </c>
    </row>
    <row r="42" spans="1:44" s="2045" customFormat="1" ht="12.75">
      <c r="A42" s="2905" t="s">
        <v>3360</v>
      </c>
      <c r="B42" s="2031">
        <v>2023</v>
      </c>
      <c r="C42" s="2042">
        <v>3</v>
      </c>
      <c r="D42" s="2007"/>
      <c r="E42" s="2007">
        <v>0.35</v>
      </c>
      <c r="F42" s="2007">
        <v>0.17</v>
      </c>
      <c r="G42" s="2007">
        <v>0.52</v>
      </c>
      <c r="H42" s="2917"/>
      <c r="I42" s="2008">
        <f t="shared" si="174"/>
        <v>0.17</v>
      </c>
      <c r="J42" s="2906"/>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6"/>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6"/>
      <c r="Y42" s="2028"/>
      <c r="Z42" s="2902"/>
      <c r="AA42" s="2903"/>
      <c r="AB42" s="2028"/>
      <c r="AC42" s="2904"/>
      <c r="AD42" s="2028"/>
      <c r="AG42" s="3153">
        <f t="shared" si="129"/>
        <v>104.32</v>
      </c>
      <c r="AH42" s="3153">
        <f t="shared" si="130"/>
        <v>102.86999999999999</v>
      </c>
      <c r="AI42" s="3153">
        <f t="shared" si="131"/>
        <v>107.23</v>
      </c>
      <c r="AJ42" s="3155"/>
      <c r="AK42" s="3153">
        <f t="shared" si="132"/>
        <v>102.86999999999999</v>
      </c>
      <c r="AN42" s="3153">
        <f t="shared" si="148"/>
        <v>102.78382934943292</v>
      </c>
      <c r="AO42" s="3153">
        <f t="shared" si="159"/>
        <v>102.14296221914071</v>
      </c>
      <c r="AP42" s="3153">
        <f t="shared" si="160"/>
        <v>103.75549138573234</v>
      </c>
      <c r="AQ42" s="3153"/>
      <c r="AR42" s="3153">
        <f t="shared" si="161"/>
        <v>102.14296221914071</v>
      </c>
    </row>
    <row r="43" spans="1:44" s="2045" customFormat="1" ht="12.75">
      <c r="A43" s="2905" t="s">
        <v>3359</v>
      </c>
      <c r="B43" s="2031">
        <v>2023</v>
      </c>
      <c r="C43" s="2042">
        <v>2</v>
      </c>
      <c r="D43" s="2007"/>
      <c r="E43" s="2007">
        <v>0.5</v>
      </c>
      <c r="F43" s="2007">
        <v>0.45</v>
      </c>
      <c r="G43" s="2007">
        <v>0.89</v>
      </c>
      <c r="H43" s="2917"/>
      <c r="I43" s="2008">
        <f t="shared" si="174"/>
        <v>0.45</v>
      </c>
      <c r="J43" s="2906"/>
      <c r="K43" s="2043"/>
      <c r="L43" s="2028">
        <f t="shared" si="184"/>
        <v>5.0000000000000001E-3</v>
      </c>
      <c r="M43" s="2028">
        <f t="shared" si="185"/>
        <v>4.5000000000000005E-3</v>
      </c>
      <c r="N43" s="2028">
        <f t="shared" si="186"/>
        <v>8.8999999999999999E-3</v>
      </c>
      <c r="O43" s="2028"/>
      <c r="P43" s="2028">
        <f t="shared" si="187"/>
        <v>4.5000000000000005E-3</v>
      </c>
      <c r="Q43" s="2906"/>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6"/>
      <c r="Y43" s="2028"/>
      <c r="Z43" s="2902"/>
      <c r="AA43" s="2903"/>
      <c r="AB43" s="2028"/>
      <c r="AC43" s="2904"/>
      <c r="AD43" s="2028"/>
      <c r="AG43" s="3153">
        <f t="shared" si="129"/>
        <v>103.96000000000001</v>
      </c>
      <c r="AH43" s="3153">
        <f t="shared" si="130"/>
        <v>102.69999999999999</v>
      </c>
      <c r="AI43" s="3153">
        <f t="shared" si="131"/>
        <v>106.67999999999999</v>
      </c>
      <c r="AJ43" s="3155"/>
      <c r="AK43" s="3153">
        <f t="shared" si="132"/>
        <v>102.69999999999999</v>
      </c>
      <c r="AN43" s="3153">
        <f t="shared" si="148"/>
        <v>102.42534065713295</v>
      </c>
      <c r="AO43" s="3153">
        <f t="shared" si="159"/>
        <v>101.96961387555227</v>
      </c>
      <c r="AP43" s="3153">
        <f t="shared" si="160"/>
        <v>103.21875386563104</v>
      </c>
      <c r="AQ43" s="3153"/>
      <c r="AR43" s="3153">
        <f t="shared" si="161"/>
        <v>101.96961387555227</v>
      </c>
    </row>
    <row r="44" spans="1:44" s="2045" customFormat="1" ht="12.75">
      <c r="A44" s="2905" t="s">
        <v>3357</v>
      </c>
      <c r="B44" s="2031">
        <v>2023</v>
      </c>
      <c r="C44" s="2042">
        <v>1</v>
      </c>
      <c r="D44" s="2007"/>
      <c r="E44" s="2007">
        <v>0.55000000000000004</v>
      </c>
      <c r="F44" s="2007">
        <v>0.59</v>
      </c>
      <c r="G44" s="2007">
        <v>0.64</v>
      </c>
      <c r="H44" s="2917"/>
      <c r="I44" s="2008">
        <f t="shared" si="174"/>
        <v>0.59</v>
      </c>
      <c r="J44" s="2906"/>
      <c r="K44" s="2043"/>
      <c r="L44" s="2028">
        <f t="shared" si="184"/>
        <v>5.5000000000000005E-3</v>
      </c>
      <c r="M44" s="2028">
        <f t="shared" si="185"/>
        <v>5.8999999999999999E-3</v>
      </c>
      <c r="N44" s="2028">
        <f t="shared" si="186"/>
        <v>6.4000000000000003E-3</v>
      </c>
      <c r="O44" s="2028"/>
      <c r="P44" s="2028">
        <f t="shared" si="187"/>
        <v>5.8999999999999999E-3</v>
      </c>
      <c r="Q44" s="2906"/>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6"/>
      <c r="Y44" s="2028"/>
      <c r="Z44" s="2902"/>
      <c r="AA44" s="2903"/>
      <c r="AB44" s="2028"/>
      <c r="AC44" s="2904"/>
      <c r="AD44" s="2028"/>
      <c r="AG44" s="3153">
        <f t="shared" si="129"/>
        <v>103.44</v>
      </c>
      <c r="AH44" s="3153">
        <f t="shared" si="130"/>
        <v>102.24</v>
      </c>
      <c r="AI44" s="3153">
        <f t="shared" si="131"/>
        <v>105.74</v>
      </c>
      <c r="AJ44" s="3155"/>
      <c r="AK44" s="3153">
        <f t="shared" si="132"/>
        <v>102.24</v>
      </c>
      <c r="AN44" s="3153">
        <f t="shared" si="148"/>
        <v>101.91576184789349</v>
      </c>
      <c r="AO44" s="3153">
        <f t="shared" si="159"/>
        <v>101.5128062474388</v>
      </c>
      <c r="AP44" s="3153">
        <f t="shared" si="160"/>
        <v>102.30821078960358</v>
      </c>
      <c r="AQ44" s="3153"/>
      <c r="AR44" s="3153">
        <f t="shared" si="161"/>
        <v>101.5128062474388</v>
      </c>
    </row>
    <row r="45" spans="1:44" s="2045" customFormat="1" ht="12.75">
      <c r="A45" s="2905" t="s">
        <v>3356</v>
      </c>
      <c r="B45" s="2031">
        <v>2022</v>
      </c>
      <c r="C45" s="2042">
        <v>4</v>
      </c>
      <c r="D45" s="2007"/>
      <c r="E45" s="2007">
        <v>0.45</v>
      </c>
      <c r="F45" s="2007">
        <v>0.2</v>
      </c>
      <c r="G45" s="2007">
        <v>0.38</v>
      </c>
      <c r="H45" s="2917"/>
      <c r="I45" s="2008">
        <f t="shared" si="174"/>
        <v>0.2</v>
      </c>
      <c r="J45" s="2906"/>
      <c r="K45" s="2043"/>
      <c r="L45" s="2028">
        <f t="shared" si="175"/>
        <v>4.5000000000000005E-3</v>
      </c>
      <c r="M45" s="2028">
        <f t="shared" si="175"/>
        <v>2E-3</v>
      </c>
      <c r="N45" s="2028">
        <f t="shared" si="175"/>
        <v>3.8E-3</v>
      </c>
      <c r="O45" s="2028"/>
      <c r="P45" s="2028">
        <f t="shared" ref="P45:P52" si="189">M45</f>
        <v>2E-3</v>
      </c>
      <c r="Q45" s="2906"/>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6"/>
      <c r="Y45" s="2028"/>
      <c r="Z45" s="2902">
        <f t="shared" ref="Z45:AD52" si="191">IF(E45=0,0,ROUND(AVERAGE(E45:E53)/100,4))</f>
        <v>4.0000000000000001E-3</v>
      </c>
      <c r="AA45" s="2903">
        <f t="shared" si="191"/>
        <v>2.5999999999999999E-3</v>
      </c>
      <c r="AB45" s="2028">
        <f t="shared" si="191"/>
        <v>7.4000000000000003E-3</v>
      </c>
      <c r="AC45" s="2904"/>
      <c r="AD45" s="2028">
        <f t="shared" si="191"/>
        <v>2.5999999999999999E-3</v>
      </c>
      <c r="AG45" s="3153">
        <f t="shared" si="129"/>
        <v>102.86999999999999</v>
      </c>
      <c r="AH45" s="3153">
        <f t="shared" si="130"/>
        <v>101.64</v>
      </c>
      <c r="AI45" s="3153">
        <f t="shared" si="131"/>
        <v>105.06</v>
      </c>
      <c r="AJ45" s="3155"/>
      <c r="AK45" s="3153">
        <f t="shared" si="132"/>
        <v>101.64</v>
      </c>
      <c r="AN45" s="3153">
        <f t="shared" si="148"/>
        <v>101.35829124604027</v>
      </c>
      <c r="AO45" s="3153">
        <f t="shared" si="159"/>
        <v>100.91739362505101</v>
      </c>
      <c r="AP45" s="3153">
        <f t="shared" si="160"/>
        <v>101.6576021359336</v>
      </c>
      <c r="AQ45" s="3153"/>
      <c r="AR45" s="3153">
        <f t="shared" si="161"/>
        <v>100.91739362505101</v>
      </c>
    </row>
    <row r="46" spans="1:44" s="2045" customFormat="1" ht="12.75">
      <c r="A46" s="2905" t="s">
        <v>3355</v>
      </c>
      <c r="B46" s="2031">
        <v>2022</v>
      </c>
      <c r="C46" s="2042">
        <v>3</v>
      </c>
      <c r="D46" s="2007"/>
      <c r="E46" s="2007">
        <v>0.3</v>
      </c>
      <c r="F46" s="2007">
        <v>0.28999999999999998</v>
      </c>
      <c r="G46" s="2007">
        <v>0.83</v>
      </c>
      <c r="H46" s="2917"/>
      <c r="I46" s="2008">
        <f t="shared" si="174"/>
        <v>0.28999999999999998</v>
      </c>
      <c r="J46" s="2906"/>
      <c r="K46" s="2043"/>
      <c r="L46" s="2028">
        <f t="shared" si="175"/>
        <v>3.0000000000000001E-3</v>
      </c>
      <c r="M46" s="2028">
        <f t="shared" si="175"/>
        <v>2.8999999999999998E-3</v>
      </c>
      <c r="N46" s="2028">
        <f t="shared" si="175"/>
        <v>8.3000000000000001E-3</v>
      </c>
      <c r="O46" s="2028"/>
      <c r="P46" s="2028">
        <f t="shared" si="189"/>
        <v>2.8999999999999998E-3</v>
      </c>
      <c r="Q46" s="2906"/>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6"/>
      <c r="Y46" s="2028"/>
      <c r="Z46" s="2902">
        <f t="shared" si="191"/>
        <v>3.8999999999999998E-3</v>
      </c>
      <c r="AA46" s="2903">
        <f t="shared" si="191"/>
        <v>2.7000000000000001E-3</v>
      </c>
      <c r="AB46" s="2028">
        <f t="shared" si="191"/>
        <v>7.9000000000000008E-3</v>
      </c>
      <c r="AC46" s="2904"/>
      <c r="AD46" s="2028">
        <f t="shared" si="191"/>
        <v>2.7000000000000001E-3</v>
      </c>
      <c r="AG46" s="3153">
        <f t="shared" si="129"/>
        <v>102.41</v>
      </c>
      <c r="AH46" s="3153">
        <f t="shared" si="130"/>
        <v>101.44</v>
      </c>
      <c r="AI46" s="3153">
        <f t="shared" si="131"/>
        <v>104.67</v>
      </c>
      <c r="AJ46" s="3155"/>
      <c r="AK46" s="3153">
        <f t="shared" si="132"/>
        <v>101.44</v>
      </c>
      <c r="AN46" s="3153">
        <f t="shared" si="148"/>
        <v>100.90422224593357</v>
      </c>
      <c r="AO46" s="3153">
        <f t="shared" si="159"/>
        <v>100.71596170164771</v>
      </c>
      <c r="AP46" s="3153">
        <f t="shared" si="160"/>
        <v>101.2727656265527</v>
      </c>
      <c r="AQ46" s="3153"/>
      <c r="AR46" s="3153">
        <f t="shared" si="161"/>
        <v>100.71596170164771</v>
      </c>
    </row>
    <row r="47" spans="1:44" s="2045" customFormat="1" ht="12.75">
      <c r="A47" s="2905" t="s">
        <v>3345</v>
      </c>
      <c r="B47" s="2031">
        <v>2022</v>
      </c>
      <c r="C47" s="2042">
        <v>2</v>
      </c>
      <c r="D47" s="2007"/>
      <c r="E47" s="2007">
        <v>-0.11</v>
      </c>
      <c r="F47" s="2007">
        <v>-0.13</v>
      </c>
      <c r="G47" s="2007">
        <v>0.53</v>
      </c>
      <c r="H47" s="2917"/>
      <c r="I47" s="2008">
        <f t="shared" si="174"/>
        <v>-0.13</v>
      </c>
      <c r="J47" s="2906"/>
      <c r="K47" s="2043"/>
      <c r="L47" s="2028">
        <f t="shared" si="175"/>
        <v>-1.1000000000000001E-3</v>
      </c>
      <c r="M47" s="2028">
        <f t="shared" si="175"/>
        <v>-1.2999999999999999E-3</v>
      </c>
      <c r="N47" s="2028">
        <f t="shared" si="175"/>
        <v>5.3E-3</v>
      </c>
      <c r="O47" s="2028"/>
      <c r="P47" s="2028">
        <f t="shared" si="189"/>
        <v>-1.2999999999999999E-3</v>
      </c>
      <c r="Q47" s="2906"/>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6"/>
      <c r="Y47" s="2028"/>
      <c r="Z47" s="2902">
        <f t="shared" si="191"/>
        <v>4.1000000000000003E-3</v>
      </c>
      <c r="AA47" s="2903">
        <f t="shared" si="191"/>
        <v>2.7000000000000001E-3</v>
      </c>
      <c r="AB47" s="2028">
        <f t="shared" si="191"/>
        <v>7.9000000000000008E-3</v>
      </c>
      <c r="AC47" s="2904"/>
      <c r="AD47" s="2028">
        <f t="shared" si="191"/>
        <v>2.7000000000000001E-3</v>
      </c>
      <c r="AG47" s="3153">
        <f t="shared" si="129"/>
        <v>102.10999999999999</v>
      </c>
      <c r="AH47" s="3153">
        <f t="shared" si="130"/>
        <v>101.14000000000001</v>
      </c>
      <c r="AI47" s="3153">
        <f t="shared" si="131"/>
        <v>103.81</v>
      </c>
      <c r="AJ47" s="3155"/>
      <c r="AK47" s="3153">
        <f t="shared" si="132"/>
        <v>101.14000000000001</v>
      </c>
      <c r="AN47" s="3153">
        <f t="shared" si="148"/>
        <v>100.60241500093079</v>
      </c>
      <c r="AO47" s="3153">
        <f t="shared" si="159"/>
        <v>100.42472998469212</v>
      </c>
      <c r="AP47" s="3153">
        <f t="shared" si="160"/>
        <v>100.43912092289268</v>
      </c>
      <c r="AQ47" s="3153"/>
      <c r="AR47" s="3153">
        <f t="shared" si="161"/>
        <v>100.42472998469212</v>
      </c>
    </row>
    <row r="48" spans="1:44" s="2045" customFormat="1" ht="12.75">
      <c r="A48" s="2905" t="s">
        <v>2826</v>
      </c>
      <c r="B48" s="2031">
        <v>2022</v>
      </c>
      <c r="C48" s="2042">
        <v>1</v>
      </c>
      <c r="D48" s="2007"/>
      <c r="E48" s="2007">
        <v>0.6</v>
      </c>
      <c r="F48" s="2007">
        <v>0.45</v>
      </c>
      <c r="G48" s="2007">
        <v>0.53</v>
      </c>
      <c r="H48" s="2917"/>
      <c r="I48" s="2008">
        <f t="shared" si="174"/>
        <v>0.45</v>
      </c>
      <c r="J48" s="2906"/>
      <c r="K48" s="2043"/>
      <c r="L48" s="2028">
        <f t="shared" si="175"/>
        <v>6.0000000000000001E-3</v>
      </c>
      <c r="M48" s="2028">
        <f t="shared" si="175"/>
        <v>4.5000000000000005E-3</v>
      </c>
      <c r="N48" s="2028">
        <f t="shared" si="175"/>
        <v>5.3E-3</v>
      </c>
      <c r="O48" s="2028"/>
      <c r="P48" s="2028">
        <f t="shared" si="189"/>
        <v>4.5000000000000005E-3</v>
      </c>
      <c r="Q48" s="2906"/>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6"/>
      <c r="Y48" s="2028"/>
      <c r="Z48" s="2902">
        <f t="shared" si="191"/>
        <v>5.1000000000000004E-3</v>
      </c>
      <c r="AA48" s="2903">
        <f t="shared" si="191"/>
        <v>3.5000000000000001E-3</v>
      </c>
      <c r="AB48" s="2028">
        <f t="shared" si="191"/>
        <v>8.3999999999999995E-3</v>
      </c>
      <c r="AC48" s="2904"/>
      <c r="AD48" s="2028">
        <f t="shared" si="191"/>
        <v>3.5000000000000001E-3</v>
      </c>
      <c r="AG48" s="3153">
        <f t="shared" si="129"/>
        <v>102.22</v>
      </c>
      <c r="AH48" s="3153">
        <f t="shared" si="130"/>
        <v>101.27999999999999</v>
      </c>
      <c r="AI48" s="3153">
        <f t="shared" si="131"/>
        <v>103.25999999999999</v>
      </c>
      <c r="AJ48" s="3155"/>
      <c r="AK48" s="3153">
        <f t="shared" si="132"/>
        <v>101.27999999999999</v>
      </c>
      <c r="AN48" s="3153">
        <f t="shared" si="148"/>
        <v>100.71319952040324</v>
      </c>
      <c r="AO48" s="3153">
        <f t="shared" si="159"/>
        <v>100.55545207238622</v>
      </c>
      <c r="AP48" s="3153">
        <f t="shared" si="160"/>
        <v>99.90960004266654</v>
      </c>
      <c r="AQ48" s="3153"/>
      <c r="AR48" s="3153">
        <f t="shared" si="161"/>
        <v>100.55545207238622</v>
      </c>
    </row>
    <row r="49" spans="1:44" s="2045" customFormat="1" ht="12.75">
      <c r="A49" s="2905" t="s">
        <v>2827</v>
      </c>
      <c r="B49" s="2031">
        <v>2021</v>
      </c>
      <c r="C49" s="2042">
        <v>4</v>
      </c>
      <c r="D49" s="2007"/>
      <c r="E49" s="2007">
        <v>0.57999999999999996</v>
      </c>
      <c r="F49" s="2007">
        <v>0.08</v>
      </c>
      <c r="G49" s="2007">
        <v>0.68</v>
      </c>
      <c r="H49" s="2917"/>
      <c r="I49" s="2008">
        <f t="shared" si="174"/>
        <v>0.08</v>
      </c>
      <c r="J49" s="2906"/>
      <c r="K49" s="2043"/>
      <c r="L49" s="2028">
        <f t="shared" si="175"/>
        <v>5.7999999999999996E-3</v>
      </c>
      <c r="M49" s="2028">
        <f t="shared" si="175"/>
        <v>8.0000000000000004E-4</v>
      </c>
      <c r="N49" s="2028">
        <f t="shared" si="175"/>
        <v>6.8000000000000005E-3</v>
      </c>
      <c r="O49" s="2028"/>
      <c r="P49" s="2028">
        <f t="shared" si="189"/>
        <v>8.0000000000000004E-4</v>
      </c>
      <c r="Q49" s="2906"/>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6"/>
      <c r="Y49" s="2028"/>
      <c r="Z49" s="2902">
        <f t="shared" si="191"/>
        <v>4.8999999999999998E-3</v>
      </c>
      <c r="AA49" s="2903">
        <f t="shared" si="191"/>
        <v>3.3E-3</v>
      </c>
      <c r="AB49" s="2028">
        <f t="shared" si="191"/>
        <v>9.1999999999999998E-3</v>
      </c>
      <c r="AC49" s="2904"/>
      <c r="AD49" s="2028">
        <f t="shared" si="191"/>
        <v>3.3E-3</v>
      </c>
      <c r="AG49" s="3153">
        <f t="shared" si="129"/>
        <v>101.61</v>
      </c>
      <c r="AH49" s="3153">
        <f t="shared" si="130"/>
        <v>100.82</v>
      </c>
      <c r="AI49" s="3153">
        <f t="shared" si="131"/>
        <v>102.71</v>
      </c>
      <c r="AJ49" s="3155"/>
      <c r="AK49" s="3153">
        <f t="shared" si="132"/>
        <v>100.82</v>
      </c>
      <c r="AN49" s="3153">
        <f t="shared" si="148"/>
        <v>100.11252437415828</v>
      </c>
      <c r="AO49" s="3153">
        <f t="shared" si="159"/>
        <v>100.10497966389867</v>
      </c>
      <c r="AP49" s="3153">
        <f t="shared" si="160"/>
        <v>99.382870827281934</v>
      </c>
      <c r="AQ49" s="3153"/>
      <c r="AR49" s="3153">
        <f t="shared" si="161"/>
        <v>100.10497966389867</v>
      </c>
    </row>
    <row r="50" spans="1:44" s="2045" customFormat="1" ht="12.75">
      <c r="A50" s="2905" t="s">
        <v>2828</v>
      </c>
      <c r="B50" s="2031">
        <v>2021</v>
      </c>
      <c r="C50" s="2042">
        <v>3</v>
      </c>
      <c r="D50" s="2007"/>
      <c r="E50" s="2007">
        <v>0.47</v>
      </c>
      <c r="F50" s="2007">
        <v>0.28000000000000003</v>
      </c>
      <c r="G50" s="2007">
        <v>0.91</v>
      </c>
      <c r="H50" s="2917"/>
      <c r="I50" s="2008">
        <f t="shared" si="174"/>
        <v>0.28000000000000003</v>
      </c>
      <c r="J50" s="2906"/>
      <c r="K50" s="2043"/>
      <c r="L50" s="2028">
        <f t="shared" si="175"/>
        <v>4.6999999999999993E-3</v>
      </c>
      <c r="M50" s="2028">
        <f t="shared" si="175"/>
        <v>2.8000000000000004E-3</v>
      </c>
      <c r="N50" s="2028">
        <f t="shared" si="175"/>
        <v>9.1000000000000004E-3</v>
      </c>
      <c r="O50" s="2028"/>
      <c r="P50" s="2028">
        <f t="shared" si="189"/>
        <v>2.8000000000000004E-3</v>
      </c>
      <c r="Q50" s="2906"/>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6"/>
      <c r="Y50" s="2028"/>
      <c r="Z50" s="2902">
        <f t="shared" si="191"/>
        <v>4.5999999999999999E-3</v>
      </c>
      <c r="AA50" s="2903">
        <f t="shared" si="191"/>
        <v>4.1000000000000003E-3</v>
      </c>
      <c r="AB50" s="2028">
        <f t="shared" si="191"/>
        <v>0.01</v>
      </c>
      <c r="AC50" s="2904"/>
      <c r="AD50" s="2028">
        <f t="shared" si="191"/>
        <v>4.1000000000000003E-3</v>
      </c>
      <c r="AG50" s="3153">
        <f t="shared" si="129"/>
        <v>101.02</v>
      </c>
      <c r="AH50" s="3153">
        <f t="shared" si="130"/>
        <v>100.74000000000001</v>
      </c>
      <c r="AI50" s="3153">
        <f t="shared" si="131"/>
        <v>102.02</v>
      </c>
      <c r="AJ50" s="3155"/>
      <c r="AK50" s="3153">
        <f t="shared" si="132"/>
        <v>100.74000000000001</v>
      </c>
      <c r="AN50" s="3153">
        <f t="shared" si="148"/>
        <v>99.535220097592244</v>
      </c>
      <c r="AO50" s="3153">
        <f t="shared" si="159"/>
        <v>100.02495969614176</v>
      </c>
      <c r="AP50" s="3153">
        <f t="shared" si="160"/>
        <v>98.711631731507694</v>
      </c>
      <c r="AQ50" s="3153"/>
      <c r="AR50" s="3153">
        <f t="shared" si="161"/>
        <v>100.02495969614176</v>
      </c>
    </row>
    <row r="51" spans="1:44" s="2045" customFormat="1" ht="12.75">
      <c r="A51" s="2905" t="s">
        <v>2829</v>
      </c>
      <c r="B51" s="2031">
        <v>2021</v>
      </c>
      <c r="C51" s="2042">
        <v>2</v>
      </c>
      <c r="D51" s="2007"/>
      <c r="E51" s="2007">
        <v>0.55000000000000004</v>
      </c>
      <c r="F51" s="2007">
        <v>0.46</v>
      </c>
      <c r="G51" s="2007">
        <v>1.1000000000000001</v>
      </c>
      <c r="H51" s="2917"/>
      <c r="I51" s="2008">
        <f t="shared" si="174"/>
        <v>0.46</v>
      </c>
      <c r="J51" s="2906"/>
      <c r="K51" s="2043"/>
      <c r="L51" s="2028">
        <f t="shared" si="175"/>
        <v>5.5000000000000005E-3</v>
      </c>
      <c r="M51" s="2028">
        <f t="shared" si="175"/>
        <v>4.5999999999999999E-3</v>
      </c>
      <c r="N51" s="2028">
        <f t="shared" si="175"/>
        <v>1.1000000000000001E-2</v>
      </c>
      <c r="O51" s="2028"/>
      <c r="P51" s="2028">
        <f t="shared" si="189"/>
        <v>4.5999999999999999E-3</v>
      </c>
      <c r="Q51" s="2906"/>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6"/>
      <c r="Y51" s="2028"/>
      <c r="Z51" s="2902">
        <f t="shared" si="191"/>
        <v>4.4999999999999997E-3</v>
      </c>
      <c r="AA51" s="2903">
        <f t="shared" si="191"/>
        <v>4.7000000000000002E-3</v>
      </c>
      <c r="AB51" s="2028">
        <f t="shared" si="191"/>
        <v>1.04E-2</v>
      </c>
      <c r="AC51" s="2904"/>
      <c r="AD51" s="2028">
        <f t="shared" si="191"/>
        <v>4.7000000000000002E-3</v>
      </c>
      <c r="AG51" s="3153">
        <f>$AG$52*S51</f>
        <v>100.55000000000001</v>
      </c>
      <c r="AH51" s="3153">
        <f t="shared" ref="AH51:AK51" si="192">$AG$52*T51</f>
        <v>100.46</v>
      </c>
      <c r="AI51" s="3153">
        <f t="shared" si="192"/>
        <v>101.1</v>
      </c>
      <c r="AJ51" s="3155"/>
      <c r="AK51" s="3153">
        <f t="shared" si="192"/>
        <v>100.46</v>
      </c>
      <c r="AN51" s="3153">
        <f t="shared" si="148"/>
        <v>99.069593010443171</v>
      </c>
      <c r="AO51" s="3153">
        <f t="shared" si="159"/>
        <v>99.745671815059609</v>
      </c>
      <c r="AP51" s="3153">
        <f t="shared" si="160"/>
        <v>97.821456477561867</v>
      </c>
      <c r="AQ51" s="3153"/>
      <c r="AR51" s="3153">
        <f t="shared" si="161"/>
        <v>99.745671815059609</v>
      </c>
    </row>
    <row r="52" spans="1:44" s="2928" customFormat="1" ht="14.25" thickBot="1">
      <c r="A52" s="2918" t="s">
        <v>2815</v>
      </c>
      <c r="B52" s="2919">
        <v>2021</v>
      </c>
      <c r="C52" s="2920">
        <v>1</v>
      </c>
      <c r="D52" s="2921"/>
      <c r="E52" s="2921">
        <v>0.35</v>
      </c>
      <c r="F52" s="2921">
        <v>0.48</v>
      </c>
      <c r="G52" s="2921">
        <v>0.98</v>
      </c>
      <c r="H52" s="2922"/>
      <c r="I52" s="2923">
        <f t="shared" si="174"/>
        <v>0.48</v>
      </c>
      <c r="J52" s="2924"/>
      <c r="K52" s="2925"/>
      <c r="L52" s="2926">
        <f t="shared" si="175"/>
        <v>3.4999999999999996E-3</v>
      </c>
      <c r="M52" s="2926">
        <f>F52/100</f>
        <v>4.7999999999999996E-3</v>
      </c>
      <c r="N52" s="2926">
        <f t="shared" si="175"/>
        <v>9.7999999999999997E-3</v>
      </c>
      <c r="O52" s="2926"/>
      <c r="P52" s="2926">
        <f t="shared" si="189"/>
        <v>4.7999999999999996E-3</v>
      </c>
      <c r="Q52" s="2924"/>
      <c r="R52" s="2927"/>
      <c r="S52" s="2927">
        <v>1</v>
      </c>
      <c r="T52" s="2927">
        <v>1</v>
      </c>
      <c r="U52" s="2927">
        <v>1</v>
      </c>
      <c r="V52" s="2927"/>
      <c r="W52" s="2927">
        <f t="shared" si="190"/>
        <v>1</v>
      </c>
      <c r="X52" s="2924"/>
      <c r="Y52" s="2926"/>
      <c r="Z52" s="2934">
        <f t="shared" si="191"/>
        <v>3.5000000000000001E-3</v>
      </c>
      <c r="AA52" s="2935">
        <f t="shared" si="191"/>
        <v>4.7999999999999996E-3</v>
      </c>
      <c r="AB52" s="2926">
        <f t="shared" si="191"/>
        <v>9.7999999999999997E-3</v>
      </c>
      <c r="AC52" s="2936"/>
      <c r="AD52" s="2926">
        <f t="shared" si="191"/>
        <v>4.7999999999999996E-3</v>
      </c>
      <c r="AG52" s="3157">
        <v>100</v>
      </c>
      <c r="AH52" s="3157">
        <v>100</v>
      </c>
      <c r="AI52" s="3157">
        <v>100</v>
      </c>
      <c r="AJ52" s="3157"/>
      <c r="AK52" s="3157">
        <v>100</v>
      </c>
      <c r="AN52" s="3160">
        <f t="shared" si="148"/>
        <v>98.527690711529758</v>
      </c>
      <c r="AO52" s="3160">
        <f t="shared" si="159"/>
        <v>99.288942678737428</v>
      </c>
      <c r="AP52" s="3160">
        <f t="shared" si="160"/>
        <v>96.757128068805017</v>
      </c>
      <c r="AQ52" s="3160"/>
      <c r="AR52" s="3160">
        <f t="shared" si="161"/>
        <v>99.288942678737428</v>
      </c>
    </row>
    <row r="53" spans="1:44" ht="14.25" thickTop="1"/>
    <row r="54" spans="1:44">
      <c r="A54" s="3143" t="s">
        <v>3370</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A36" sqref="A36:XFD36"/>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41" t="s">
        <v>452</v>
      </c>
      <c r="C1" s="3541"/>
      <c r="D1" s="3541"/>
      <c r="E1" s="3541"/>
      <c r="F1" s="3541"/>
      <c r="G1" s="3537" t="s">
        <v>453</v>
      </c>
      <c r="H1" s="3537"/>
      <c r="I1" s="3537"/>
      <c r="J1" s="3537"/>
      <c r="K1" s="3537"/>
      <c r="L1" s="3537"/>
      <c r="N1" s="3537" t="s">
        <v>454</v>
      </c>
      <c r="O1" s="3537"/>
      <c r="P1" s="3537"/>
      <c r="Q1" s="3537"/>
      <c r="S1" s="3537" t="s">
        <v>455</v>
      </c>
      <c r="T1" s="3537"/>
      <c r="U1" s="3537"/>
      <c r="V1" s="3537"/>
      <c r="X1" s="3536" t="s">
        <v>456</v>
      </c>
      <c r="Y1" s="3537"/>
      <c r="Z1" s="3537"/>
      <c r="AA1" s="3537"/>
      <c r="AB1" s="3537"/>
      <c r="AD1" s="3536" t="s">
        <v>457</v>
      </c>
      <c r="AE1" s="3537"/>
      <c r="AF1" s="3537"/>
      <c r="AG1" s="3537"/>
      <c r="AH1" s="3537"/>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3353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2427</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2304</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2303</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2302</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2299</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2298</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39">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39"/>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39"/>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46"/>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42">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39"/>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39"/>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46"/>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42">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39"/>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39"/>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40"/>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38">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39"/>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39"/>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40"/>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38">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39"/>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39"/>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40"/>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43">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44"/>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44"/>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45"/>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38">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39"/>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39"/>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40"/>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38">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39">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39">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40">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38">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39">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39">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40">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38">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39">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39">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40">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38">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39">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39">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40">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38">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39">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39">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40">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38">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39">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39">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40">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38">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39">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39">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40">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38">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39">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39">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40">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38">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39">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39">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40">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38">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39">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39">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40">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A36" sqref="A36:XFD36"/>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549" t="s">
        <v>2830</v>
      </c>
      <c r="B1" s="3549"/>
      <c r="C1" s="3549"/>
      <c r="D1" s="3549"/>
      <c r="E1" s="3549"/>
      <c r="F1" s="3549"/>
      <c r="G1" s="3550"/>
      <c r="I1" s="2938" t="s">
        <v>2831</v>
      </c>
      <c r="J1" s="2939" t="s">
        <v>2832</v>
      </c>
      <c r="K1" s="2939" t="s">
        <v>2833</v>
      </c>
      <c r="L1" s="2939" t="s">
        <v>2834</v>
      </c>
      <c r="M1" s="2939" t="s">
        <v>2835</v>
      </c>
      <c r="N1" s="2939" t="s">
        <v>2836</v>
      </c>
      <c r="O1" s="2939" t="s">
        <v>2837</v>
      </c>
      <c r="P1" s="2939" t="s">
        <v>2838</v>
      </c>
      <c r="Q1" s="2939" t="s">
        <v>2839</v>
      </c>
      <c r="R1" s="2939" t="s">
        <v>2840</v>
      </c>
      <c r="S1" s="2939" t="s">
        <v>2841</v>
      </c>
      <c r="T1" s="2940" t="s">
        <v>2842</v>
      </c>
    </row>
    <row r="2" spans="1:20" ht="12" thickBot="1">
      <c r="A2" s="2941" t="s">
        <v>2843</v>
      </c>
      <c r="B2" s="2941"/>
      <c r="C2" s="2941"/>
      <c r="D2" s="2941"/>
      <c r="E2" s="2941"/>
      <c r="F2" s="2941"/>
      <c r="G2" s="2942" t="s">
        <v>2844</v>
      </c>
      <c r="I2" s="2943" t="s">
        <v>2845</v>
      </c>
      <c r="J2" s="2943" t="s">
        <v>2846</v>
      </c>
      <c r="K2" s="2943" t="s">
        <v>2847</v>
      </c>
      <c r="L2" s="2943" t="s">
        <v>2848</v>
      </c>
      <c r="M2" s="2943" t="s">
        <v>2849</v>
      </c>
      <c r="N2" s="2943" t="s">
        <v>2850</v>
      </c>
      <c r="O2" s="2943" t="s">
        <v>2851</v>
      </c>
      <c r="P2" s="2943" t="s">
        <v>2852</v>
      </c>
      <c r="Q2" s="2943" t="s">
        <v>2853</v>
      </c>
      <c r="R2" s="2943" t="s">
        <v>2854</v>
      </c>
      <c r="S2" s="2943" t="s">
        <v>2855</v>
      </c>
      <c r="T2" s="2943" t="s">
        <v>2856</v>
      </c>
    </row>
    <row r="3" spans="1:20" s="2949" customFormat="1">
      <c r="A3" s="3547" t="s">
        <v>2857</v>
      </c>
      <c r="B3" s="2944"/>
      <c r="C3" s="2945" t="s">
        <v>2802</v>
      </c>
      <c r="D3" s="2945" t="s">
        <v>2858</v>
      </c>
      <c r="E3" s="2945" t="s">
        <v>2804</v>
      </c>
      <c r="F3" s="2945" t="s">
        <v>2859</v>
      </c>
      <c r="G3" s="2945" t="s">
        <v>2622</v>
      </c>
      <c r="H3" s="2946"/>
      <c r="I3" s="2947" t="s">
        <v>2860</v>
      </c>
      <c r="J3" s="2948" t="s">
        <v>128</v>
      </c>
      <c r="K3" s="2948" t="s">
        <v>129</v>
      </c>
      <c r="L3" s="2947" t="s">
        <v>130</v>
      </c>
      <c r="M3" s="2947" t="s">
        <v>131</v>
      </c>
      <c r="N3" s="2947" t="s">
        <v>132</v>
      </c>
      <c r="O3" s="2947" t="s">
        <v>133</v>
      </c>
      <c r="P3" s="2947" t="s">
        <v>134</v>
      </c>
      <c r="Q3" s="2947" t="s">
        <v>135</v>
      </c>
      <c r="R3" s="2947" t="s">
        <v>136</v>
      </c>
      <c r="S3" s="2947" t="s">
        <v>2861</v>
      </c>
      <c r="T3" s="2947" t="s">
        <v>2862</v>
      </c>
    </row>
    <row r="4" spans="1:20" s="2949" customFormat="1" ht="12" thickBot="1">
      <c r="A4" s="3548"/>
      <c r="B4" s="2950" t="s">
        <v>2863</v>
      </c>
      <c r="C4" s="2950" t="s">
        <v>2864</v>
      </c>
      <c r="D4" s="2950" t="s">
        <v>2864</v>
      </c>
      <c r="E4" s="2950" t="s">
        <v>2864</v>
      </c>
      <c r="F4" s="2951" t="s">
        <v>2864</v>
      </c>
      <c r="G4" s="2951" t="s">
        <v>2864</v>
      </c>
      <c r="H4" s="2946"/>
      <c r="I4" s="2948" t="s">
        <v>137</v>
      </c>
      <c r="J4" s="2948" t="s">
        <v>111</v>
      </c>
      <c r="K4" s="2948" t="s">
        <v>138</v>
      </c>
      <c r="L4" s="2947" t="s">
        <v>139</v>
      </c>
      <c r="M4" s="2947" t="s">
        <v>140</v>
      </c>
      <c r="N4" s="2947" t="s">
        <v>141</v>
      </c>
      <c r="O4" s="2947" t="s">
        <v>142</v>
      </c>
      <c r="P4" s="2947" t="s">
        <v>143</v>
      </c>
      <c r="Q4" s="2947" t="s">
        <v>2865</v>
      </c>
      <c r="R4" s="2947" t="s">
        <v>2866</v>
      </c>
      <c r="S4" s="2947" t="s">
        <v>2867</v>
      </c>
      <c r="T4" s="2947" t="s">
        <v>2868</v>
      </c>
    </row>
    <row r="5" spans="1:20">
      <c r="A5" s="2952" t="s">
        <v>2831</v>
      </c>
      <c r="B5" s="2943" t="s">
        <v>2845</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2869</v>
      </c>
      <c r="R5" s="2947" t="s">
        <v>2870</v>
      </c>
      <c r="S5" s="2947" t="s">
        <v>153</v>
      </c>
      <c r="T5" s="2947" t="s">
        <v>2871</v>
      </c>
    </row>
    <row r="6" spans="1:20" ht="12" thickBot="1">
      <c r="A6" s="2947" t="s">
        <v>144</v>
      </c>
      <c r="B6" s="2947" t="s">
        <v>2860</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2872</v>
      </c>
      <c r="Q6" s="2947" t="s">
        <v>2873</v>
      </c>
      <c r="R6" s="2947" t="s">
        <v>161</v>
      </c>
      <c r="S6" s="2947" t="s">
        <v>2874</v>
      </c>
      <c r="T6" s="2947" t="s">
        <v>2875</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2876</v>
      </c>
      <c r="Q7" s="2947" t="s">
        <v>2877</v>
      </c>
      <c r="R7" s="2947" t="s">
        <v>2878</v>
      </c>
      <c r="S7" s="2947" t="s">
        <v>2879</v>
      </c>
      <c r="T7" s="2947" t="s">
        <v>2880</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2881</v>
      </c>
      <c r="Q8" s="2947" t="s">
        <v>174</v>
      </c>
      <c r="R8" s="2947" t="s">
        <v>2882</v>
      </c>
      <c r="S8" s="2947" t="s">
        <v>2883</v>
      </c>
      <c r="T8" s="2954" t="s">
        <v>2884</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2885</v>
      </c>
      <c r="Q9" s="2947" t="s">
        <v>182</v>
      </c>
      <c r="R9" s="2947" t="s">
        <v>183</v>
      </c>
      <c r="S9" s="2947" t="s">
        <v>200</v>
      </c>
    </row>
    <row r="10" spans="1:20">
      <c r="A10" s="2952" t="s">
        <v>184</v>
      </c>
      <c r="B10" s="2943" t="s">
        <v>2846</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2886</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2887</v>
      </c>
      <c r="P11" s="2947" t="s">
        <v>191</v>
      </c>
      <c r="Q11" s="2947" t="s">
        <v>199</v>
      </c>
      <c r="R11" s="2947" t="s">
        <v>2888</v>
      </c>
      <c r="S11" s="2947" t="s">
        <v>2889</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2890</v>
      </c>
      <c r="P12" s="2947" t="s">
        <v>2891</v>
      </c>
      <c r="Q12" s="2947" t="s">
        <v>2892</v>
      </c>
      <c r="R12" s="2947" t="s">
        <v>2893</v>
      </c>
      <c r="S12" s="2947" t="s">
        <v>2894</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2895</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2896</v>
      </c>
      <c r="K14" s="2948" t="s">
        <v>215</v>
      </c>
      <c r="L14" s="2947" t="s">
        <v>216</v>
      </c>
      <c r="M14" s="2947" t="s">
        <v>217</v>
      </c>
      <c r="N14" s="2947" t="s">
        <v>218</v>
      </c>
      <c r="O14" s="2947" t="s">
        <v>240</v>
      </c>
      <c r="P14" s="2947" t="s">
        <v>213</v>
      </c>
      <c r="Q14" s="2947" t="s">
        <v>2897</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2898</v>
      </c>
      <c r="P15" s="2947" t="s">
        <v>2899</v>
      </c>
      <c r="Q15" s="2947" t="s">
        <v>242</v>
      </c>
      <c r="R15" s="2947" t="s">
        <v>2900</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2901</v>
      </c>
      <c r="P16" s="2947" t="s">
        <v>227</v>
      </c>
      <c r="Q16" s="2947" t="s">
        <v>250</v>
      </c>
      <c r="R16" s="2947" t="s">
        <v>207</v>
      </c>
      <c r="S16" s="2947" t="s">
        <v>2902</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2903</v>
      </c>
      <c r="P17" s="2947" t="s">
        <v>2904</v>
      </c>
      <c r="Q17" s="2947" t="s">
        <v>256</v>
      </c>
      <c r="R17" s="2947" t="s">
        <v>2905</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2906</v>
      </c>
      <c r="P18" s="2947" t="s">
        <v>241</v>
      </c>
      <c r="Q18" s="2947" t="s">
        <v>2907</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2908</v>
      </c>
      <c r="P19" s="2947" t="s">
        <v>249</v>
      </c>
      <c r="Q19" s="2947" t="s">
        <v>2909</v>
      </c>
      <c r="R19" s="2947" t="s">
        <v>265</v>
      </c>
      <c r="S19" s="2947" t="s">
        <v>2910</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2911</v>
      </c>
      <c r="P20" s="2947" t="s">
        <v>2912</v>
      </c>
      <c r="Q20" s="2947" t="s">
        <v>290</v>
      </c>
      <c r="R20" s="2947" t="s">
        <v>2913</v>
      </c>
      <c r="S20" s="2947" t="s">
        <v>277</v>
      </c>
    </row>
    <row r="21" spans="1:19" ht="14.25" customHeight="1" thickBot="1">
      <c r="A21" s="2947" t="s">
        <v>184</v>
      </c>
      <c r="B21" s="2948" t="s">
        <v>208</v>
      </c>
      <c r="C21" s="2947">
        <v>32370</v>
      </c>
      <c r="D21" s="2947">
        <v>26730</v>
      </c>
      <c r="E21" s="2947">
        <v>26640</v>
      </c>
      <c r="F21" s="2947"/>
      <c r="G21" s="2947">
        <v>19440</v>
      </c>
      <c r="J21" s="2954" t="s">
        <v>2914</v>
      </c>
      <c r="K21" s="2948" t="s">
        <v>267</v>
      </c>
      <c r="L21" s="2947" t="s">
        <v>268</v>
      </c>
      <c r="M21" s="2947" t="s">
        <v>269</v>
      </c>
      <c r="N21" s="2947" t="s">
        <v>270</v>
      </c>
      <c r="O21" s="2947" t="s">
        <v>264</v>
      </c>
      <c r="P21" s="2947" t="s">
        <v>283</v>
      </c>
      <c r="Q21" s="2947" t="s">
        <v>293</v>
      </c>
      <c r="R21" s="2947" t="s">
        <v>2915</v>
      </c>
      <c r="S21" s="2954" t="s">
        <v>2916</v>
      </c>
    </row>
    <row r="22" spans="1:19" ht="14.25" customHeight="1">
      <c r="A22" s="2947" t="s">
        <v>184</v>
      </c>
      <c r="B22" s="2948" t="s">
        <v>2896</v>
      </c>
      <c r="C22" s="2947">
        <v>29830</v>
      </c>
      <c r="D22" s="2947">
        <v>27600</v>
      </c>
      <c r="E22" s="2947">
        <v>28150</v>
      </c>
      <c r="F22" s="2947"/>
      <c r="G22" s="2947">
        <v>20080</v>
      </c>
      <c r="K22" s="2948" t="s">
        <v>2917</v>
      </c>
      <c r="L22" s="2947" t="s">
        <v>272</v>
      </c>
      <c r="M22" s="2947" t="s">
        <v>273</v>
      </c>
      <c r="N22" s="2947" t="s">
        <v>274</v>
      </c>
      <c r="O22" s="2947" t="s">
        <v>2918</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2919</v>
      </c>
      <c r="L23" s="2947" t="s">
        <v>278</v>
      </c>
      <c r="M23" s="2947" t="s">
        <v>279</v>
      </c>
      <c r="N23" s="2947" t="s">
        <v>2920</v>
      </c>
      <c r="O23" s="2947" t="s">
        <v>2921</v>
      </c>
      <c r="P23" s="2947" t="s">
        <v>289</v>
      </c>
      <c r="Q23" s="2947" t="s">
        <v>298</v>
      </c>
      <c r="R23" s="2947" t="s">
        <v>2922</v>
      </c>
    </row>
    <row r="24" spans="1:19" ht="14.25" customHeight="1">
      <c r="A24" s="2947" t="s">
        <v>184</v>
      </c>
      <c r="B24" s="2948" t="s">
        <v>230</v>
      </c>
      <c r="C24" s="2947">
        <v>27930</v>
      </c>
      <c r="D24" s="2947">
        <v>32260</v>
      </c>
      <c r="E24" s="2947">
        <v>32120</v>
      </c>
      <c r="F24" s="2947"/>
      <c r="G24" s="2947">
        <v>23470</v>
      </c>
      <c r="K24" s="2948" t="s">
        <v>2923</v>
      </c>
      <c r="L24" s="2947" t="s">
        <v>281</v>
      </c>
      <c r="M24" s="2947" t="s">
        <v>282</v>
      </c>
      <c r="N24" s="2947" t="s">
        <v>2924</v>
      </c>
      <c r="O24" s="2947" t="s">
        <v>285</v>
      </c>
      <c r="P24" s="2947" t="s">
        <v>2925</v>
      </c>
      <c r="Q24" s="2956" t="s">
        <v>2926</v>
      </c>
      <c r="R24" s="2947" t="s">
        <v>2927</v>
      </c>
    </row>
    <row r="25" spans="1:19" ht="14.25" customHeight="1">
      <c r="A25" s="2947" t="s">
        <v>184</v>
      </c>
      <c r="B25" s="2948" t="s">
        <v>235</v>
      </c>
      <c r="C25" s="2947">
        <v>32230</v>
      </c>
      <c r="D25" s="2947">
        <v>29640</v>
      </c>
      <c r="E25" s="2947">
        <v>29510</v>
      </c>
      <c r="F25" s="2947"/>
      <c r="G25" s="2947">
        <v>21560</v>
      </c>
      <c r="K25" s="2948" t="s">
        <v>2928</v>
      </c>
      <c r="L25" s="2947" t="s">
        <v>2929</v>
      </c>
      <c r="M25" s="2947" t="s">
        <v>284</v>
      </c>
      <c r="N25" s="2947" t="s">
        <v>292</v>
      </c>
      <c r="O25" s="2947" t="s">
        <v>288</v>
      </c>
      <c r="P25" s="2947" t="s">
        <v>275</v>
      </c>
      <c r="Q25" s="2956" t="s">
        <v>271</v>
      </c>
      <c r="R25" s="2947" t="s">
        <v>2930</v>
      </c>
    </row>
    <row r="26" spans="1:19" ht="14.25" customHeight="1" thickBot="1">
      <c r="A26" s="2947" t="s">
        <v>184</v>
      </c>
      <c r="B26" s="2948" t="s">
        <v>244</v>
      </c>
      <c r="C26" s="2947">
        <v>31690</v>
      </c>
      <c r="D26" s="2947">
        <v>27650</v>
      </c>
      <c r="E26" s="2947">
        <v>28200</v>
      </c>
      <c r="F26" s="2947"/>
      <c r="G26" s="2947">
        <v>20110</v>
      </c>
      <c r="K26" s="2953" t="s">
        <v>2931</v>
      </c>
      <c r="L26" s="2947" t="s">
        <v>2932</v>
      </c>
      <c r="M26" s="2947" t="s">
        <v>287</v>
      </c>
      <c r="N26" s="2947" t="s">
        <v>294</v>
      </c>
      <c r="O26" s="2947" t="s">
        <v>2933</v>
      </c>
      <c r="P26" s="2947" t="s">
        <v>2934</v>
      </c>
      <c r="Q26" s="2956" t="s">
        <v>276</v>
      </c>
      <c r="R26" s="2947" t="s">
        <v>2935</v>
      </c>
    </row>
    <row r="27" spans="1:19" ht="14.25" customHeight="1">
      <c r="A27" s="2947" t="s">
        <v>184</v>
      </c>
      <c r="B27" s="2948" t="s">
        <v>251</v>
      </c>
      <c r="C27" s="2947">
        <v>29610</v>
      </c>
      <c r="D27" s="2947">
        <v>27770</v>
      </c>
      <c r="E27" s="2947">
        <v>28300</v>
      </c>
      <c r="F27" s="2947"/>
      <c r="G27" s="2947">
        <v>20210</v>
      </c>
      <c r="L27" s="2947" t="s">
        <v>2936</v>
      </c>
      <c r="M27" s="2947" t="s">
        <v>291</v>
      </c>
      <c r="N27" s="2947" t="s">
        <v>297</v>
      </c>
      <c r="O27" s="2947" t="s">
        <v>2937</v>
      </c>
      <c r="P27" s="2947" t="s">
        <v>2938</v>
      </c>
      <c r="Q27" s="2947" t="s">
        <v>2939</v>
      </c>
      <c r="R27" s="2947" t="s">
        <v>2940</v>
      </c>
    </row>
    <row r="28" spans="1:19" ht="14.25" customHeight="1">
      <c r="A28" s="2947" t="s">
        <v>184</v>
      </c>
      <c r="B28" s="2948" t="s">
        <v>259</v>
      </c>
      <c r="C28" s="2947"/>
      <c r="D28" s="2947">
        <v>31520</v>
      </c>
      <c r="E28" s="2947">
        <v>31410</v>
      </c>
      <c r="F28" s="2947"/>
      <c r="G28" s="2947">
        <v>22940</v>
      </c>
      <c r="L28" s="2947" t="s">
        <v>2941</v>
      </c>
      <c r="M28" s="2947" t="s">
        <v>2942</v>
      </c>
      <c r="N28" s="2947" t="s">
        <v>2943</v>
      </c>
      <c r="O28" s="2947" t="s">
        <v>2944</v>
      </c>
      <c r="P28" s="2947" t="s">
        <v>2945</v>
      </c>
      <c r="Q28" s="2947" t="s">
        <v>2946</v>
      </c>
      <c r="R28" s="2947" t="s">
        <v>2947</v>
      </c>
    </row>
    <row r="29" spans="1:19" ht="14.25" customHeight="1" thickBot="1">
      <c r="A29" s="2955" t="s">
        <v>184</v>
      </c>
      <c r="B29" s="2957" t="s">
        <v>2914</v>
      </c>
      <c r="C29" s="2958"/>
      <c r="D29" s="2958">
        <v>29460</v>
      </c>
      <c r="E29" s="2958">
        <v>28640</v>
      </c>
      <c r="F29" s="2958"/>
      <c r="G29" s="2958">
        <v>21430</v>
      </c>
      <c r="L29" s="2947" t="s">
        <v>2948</v>
      </c>
      <c r="M29" s="2947" t="s">
        <v>2949</v>
      </c>
      <c r="N29" s="2947" t="s">
        <v>2950</v>
      </c>
      <c r="O29" s="2947" t="s">
        <v>2951</v>
      </c>
      <c r="P29" s="2947" t="s">
        <v>2952</v>
      </c>
      <c r="Q29" s="2947" t="s">
        <v>2953</v>
      </c>
      <c r="R29" s="2947" t="s">
        <v>280</v>
      </c>
    </row>
    <row r="30" spans="1:19" ht="14.25" customHeight="1">
      <c r="A30" s="2952" t="s">
        <v>296</v>
      </c>
      <c r="B30" s="2943" t="s">
        <v>2847</v>
      </c>
      <c r="C30" s="2943">
        <v>26890</v>
      </c>
      <c r="D30" s="2943">
        <v>26770</v>
      </c>
      <c r="E30" s="2943">
        <v>25700</v>
      </c>
      <c r="F30" s="2943">
        <v>8180</v>
      </c>
      <c r="G30" s="2959">
        <v>18740</v>
      </c>
      <c r="L30" s="2947" t="s">
        <v>2954</v>
      </c>
      <c r="M30" s="2947" t="s">
        <v>2955</v>
      </c>
      <c r="N30" s="2947" t="s">
        <v>2956</v>
      </c>
      <c r="O30" s="2947" t="s">
        <v>2957</v>
      </c>
      <c r="P30" s="2947" t="s">
        <v>2958</v>
      </c>
      <c r="Q30" s="2947" t="s">
        <v>2959</v>
      </c>
      <c r="R30" s="2947" t="s">
        <v>2960</v>
      </c>
    </row>
    <row r="31" spans="1:19" ht="14.25" customHeight="1">
      <c r="A31" s="2947" t="s">
        <v>296</v>
      </c>
      <c r="B31" s="2948" t="s">
        <v>129</v>
      </c>
      <c r="C31" s="2947">
        <v>24550</v>
      </c>
      <c r="D31" s="2947">
        <v>23990</v>
      </c>
      <c r="E31" s="2947">
        <v>22930</v>
      </c>
      <c r="F31" s="2947">
        <v>7470</v>
      </c>
      <c r="G31" s="2960">
        <v>16790</v>
      </c>
      <c r="L31" s="2947" t="s">
        <v>2961</v>
      </c>
      <c r="M31" s="2947" t="s">
        <v>2962</v>
      </c>
      <c r="N31" s="2947" t="s">
        <v>2963</v>
      </c>
      <c r="O31" s="2947" t="s">
        <v>2964</v>
      </c>
      <c r="P31" s="2947" t="s">
        <v>2965</v>
      </c>
      <c r="Q31" s="2947" t="s">
        <v>2966</v>
      </c>
      <c r="R31" s="2947" t="s">
        <v>2967</v>
      </c>
    </row>
    <row r="32" spans="1:19" ht="14.25" customHeight="1" thickBot="1">
      <c r="A32" s="2947" t="s">
        <v>296</v>
      </c>
      <c r="B32" s="2948" t="s">
        <v>138</v>
      </c>
      <c r="C32" s="2947">
        <v>27210</v>
      </c>
      <c r="D32" s="2947">
        <v>23240</v>
      </c>
      <c r="E32" s="2947">
        <v>23260</v>
      </c>
      <c r="F32" s="2947">
        <v>7130</v>
      </c>
      <c r="G32" s="2960">
        <v>16270</v>
      </c>
      <c r="L32" s="2947" t="s">
        <v>2968</v>
      </c>
      <c r="M32" s="2947" t="s">
        <v>2969</v>
      </c>
      <c r="N32" s="2947" t="s">
        <v>300</v>
      </c>
      <c r="O32" s="2947" t="s">
        <v>2970</v>
      </c>
      <c r="P32" s="2947" t="s">
        <v>299</v>
      </c>
      <c r="Q32" s="2947" t="s">
        <v>2971</v>
      </c>
      <c r="R32" s="2954" t="s">
        <v>2972</v>
      </c>
    </row>
    <row r="33" spans="1:17" ht="14.25" customHeight="1" thickBot="1">
      <c r="A33" s="2947" t="s">
        <v>296</v>
      </c>
      <c r="B33" s="2948" t="s">
        <v>147</v>
      </c>
      <c r="C33" s="2947">
        <v>27300</v>
      </c>
      <c r="D33" s="2947">
        <v>22980</v>
      </c>
      <c r="E33" s="2947">
        <v>24260</v>
      </c>
      <c r="F33" s="2947">
        <v>5860</v>
      </c>
      <c r="G33" s="2960">
        <v>16090</v>
      </c>
      <c r="L33" s="2954" t="s">
        <v>2973</v>
      </c>
      <c r="M33" s="2947" t="s">
        <v>2974</v>
      </c>
      <c r="N33" s="2947" t="s">
        <v>301</v>
      </c>
      <c r="O33" s="2947" t="s">
        <v>2975</v>
      </c>
      <c r="P33" s="2947" t="s">
        <v>2976</v>
      </c>
      <c r="Q33" s="2947" t="s">
        <v>2977</v>
      </c>
    </row>
    <row r="34" spans="1:17" ht="14.25" customHeight="1">
      <c r="A34" s="2947" t="s">
        <v>296</v>
      </c>
      <c r="B34" s="2948" t="s">
        <v>156</v>
      </c>
      <c r="C34" s="2947">
        <v>23090</v>
      </c>
      <c r="D34" s="2947">
        <v>23390</v>
      </c>
      <c r="E34" s="2947">
        <v>23510</v>
      </c>
      <c r="F34" s="2947">
        <v>6700</v>
      </c>
      <c r="G34" s="2960">
        <v>16370</v>
      </c>
      <c r="M34" s="2947" t="s">
        <v>2978</v>
      </c>
      <c r="N34" s="2947" t="s">
        <v>302</v>
      </c>
      <c r="O34" s="2947" t="s">
        <v>2979</v>
      </c>
      <c r="P34" s="2947" t="s">
        <v>2980</v>
      </c>
      <c r="Q34" s="2947" t="s">
        <v>2981</v>
      </c>
    </row>
    <row r="35" spans="1:17" ht="14.25" customHeight="1">
      <c r="A35" s="2947" t="s">
        <v>296</v>
      </c>
      <c r="B35" s="2948" t="s">
        <v>163</v>
      </c>
      <c r="C35" s="2947">
        <v>27270</v>
      </c>
      <c r="D35" s="2947">
        <v>24270</v>
      </c>
      <c r="E35" s="2947">
        <v>24950</v>
      </c>
      <c r="F35" s="2947">
        <v>6600</v>
      </c>
      <c r="G35" s="2960">
        <v>16990</v>
      </c>
      <c r="M35" s="2947" t="s">
        <v>2982</v>
      </c>
      <c r="N35" s="2947" t="s">
        <v>2983</v>
      </c>
      <c r="O35" s="2947" t="s">
        <v>2984</v>
      </c>
      <c r="P35" s="2947" t="s">
        <v>2985</v>
      </c>
      <c r="Q35" s="2947" t="s">
        <v>2986</v>
      </c>
    </row>
    <row r="36" spans="1:17" ht="14.25" customHeight="1">
      <c r="A36" s="2947" t="s">
        <v>296</v>
      </c>
      <c r="B36" s="2948" t="s">
        <v>169</v>
      </c>
      <c r="C36" s="2947">
        <v>23490</v>
      </c>
      <c r="D36" s="2947">
        <v>23020</v>
      </c>
      <c r="E36" s="2947">
        <v>25230</v>
      </c>
      <c r="F36" s="2947">
        <v>6780</v>
      </c>
      <c r="G36" s="2960">
        <v>16120</v>
      </c>
      <c r="M36" s="2947" t="s">
        <v>2987</v>
      </c>
      <c r="N36" s="2947" t="s">
        <v>2988</v>
      </c>
      <c r="O36" s="2947" t="s">
        <v>2989</v>
      </c>
      <c r="P36" s="2947" t="s">
        <v>2990</v>
      </c>
      <c r="Q36" s="2947" t="s">
        <v>2991</v>
      </c>
    </row>
    <row r="37" spans="1:17" ht="14.25" customHeight="1">
      <c r="A37" s="2947" t="s">
        <v>296</v>
      </c>
      <c r="B37" s="2948" t="s">
        <v>176</v>
      </c>
      <c r="C37" s="2947">
        <v>24380</v>
      </c>
      <c r="D37" s="2947">
        <v>22240</v>
      </c>
      <c r="E37" s="2947">
        <v>25980</v>
      </c>
      <c r="F37" s="2947">
        <v>8160</v>
      </c>
      <c r="G37" s="2960">
        <v>15570</v>
      </c>
      <c r="M37" s="2947" t="s">
        <v>2992</v>
      </c>
      <c r="N37" s="2947" t="s">
        <v>2993</v>
      </c>
      <c r="O37" s="2947" t="s">
        <v>2994</v>
      </c>
      <c r="P37" s="2947" t="s">
        <v>2995</v>
      </c>
      <c r="Q37" s="2947" t="s">
        <v>2996</v>
      </c>
    </row>
    <row r="38" spans="1:17" ht="14.25" customHeight="1">
      <c r="A38" s="2947" t="s">
        <v>296</v>
      </c>
      <c r="B38" s="2948" t="s">
        <v>186</v>
      </c>
      <c r="C38" s="2947">
        <v>23120</v>
      </c>
      <c r="D38" s="2947">
        <v>24630</v>
      </c>
      <c r="E38" s="2947">
        <v>25030</v>
      </c>
      <c r="F38" s="2947">
        <v>7710</v>
      </c>
      <c r="G38" s="2960">
        <v>17240</v>
      </c>
      <c r="M38" s="2947" t="s">
        <v>2997</v>
      </c>
      <c r="N38" s="2947" t="s">
        <v>2998</v>
      </c>
      <c r="O38" s="2947" t="s">
        <v>2999</v>
      </c>
      <c r="P38" s="2947" t="s">
        <v>3000</v>
      </c>
      <c r="Q38" s="2947" t="s">
        <v>3001</v>
      </c>
    </row>
    <row r="39" spans="1:17" ht="14.25" customHeight="1">
      <c r="A39" s="2947" t="s">
        <v>296</v>
      </c>
      <c r="B39" s="2948" t="s">
        <v>195</v>
      </c>
      <c r="C39" s="2947">
        <v>22330</v>
      </c>
      <c r="D39" s="2947">
        <v>21140</v>
      </c>
      <c r="E39" s="2947">
        <v>23970</v>
      </c>
      <c r="F39" s="2947">
        <v>7940</v>
      </c>
      <c r="G39" s="2960">
        <v>14790</v>
      </c>
      <c r="M39" s="2947" t="s">
        <v>3002</v>
      </c>
      <c r="N39" s="2947" t="s">
        <v>3003</v>
      </c>
      <c r="O39" s="2947" t="s">
        <v>3004</v>
      </c>
      <c r="P39" s="2947" t="s">
        <v>3005</v>
      </c>
      <c r="Q39" s="2947" t="s">
        <v>3006</v>
      </c>
    </row>
    <row r="40" spans="1:17" ht="14.25" customHeight="1">
      <c r="A40" s="2947" t="s">
        <v>296</v>
      </c>
      <c r="B40" s="2948" t="s">
        <v>202</v>
      </c>
      <c r="C40" s="2947">
        <v>24740</v>
      </c>
      <c r="D40" s="2947">
        <v>24690</v>
      </c>
      <c r="E40" s="2947">
        <v>22610</v>
      </c>
      <c r="F40" s="2947"/>
      <c r="G40" s="2960">
        <v>17280</v>
      </c>
      <c r="M40" s="2947" t="s">
        <v>3007</v>
      </c>
      <c r="N40" s="2947" t="s">
        <v>3008</v>
      </c>
      <c r="O40" s="2947" t="s">
        <v>3009</v>
      </c>
      <c r="P40" s="2947" t="s">
        <v>3010</v>
      </c>
      <c r="Q40" s="2947" t="s">
        <v>3011</v>
      </c>
    </row>
    <row r="41" spans="1:17" ht="14.25" customHeight="1" thickBot="1">
      <c r="A41" s="2947" t="s">
        <v>296</v>
      </c>
      <c r="B41" s="2948" t="s">
        <v>209</v>
      </c>
      <c r="C41" s="2947">
        <v>21220</v>
      </c>
      <c r="D41" s="2947">
        <v>21120</v>
      </c>
      <c r="E41" s="2947">
        <v>22590</v>
      </c>
      <c r="F41" s="2947"/>
      <c r="G41" s="2960">
        <v>14780</v>
      </c>
      <c r="M41" s="2954" t="s">
        <v>3012</v>
      </c>
      <c r="N41" s="2947" t="s">
        <v>3013</v>
      </c>
      <c r="O41" s="2947" t="s">
        <v>3014</v>
      </c>
      <c r="P41" s="2947" t="s">
        <v>3015</v>
      </c>
      <c r="Q41" s="2947" t="s">
        <v>3016</v>
      </c>
    </row>
    <row r="42" spans="1:17" ht="14.25" customHeight="1">
      <c r="A42" s="2947" t="s">
        <v>296</v>
      </c>
      <c r="B42" s="2948" t="s">
        <v>215</v>
      </c>
      <c r="C42" s="2947">
        <v>24800</v>
      </c>
      <c r="D42" s="2947">
        <v>22280</v>
      </c>
      <c r="E42" s="2947">
        <v>24350</v>
      </c>
      <c r="F42" s="2947"/>
      <c r="G42" s="2960">
        <v>15590</v>
      </c>
      <c r="N42" s="2947" t="s">
        <v>3017</v>
      </c>
      <c r="O42" s="2947" t="s">
        <v>3018</v>
      </c>
      <c r="P42" s="2947" t="s">
        <v>3019</v>
      </c>
      <c r="Q42" s="2947" t="s">
        <v>3020</v>
      </c>
    </row>
    <row r="43" spans="1:17" ht="14.25" customHeight="1">
      <c r="A43" s="2947" t="s">
        <v>3021</v>
      </c>
      <c r="B43" s="2948" t="s">
        <v>223</v>
      </c>
      <c r="C43" s="2947">
        <v>21210</v>
      </c>
      <c r="D43" s="2947">
        <v>21160</v>
      </c>
      <c r="E43" s="2947">
        <v>22650</v>
      </c>
      <c r="F43" s="2947"/>
      <c r="G43" s="2960">
        <v>14800</v>
      </c>
      <c r="N43" s="2947" t="s">
        <v>3022</v>
      </c>
      <c r="O43" s="2947" t="s">
        <v>3023</v>
      </c>
      <c r="P43" s="2947" t="s">
        <v>3024</v>
      </c>
      <c r="Q43" s="2947" t="s">
        <v>3025</v>
      </c>
    </row>
    <row r="44" spans="1:17" ht="14.25" customHeight="1" thickBot="1">
      <c r="A44" s="2947" t="s">
        <v>296</v>
      </c>
      <c r="B44" s="2948" t="s">
        <v>231</v>
      </c>
      <c r="C44" s="2947">
        <v>22370</v>
      </c>
      <c r="D44" s="2947">
        <v>23140</v>
      </c>
      <c r="E44" s="2947">
        <v>25090</v>
      </c>
      <c r="F44" s="2947"/>
      <c r="G44" s="2960">
        <v>16190</v>
      </c>
      <c r="N44" s="2947" t="s">
        <v>3026</v>
      </c>
      <c r="O44" s="2947" t="s">
        <v>3027</v>
      </c>
      <c r="P44" s="2954" t="s">
        <v>3028</v>
      </c>
      <c r="Q44" s="2947" t="s">
        <v>3029</v>
      </c>
    </row>
    <row r="45" spans="1:17" ht="14.25" customHeight="1" thickBot="1">
      <c r="A45" s="2947" t="s">
        <v>296</v>
      </c>
      <c r="B45" s="2948" t="s">
        <v>236</v>
      </c>
      <c r="C45" s="2947">
        <v>21240</v>
      </c>
      <c r="D45" s="2947">
        <v>27050</v>
      </c>
      <c r="E45" s="2947">
        <v>28000</v>
      </c>
      <c r="F45" s="2947"/>
      <c r="G45" s="2960">
        <v>18940</v>
      </c>
      <c r="N45" s="2947" t="s">
        <v>3030</v>
      </c>
      <c r="O45" s="2954" t="s">
        <v>3031</v>
      </c>
      <c r="Q45" s="2947" t="s">
        <v>3032</v>
      </c>
    </row>
    <row r="46" spans="1:17" ht="14.25" customHeight="1">
      <c r="A46" s="2947" t="s">
        <v>296</v>
      </c>
      <c r="B46" s="2948" t="s">
        <v>245</v>
      </c>
      <c r="C46" s="2947">
        <v>23240</v>
      </c>
      <c r="D46" s="2947">
        <v>23000</v>
      </c>
      <c r="E46" s="2947">
        <v>24980</v>
      </c>
      <c r="F46" s="2947"/>
      <c r="G46" s="2960">
        <v>16100</v>
      </c>
      <c r="N46" s="2947" t="s">
        <v>3033</v>
      </c>
      <c r="Q46" s="2947" t="s">
        <v>3034</v>
      </c>
    </row>
    <row r="47" spans="1:17" ht="14.25" customHeight="1">
      <c r="A47" s="2947" t="s">
        <v>296</v>
      </c>
      <c r="B47" s="2948" t="s">
        <v>252</v>
      </c>
      <c r="C47" s="2947">
        <v>27150</v>
      </c>
      <c r="D47" s="2947">
        <v>23310</v>
      </c>
      <c r="E47" s="2947">
        <v>25150</v>
      </c>
      <c r="F47" s="2947"/>
      <c r="G47" s="2960">
        <v>16310</v>
      </c>
      <c r="N47" s="2947" t="s">
        <v>3035</v>
      </c>
      <c r="Q47" s="2947" t="s">
        <v>3036</v>
      </c>
    </row>
    <row r="48" spans="1:17" ht="14.25" customHeight="1">
      <c r="A48" s="2947" t="s">
        <v>296</v>
      </c>
      <c r="B48" s="2948" t="s">
        <v>260</v>
      </c>
      <c r="C48" s="2947">
        <v>23100</v>
      </c>
      <c r="D48" s="2947">
        <v>21110</v>
      </c>
      <c r="E48" s="2947">
        <v>23080</v>
      </c>
      <c r="F48" s="2947"/>
      <c r="G48" s="2960">
        <v>14780</v>
      </c>
      <c r="N48" s="2947" t="s">
        <v>3037</v>
      </c>
      <c r="Q48" s="2947" t="s">
        <v>3038</v>
      </c>
    </row>
    <row r="49" spans="1:17" ht="14.25" customHeight="1">
      <c r="A49" s="2947" t="s">
        <v>296</v>
      </c>
      <c r="B49" s="2948" t="s">
        <v>267</v>
      </c>
      <c r="C49" s="2947">
        <v>23400</v>
      </c>
      <c r="D49" s="2947">
        <v>22920</v>
      </c>
      <c r="E49" s="2947">
        <v>24900</v>
      </c>
      <c r="F49" s="2947"/>
      <c r="G49" s="2960">
        <v>16040</v>
      </c>
      <c r="N49" s="2947" t="s">
        <v>3039</v>
      </c>
      <c r="Q49" s="2947" t="s">
        <v>3040</v>
      </c>
    </row>
    <row r="50" spans="1:17" ht="14.25" customHeight="1">
      <c r="A50" s="2947" t="s">
        <v>296</v>
      </c>
      <c r="B50" s="2948" t="s">
        <v>2917</v>
      </c>
      <c r="C50" s="2947">
        <v>21200</v>
      </c>
      <c r="D50" s="2947">
        <v>26540</v>
      </c>
      <c r="E50" s="2947">
        <v>23200</v>
      </c>
      <c r="F50" s="2947"/>
      <c r="G50" s="2960">
        <v>18580</v>
      </c>
      <c r="N50" s="2947" t="s">
        <v>3041</v>
      </c>
      <c r="Q50" s="2948" t="s">
        <v>3042</v>
      </c>
    </row>
    <row r="51" spans="1:17" ht="14.25" customHeight="1" thickBot="1">
      <c r="A51" s="2947" t="s">
        <v>296</v>
      </c>
      <c r="B51" s="2948" t="s">
        <v>2919</v>
      </c>
      <c r="C51" s="2947">
        <v>23000</v>
      </c>
      <c r="D51" s="2947">
        <v>23460</v>
      </c>
      <c r="E51" s="2947">
        <v>25290</v>
      </c>
      <c r="F51" s="2947"/>
      <c r="G51" s="2960">
        <v>16420</v>
      </c>
      <c r="N51" s="2947" t="s">
        <v>3043</v>
      </c>
      <c r="Q51" s="2954" t="s">
        <v>3044</v>
      </c>
    </row>
    <row r="52" spans="1:17" ht="14.25" customHeight="1">
      <c r="A52" s="2947" t="s">
        <v>296</v>
      </c>
      <c r="B52" s="2948" t="s">
        <v>2923</v>
      </c>
      <c r="C52" s="2947">
        <v>26660</v>
      </c>
      <c r="D52" s="2947">
        <v>22350</v>
      </c>
      <c r="E52" s="2947">
        <v>22920</v>
      </c>
      <c r="F52" s="2947"/>
      <c r="G52" s="2960">
        <v>15640</v>
      </c>
      <c r="N52" s="2947" t="s">
        <v>3045</v>
      </c>
    </row>
    <row r="53" spans="1:17" ht="14.25" customHeight="1">
      <c r="A53" s="2947" t="s">
        <v>296</v>
      </c>
      <c r="B53" s="2948" t="s">
        <v>2928</v>
      </c>
      <c r="C53" s="2947">
        <v>23580</v>
      </c>
      <c r="D53" s="2947"/>
      <c r="E53" s="2947">
        <v>24280</v>
      </c>
      <c r="F53" s="2947"/>
      <c r="G53" s="2960"/>
      <c r="N53" s="2947" t="s">
        <v>3046</v>
      </c>
    </row>
    <row r="54" spans="1:17" ht="14.25" customHeight="1" thickBot="1">
      <c r="A54" s="2961" t="s">
        <v>296</v>
      </c>
      <c r="B54" s="2953" t="s">
        <v>2931</v>
      </c>
      <c r="C54" s="2954">
        <v>22460</v>
      </c>
      <c r="D54" s="2954"/>
      <c r="E54" s="2954"/>
      <c r="F54" s="2954"/>
      <c r="G54" s="2962"/>
      <c r="N54" s="2947" t="s">
        <v>3047</v>
      </c>
    </row>
    <row r="55" spans="1:17" ht="14.25" customHeight="1">
      <c r="A55" s="2952" t="s">
        <v>110</v>
      </c>
      <c r="B55" s="2943" t="s">
        <v>3048</v>
      </c>
      <c r="C55" s="2947">
        <v>21970</v>
      </c>
      <c r="D55" s="2947">
        <v>20370</v>
      </c>
      <c r="E55" s="2947">
        <v>20180</v>
      </c>
      <c r="F55" s="2947">
        <v>5730</v>
      </c>
      <c r="G55" s="2947">
        <v>13820</v>
      </c>
      <c r="N55" s="2947" t="s">
        <v>3049</v>
      </c>
    </row>
    <row r="56" spans="1:17" ht="14.25" customHeight="1">
      <c r="A56" s="2947" t="s">
        <v>110</v>
      </c>
      <c r="B56" s="2947" t="s">
        <v>130</v>
      </c>
      <c r="C56" s="2947">
        <v>20470</v>
      </c>
      <c r="D56" s="2947">
        <v>20700</v>
      </c>
      <c r="E56" s="2947">
        <v>20380</v>
      </c>
      <c r="F56" s="2947">
        <v>4760</v>
      </c>
      <c r="G56" s="2947">
        <v>14050</v>
      </c>
      <c r="N56" s="2947" t="s">
        <v>3050</v>
      </c>
    </row>
    <row r="57" spans="1:17" ht="14.25" customHeight="1">
      <c r="A57" s="2947" t="s">
        <v>110</v>
      </c>
      <c r="B57" s="2947" t="s">
        <v>139</v>
      </c>
      <c r="C57" s="2947">
        <v>20790</v>
      </c>
      <c r="D57" s="2947">
        <v>21370</v>
      </c>
      <c r="E57" s="2947">
        <v>20890</v>
      </c>
      <c r="F57" s="2947">
        <v>4910</v>
      </c>
      <c r="G57" s="2947">
        <v>14510</v>
      </c>
      <c r="N57" s="2947" t="s">
        <v>3051</v>
      </c>
    </row>
    <row r="58" spans="1:17" ht="14.25" customHeight="1">
      <c r="A58" s="2947" t="s">
        <v>110</v>
      </c>
      <c r="B58" s="2947" t="s">
        <v>148</v>
      </c>
      <c r="C58" s="2947">
        <v>21460</v>
      </c>
      <c r="D58" s="2947">
        <v>20920</v>
      </c>
      <c r="E58" s="2947">
        <v>23410</v>
      </c>
      <c r="F58" s="2947">
        <v>5100</v>
      </c>
      <c r="G58" s="2947">
        <v>14200</v>
      </c>
      <c r="N58" s="2947" t="s">
        <v>3052</v>
      </c>
    </row>
    <row r="59" spans="1:17" ht="14.25" customHeight="1">
      <c r="A59" s="2947" t="s">
        <v>110</v>
      </c>
      <c r="B59" s="2947" t="s">
        <v>157</v>
      </c>
      <c r="C59" s="2947">
        <v>21000</v>
      </c>
      <c r="D59" s="2947">
        <v>21550</v>
      </c>
      <c r="E59" s="2947">
        <v>21150</v>
      </c>
      <c r="F59" s="2947">
        <v>5250</v>
      </c>
      <c r="G59" s="2947">
        <v>14630</v>
      </c>
      <c r="N59" s="2947" t="s">
        <v>3053</v>
      </c>
    </row>
    <row r="60" spans="1:17" ht="14.25" customHeight="1">
      <c r="A60" s="2947" t="s">
        <v>110</v>
      </c>
      <c r="B60" s="2947" t="s">
        <v>164</v>
      </c>
      <c r="C60" s="2947">
        <v>21640</v>
      </c>
      <c r="D60" s="2947">
        <v>21260</v>
      </c>
      <c r="E60" s="2947">
        <v>24040</v>
      </c>
      <c r="F60" s="2947">
        <v>4470</v>
      </c>
      <c r="G60" s="2947">
        <v>14430</v>
      </c>
      <c r="N60" s="2947" t="s">
        <v>3054</v>
      </c>
    </row>
    <row r="61" spans="1:17" ht="14.25" customHeight="1">
      <c r="A61" s="2947" t="s">
        <v>110</v>
      </c>
      <c r="B61" s="2947" t="s">
        <v>170</v>
      </c>
      <c r="C61" s="2947">
        <v>21330</v>
      </c>
      <c r="D61" s="2947">
        <v>18640</v>
      </c>
      <c r="E61" s="2947">
        <v>21190</v>
      </c>
      <c r="F61" s="2947">
        <v>4180</v>
      </c>
      <c r="G61" s="2947">
        <v>12650</v>
      </c>
      <c r="N61" s="2947" t="s">
        <v>3055</v>
      </c>
    </row>
    <row r="62" spans="1:17" ht="14.25" customHeight="1">
      <c r="A62" s="2947" t="s">
        <v>110</v>
      </c>
      <c r="B62" s="2947" t="s">
        <v>177</v>
      </c>
      <c r="C62" s="2947">
        <v>18710</v>
      </c>
      <c r="D62" s="2947">
        <v>19400</v>
      </c>
      <c r="E62" s="2947">
        <v>23750</v>
      </c>
      <c r="F62" s="2947">
        <v>4860</v>
      </c>
      <c r="G62" s="2947">
        <v>13170</v>
      </c>
      <c r="N62" s="2947" t="s">
        <v>3056</v>
      </c>
    </row>
    <row r="63" spans="1:17" ht="14.25" customHeight="1">
      <c r="A63" s="2947" t="s">
        <v>110</v>
      </c>
      <c r="B63" s="2947" t="s">
        <v>187</v>
      </c>
      <c r="C63" s="2947">
        <v>19480</v>
      </c>
      <c r="D63" s="2947">
        <v>16830</v>
      </c>
      <c r="E63" s="2947">
        <v>21590</v>
      </c>
      <c r="F63" s="2947">
        <v>4560</v>
      </c>
      <c r="G63" s="2947">
        <v>11420</v>
      </c>
      <c r="N63" s="2947" t="s">
        <v>3057</v>
      </c>
    </row>
    <row r="64" spans="1:17" ht="14.25" customHeight="1" thickBot="1">
      <c r="A64" s="2947" t="s">
        <v>110</v>
      </c>
      <c r="B64" s="2947" t="s">
        <v>196</v>
      </c>
      <c r="C64" s="2947">
        <v>16920</v>
      </c>
      <c r="D64" s="2947">
        <v>19190</v>
      </c>
      <c r="E64" s="2947">
        <v>22200</v>
      </c>
      <c r="F64" s="2947">
        <v>4390</v>
      </c>
      <c r="G64" s="2947">
        <v>13030</v>
      </c>
      <c r="N64" s="2954" t="s">
        <v>3058</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2929</v>
      </c>
      <c r="C78" s="2947">
        <v>19820</v>
      </c>
      <c r="D78" s="2947">
        <v>19780</v>
      </c>
      <c r="E78" s="2947">
        <v>18560</v>
      </c>
      <c r="F78" s="2947"/>
      <c r="G78" s="2947">
        <v>13430</v>
      </c>
    </row>
    <row r="79" spans="1:7" s="2781" customFormat="1" ht="14.25" customHeight="1">
      <c r="A79" s="2947" t="s">
        <v>110</v>
      </c>
      <c r="B79" s="2947" t="s">
        <v>2932</v>
      </c>
      <c r="C79" s="2947">
        <v>21660</v>
      </c>
      <c r="D79" s="2947">
        <v>18000</v>
      </c>
      <c r="E79" s="2947">
        <v>22570</v>
      </c>
      <c r="F79" s="2947"/>
      <c r="G79" s="2947">
        <v>12220</v>
      </c>
    </row>
    <row r="80" spans="1:7" s="2781" customFormat="1" ht="14.25" customHeight="1">
      <c r="A80" s="2947" t="s">
        <v>110</v>
      </c>
      <c r="B80" s="2947" t="s">
        <v>2936</v>
      </c>
      <c r="C80" s="2947">
        <v>19850</v>
      </c>
      <c r="D80" s="2947"/>
      <c r="E80" s="2947">
        <v>21700</v>
      </c>
      <c r="F80" s="2947"/>
      <c r="G80" s="2947"/>
    </row>
    <row r="81" spans="1:7" s="2781" customFormat="1" ht="14.25" customHeight="1">
      <c r="A81" s="2947" t="s">
        <v>110</v>
      </c>
      <c r="B81" s="2947" t="s">
        <v>2941</v>
      </c>
      <c r="C81" s="2947">
        <v>18080</v>
      </c>
      <c r="D81" s="2947"/>
      <c r="E81" s="2947">
        <v>20900</v>
      </c>
      <c r="F81" s="2947"/>
      <c r="G81" s="2947"/>
    </row>
    <row r="82" spans="1:7" s="2781" customFormat="1" ht="14.25" customHeight="1">
      <c r="A82" s="2947" t="s">
        <v>110</v>
      </c>
      <c r="B82" s="2947" t="s">
        <v>2948</v>
      </c>
      <c r="C82" s="2947"/>
      <c r="D82" s="2947"/>
      <c r="E82" s="2947">
        <v>20840</v>
      </c>
      <c r="F82" s="2947"/>
      <c r="G82" s="2947"/>
    </row>
    <row r="83" spans="1:7" s="2781" customFormat="1" ht="14.25" customHeight="1">
      <c r="A83" s="2947" t="s">
        <v>110</v>
      </c>
      <c r="B83" s="2947" t="s">
        <v>3059</v>
      </c>
      <c r="C83" s="2947"/>
      <c r="D83" s="2947"/>
      <c r="E83" s="2947"/>
      <c r="F83" s="2947">
        <v>4770</v>
      </c>
      <c r="G83" s="2947"/>
    </row>
    <row r="84" spans="1:7" s="2781" customFormat="1" ht="14.25" customHeight="1">
      <c r="A84" s="2947" t="s">
        <v>110</v>
      </c>
      <c r="B84" s="2947" t="s">
        <v>3060</v>
      </c>
      <c r="C84" s="2947"/>
      <c r="D84" s="2947"/>
      <c r="E84" s="2947"/>
      <c r="F84" s="2947">
        <v>4600</v>
      </c>
      <c r="G84" s="2947"/>
    </row>
    <row r="85" spans="1:7" s="2781" customFormat="1" ht="14.25" customHeight="1">
      <c r="A85" s="2947" t="s">
        <v>110</v>
      </c>
      <c r="B85" s="2947" t="s">
        <v>3061</v>
      </c>
      <c r="C85" s="2947"/>
      <c r="D85" s="2947"/>
      <c r="E85" s="2947"/>
      <c r="F85" s="2947">
        <v>4680</v>
      </c>
      <c r="G85" s="2947"/>
    </row>
    <row r="86" spans="1:7" s="2781" customFormat="1" ht="14.25" customHeight="1" thickBot="1">
      <c r="A86" s="2955" t="s">
        <v>110</v>
      </c>
      <c r="B86" s="2957" t="s">
        <v>3062</v>
      </c>
      <c r="C86" s="2958">
        <v>16610</v>
      </c>
      <c r="D86" s="2958">
        <v>16540</v>
      </c>
      <c r="E86" s="2958">
        <v>18850</v>
      </c>
      <c r="F86" s="2958"/>
      <c r="G86" s="2958">
        <v>11220</v>
      </c>
    </row>
    <row r="87" spans="1:7" s="2781" customFormat="1" ht="14.25" customHeight="1">
      <c r="A87" s="2952" t="s">
        <v>303</v>
      </c>
      <c r="B87" s="2943" t="s">
        <v>3063</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2942</v>
      </c>
      <c r="C113" s="2947">
        <v>15520</v>
      </c>
      <c r="D113" s="2947">
        <v>15450</v>
      </c>
      <c r="E113" s="2947"/>
      <c r="F113" s="2947"/>
      <c r="G113" s="2960">
        <v>10210</v>
      </c>
    </row>
    <row r="114" spans="1:7" s="2781" customFormat="1" ht="14.25" customHeight="1">
      <c r="A114" s="2947" t="s">
        <v>303</v>
      </c>
      <c r="B114" s="2947" t="s">
        <v>2949</v>
      </c>
      <c r="C114" s="2947">
        <v>13110</v>
      </c>
      <c r="D114" s="2947">
        <v>13050</v>
      </c>
      <c r="E114" s="2947"/>
      <c r="F114" s="2947"/>
      <c r="G114" s="2960">
        <v>8620</v>
      </c>
    </row>
    <row r="115" spans="1:7" s="2781" customFormat="1" ht="14.25" customHeight="1">
      <c r="A115" s="2947" t="s">
        <v>303</v>
      </c>
      <c r="B115" s="2947" t="s">
        <v>2955</v>
      </c>
      <c r="C115" s="2947">
        <v>12460</v>
      </c>
      <c r="D115" s="2947">
        <v>12390</v>
      </c>
      <c r="E115" s="2947"/>
      <c r="F115" s="2947"/>
      <c r="G115" s="2960">
        <v>8190</v>
      </c>
    </row>
    <row r="116" spans="1:7" s="2781" customFormat="1" ht="14.25" customHeight="1">
      <c r="A116" s="2947" t="s">
        <v>303</v>
      </c>
      <c r="B116" s="2947" t="s">
        <v>2962</v>
      </c>
      <c r="C116" s="2947">
        <v>13580</v>
      </c>
      <c r="D116" s="2947">
        <v>13520</v>
      </c>
      <c r="E116" s="2947"/>
      <c r="F116" s="2947"/>
      <c r="G116" s="2960">
        <v>8930</v>
      </c>
    </row>
    <row r="117" spans="1:7" s="2781" customFormat="1" ht="14.25" customHeight="1">
      <c r="A117" s="2947" t="s">
        <v>303</v>
      </c>
      <c r="B117" s="2947" t="s">
        <v>2969</v>
      </c>
      <c r="C117" s="2947">
        <v>17120</v>
      </c>
      <c r="D117" s="2947">
        <v>17040</v>
      </c>
      <c r="E117" s="2947"/>
      <c r="F117" s="2947"/>
      <c r="G117" s="2960">
        <v>11260</v>
      </c>
    </row>
    <row r="118" spans="1:7" s="2781" customFormat="1" ht="14.25" customHeight="1">
      <c r="A118" s="2947" t="s">
        <v>303</v>
      </c>
      <c r="B118" s="2947" t="s">
        <v>2974</v>
      </c>
      <c r="C118" s="2947">
        <v>14860</v>
      </c>
      <c r="D118" s="2947">
        <v>14790</v>
      </c>
      <c r="E118" s="2947"/>
      <c r="F118" s="2947"/>
      <c r="G118" s="2960">
        <v>9780</v>
      </c>
    </row>
    <row r="119" spans="1:7" s="2781" customFormat="1" ht="14.25" customHeight="1">
      <c r="A119" s="2947" t="s">
        <v>303</v>
      </c>
      <c r="B119" s="2947" t="s">
        <v>2978</v>
      </c>
      <c r="C119" s="2947">
        <v>16470</v>
      </c>
      <c r="D119" s="2947">
        <v>16400</v>
      </c>
      <c r="E119" s="2947"/>
      <c r="F119" s="2947"/>
      <c r="G119" s="2960">
        <v>10840</v>
      </c>
    </row>
    <row r="120" spans="1:7" s="2781" customFormat="1" ht="14.25" customHeight="1">
      <c r="A120" s="2947" t="s">
        <v>303</v>
      </c>
      <c r="B120" s="2947" t="s">
        <v>3064</v>
      </c>
      <c r="C120" s="2947"/>
      <c r="D120" s="2947"/>
      <c r="E120" s="2947"/>
      <c r="F120" s="2947">
        <v>4160</v>
      </c>
      <c r="G120" s="2960"/>
    </row>
    <row r="121" spans="1:7" s="2781" customFormat="1" ht="14.25" customHeight="1">
      <c r="A121" s="2947" t="s">
        <v>303</v>
      </c>
      <c r="B121" s="2947" t="s">
        <v>3065</v>
      </c>
      <c r="C121" s="2947"/>
      <c r="D121" s="2947"/>
      <c r="E121" s="2947"/>
      <c r="F121" s="2947">
        <v>3880</v>
      </c>
      <c r="G121" s="2960"/>
    </row>
    <row r="122" spans="1:7" s="2781" customFormat="1" ht="14.25" customHeight="1">
      <c r="A122" s="2947" t="s">
        <v>303</v>
      </c>
      <c r="B122" s="2947" t="s">
        <v>3066</v>
      </c>
      <c r="C122" s="2947">
        <v>13750</v>
      </c>
      <c r="D122" s="2947">
        <v>13680</v>
      </c>
      <c r="E122" s="2947">
        <v>16460</v>
      </c>
      <c r="F122" s="2947">
        <v>2880</v>
      </c>
      <c r="G122" s="2960">
        <v>9040</v>
      </c>
    </row>
    <row r="123" spans="1:7" s="2781" customFormat="1" ht="14.25" customHeight="1">
      <c r="A123" s="2947" t="s">
        <v>303</v>
      </c>
      <c r="B123" s="2947" t="s">
        <v>2997</v>
      </c>
      <c r="C123" s="2947">
        <v>13590</v>
      </c>
      <c r="D123" s="2947">
        <v>13520</v>
      </c>
      <c r="E123" s="2947">
        <v>16290</v>
      </c>
      <c r="F123" s="2947">
        <v>2790</v>
      </c>
      <c r="G123" s="2960">
        <v>8930</v>
      </c>
    </row>
    <row r="124" spans="1:7" s="2781" customFormat="1" ht="14.25" customHeight="1">
      <c r="A124" s="2947" t="s">
        <v>303</v>
      </c>
      <c r="B124" s="2947" t="s">
        <v>3002</v>
      </c>
      <c r="C124" s="2947">
        <v>13400</v>
      </c>
      <c r="D124" s="2947">
        <v>13320</v>
      </c>
      <c r="E124" s="2947">
        <v>16100</v>
      </c>
      <c r="F124" s="2947">
        <v>2320</v>
      </c>
      <c r="G124" s="2960">
        <v>8800</v>
      </c>
    </row>
    <row r="125" spans="1:7" s="2781" customFormat="1" ht="14.25" customHeight="1">
      <c r="A125" s="2947" t="s">
        <v>303</v>
      </c>
      <c r="B125" s="2947" t="s">
        <v>3007</v>
      </c>
      <c r="C125" s="2947">
        <v>12860</v>
      </c>
      <c r="D125" s="2947">
        <v>12790</v>
      </c>
      <c r="E125" s="2947">
        <v>15370</v>
      </c>
      <c r="F125" s="2947">
        <v>2280</v>
      </c>
      <c r="G125" s="2960">
        <v>8450</v>
      </c>
    </row>
    <row r="126" spans="1:7" s="2781" customFormat="1" ht="14.25" customHeight="1" thickBot="1">
      <c r="A126" s="2961" t="s">
        <v>303</v>
      </c>
      <c r="B126" s="2954" t="s">
        <v>3012</v>
      </c>
      <c r="C126" s="2954">
        <v>12960</v>
      </c>
      <c r="D126" s="2954">
        <v>12890</v>
      </c>
      <c r="E126" s="2954">
        <v>15530</v>
      </c>
      <c r="F126" s="2954">
        <v>2910</v>
      </c>
      <c r="G126" s="2962">
        <v>8520</v>
      </c>
    </row>
    <row r="127" spans="1:7" s="2781" customFormat="1" ht="14.25" customHeight="1">
      <c r="A127" s="2952" t="s">
        <v>29</v>
      </c>
      <c r="B127" s="2943" t="s">
        <v>3067</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3068</v>
      </c>
      <c r="C148" s="2947">
        <v>10370</v>
      </c>
      <c r="D148" s="2947">
        <v>10310</v>
      </c>
      <c r="E148" s="2947">
        <v>12970</v>
      </c>
      <c r="F148" s="2947"/>
      <c r="G148" s="2947">
        <v>6630</v>
      </c>
    </row>
    <row r="149" spans="1:7" s="2781" customFormat="1" ht="14.25" customHeight="1">
      <c r="A149" s="2947" t="s">
        <v>29</v>
      </c>
      <c r="B149" s="2947" t="s">
        <v>3069</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2943</v>
      </c>
      <c r="C153" s="2947">
        <v>10880</v>
      </c>
      <c r="D153" s="2947">
        <v>10820</v>
      </c>
      <c r="E153" s="2947">
        <v>13660</v>
      </c>
      <c r="F153" s="2947">
        <v>2260</v>
      </c>
      <c r="G153" s="2947">
        <v>6970</v>
      </c>
    </row>
    <row r="154" spans="1:7" s="2781" customFormat="1" ht="14.25" customHeight="1">
      <c r="A154" s="2947" t="s">
        <v>29</v>
      </c>
      <c r="B154" s="2947" t="s">
        <v>3070</v>
      </c>
      <c r="C154" s="2947">
        <v>11220</v>
      </c>
      <c r="D154" s="2947">
        <v>11160</v>
      </c>
      <c r="E154" s="2947">
        <v>14130</v>
      </c>
      <c r="F154" s="2947">
        <v>2230</v>
      </c>
      <c r="G154" s="2947">
        <v>7180</v>
      </c>
    </row>
    <row r="155" spans="1:7" s="2781" customFormat="1" ht="14.25" customHeight="1">
      <c r="A155" s="2947" t="s">
        <v>29</v>
      </c>
      <c r="B155" s="2947" t="s">
        <v>2956</v>
      </c>
      <c r="C155" s="2947">
        <v>10430</v>
      </c>
      <c r="D155" s="2947">
        <v>10380</v>
      </c>
      <c r="E155" s="2947">
        <v>13140</v>
      </c>
      <c r="F155" s="2947">
        <v>2080</v>
      </c>
      <c r="G155" s="2947">
        <v>6650</v>
      </c>
    </row>
    <row r="156" spans="1:7" s="2781" customFormat="1" ht="14.25" customHeight="1">
      <c r="A156" s="2947" t="s">
        <v>29</v>
      </c>
      <c r="B156" s="2947" t="s">
        <v>3071</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3072</v>
      </c>
      <c r="C160" s="2947">
        <v>11180</v>
      </c>
      <c r="D160" s="2947">
        <v>11140</v>
      </c>
      <c r="E160" s="2947">
        <v>14050</v>
      </c>
      <c r="F160" s="2947">
        <v>2270</v>
      </c>
      <c r="G160" s="2947">
        <v>7170</v>
      </c>
    </row>
    <row r="161" spans="1:7" s="2781" customFormat="1" ht="14.25" customHeight="1">
      <c r="A161" s="2947" t="s">
        <v>29</v>
      </c>
      <c r="B161" s="2947" t="s">
        <v>2988</v>
      </c>
      <c r="C161" s="2947">
        <v>11160</v>
      </c>
      <c r="D161" s="2947">
        <v>11120</v>
      </c>
      <c r="E161" s="2947">
        <v>14020</v>
      </c>
      <c r="F161" s="2947">
        <v>2150</v>
      </c>
      <c r="G161" s="2947">
        <v>7160</v>
      </c>
    </row>
    <row r="162" spans="1:7" s="2781" customFormat="1" ht="14.25" customHeight="1">
      <c r="A162" s="2947" t="s">
        <v>29</v>
      </c>
      <c r="B162" s="2947" t="s">
        <v>2993</v>
      </c>
      <c r="C162" s="2947">
        <v>9620</v>
      </c>
      <c r="D162" s="2947">
        <v>9570</v>
      </c>
      <c r="E162" s="2947">
        <v>12320</v>
      </c>
      <c r="F162" s="2947">
        <v>2010</v>
      </c>
      <c r="G162" s="2947">
        <v>6160</v>
      </c>
    </row>
    <row r="163" spans="1:7" s="2781" customFormat="1" ht="14.25" customHeight="1">
      <c r="A163" s="2947" t="s">
        <v>29</v>
      </c>
      <c r="B163" s="2947" t="s">
        <v>2998</v>
      </c>
      <c r="C163" s="2947">
        <v>9320</v>
      </c>
      <c r="D163" s="2947">
        <v>9270</v>
      </c>
      <c r="E163" s="2947">
        <v>11790</v>
      </c>
      <c r="F163" s="2947">
        <v>1920</v>
      </c>
      <c r="G163" s="2947">
        <v>5960</v>
      </c>
    </row>
    <row r="164" spans="1:7" s="2781" customFormat="1" ht="14.25" customHeight="1">
      <c r="A164" s="2947" t="s">
        <v>29</v>
      </c>
      <c r="B164" s="2947" t="s">
        <v>3003</v>
      </c>
      <c r="C164" s="2947"/>
      <c r="D164" s="2947"/>
      <c r="E164" s="2947"/>
      <c r="F164" s="2947">
        <v>1980</v>
      </c>
      <c r="G164" s="2947"/>
    </row>
    <row r="165" spans="1:7" s="2781" customFormat="1" ht="14.25" customHeight="1">
      <c r="A165" s="2947" t="s">
        <v>29</v>
      </c>
      <c r="B165" s="2947" t="s">
        <v>3073</v>
      </c>
      <c r="C165" s="2947">
        <v>11060</v>
      </c>
      <c r="D165" s="2947">
        <v>11030</v>
      </c>
      <c r="E165" s="2947">
        <v>13850</v>
      </c>
      <c r="F165" s="2947">
        <v>2170</v>
      </c>
      <c r="G165" s="2947">
        <v>7090</v>
      </c>
    </row>
    <row r="166" spans="1:7" s="2781" customFormat="1" ht="14.25" customHeight="1">
      <c r="A166" s="2947" t="s">
        <v>29</v>
      </c>
      <c r="B166" s="2947" t="s">
        <v>3013</v>
      </c>
      <c r="C166" s="2947">
        <v>11050</v>
      </c>
      <c r="D166" s="2947">
        <v>11010</v>
      </c>
      <c r="E166" s="2947">
        <v>13920</v>
      </c>
      <c r="F166" s="2947">
        <v>2140</v>
      </c>
      <c r="G166" s="2947">
        <v>7080</v>
      </c>
    </row>
    <row r="167" spans="1:7" s="2781" customFormat="1" ht="14.25" customHeight="1">
      <c r="A167" s="2947" t="s">
        <v>29</v>
      </c>
      <c r="B167" s="2947" t="s">
        <v>3017</v>
      </c>
      <c r="C167" s="2947">
        <v>10930</v>
      </c>
      <c r="D167" s="2947">
        <v>10890</v>
      </c>
      <c r="E167" s="2947">
        <v>13790</v>
      </c>
      <c r="F167" s="2947">
        <v>2010</v>
      </c>
      <c r="G167" s="2947">
        <v>7000</v>
      </c>
    </row>
    <row r="168" spans="1:7" s="2781" customFormat="1" ht="14.25" customHeight="1">
      <c r="A168" s="2947" t="s">
        <v>29</v>
      </c>
      <c r="B168" s="2947" t="s">
        <v>3022</v>
      </c>
      <c r="C168" s="2947">
        <v>9420</v>
      </c>
      <c r="D168" s="2947">
        <v>9380</v>
      </c>
      <c r="E168" s="2947">
        <v>11970</v>
      </c>
      <c r="F168" s="2947"/>
      <c r="G168" s="2947">
        <v>6040</v>
      </c>
    </row>
    <row r="169" spans="1:7" s="2781" customFormat="1" ht="14.25" customHeight="1">
      <c r="A169" s="2947" t="s">
        <v>29</v>
      </c>
      <c r="B169" s="2947" t="s">
        <v>3074</v>
      </c>
      <c r="C169" s="2947"/>
      <c r="D169" s="2947"/>
      <c r="E169" s="2947"/>
      <c r="F169" s="2947">
        <v>2880</v>
      </c>
      <c r="G169" s="2947"/>
    </row>
    <row r="170" spans="1:7" s="2781" customFormat="1" ht="14.25" customHeight="1">
      <c r="A170" s="2947" t="s">
        <v>29</v>
      </c>
      <c r="B170" s="2947" t="s">
        <v>3030</v>
      </c>
      <c r="C170" s="2947"/>
      <c r="D170" s="2947"/>
      <c r="E170" s="2947"/>
      <c r="F170" s="2947">
        <v>2880</v>
      </c>
      <c r="G170" s="2947"/>
    </row>
    <row r="171" spans="1:7" s="2781" customFormat="1" ht="14.25" customHeight="1">
      <c r="A171" s="2947" t="s">
        <v>29</v>
      </c>
      <c r="B171" s="2947" t="s">
        <v>3033</v>
      </c>
      <c r="C171" s="2947"/>
      <c r="D171" s="2947"/>
      <c r="E171" s="2947"/>
      <c r="F171" s="2947">
        <v>2880</v>
      </c>
      <c r="G171" s="2947"/>
    </row>
    <row r="172" spans="1:7" s="2781" customFormat="1" ht="14.25" customHeight="1">
      <c r="A172" s="2947" t="s">
        <v>29</v>
      </c>
      <c r="B172" s="2947" t="s">
        <v>3035</v>
      </c>
      <c r="C172" s="2947"/>
      <c r="D172" s="2947"/>
      <c r="E172" s="2947"/>
      <c r="F172" s="2947">
        <v>2880</v>
      </c>
      <c r="G172" s="2947"/>
    </row>
    <row r="173" spans="1:7" s="2781" customFormat="1" ht="14.25" customHeight="1">
      <c r="A173" s="2947" t="s">
        <v>29</v>
      </c>
      <c r="B173" s="2947" t="s">
        <v>3037</v>
      </c>
      <c r="C173" s="2947"/>
      <c r="D173" s="2947"/>
      <c r="E173" s="2947"/>
      <c r="F173" s="2947">
        <v>2150</v>
      </c>
      <c r="G173" s="2947"/>
    </row>
    <row r="174" spans="1:7" s="2781" customFormat="1" ht="14.25" customHeight="1">
      <c r="A174" s="2947" t="s">
        <v>29</v>
      </c>
      <c r="B174" s="2947" t="s">
        <v>3039</v>
      </c>
      <c r="C174" s="2947"/>
      <c r="D174" s="2947"/>
      <c r="E174" s="2947"/>
      <c r="F174" s="2947">
        <v>2030</v>
      </c>
      <c r="G174" s="2947"/>
    </row>
    <row r="175" spans="1:7" s="2781" customFormat="1" ht="14.25" customHeight="1">
      <c r="A175" s="2947" t="s">
        <v>29</v>
      </c>
      <c r="B175" s="2947" t="s">
        <v>3041</v>
      </c>
      <c r="C175" s="2947"/>
      <c r="D175" s="2947"/>
      <c r="E175" s="2947"/>
      <c r="F175" s="2947">
        <v>2780</v>
      </c>
      <c r="G175" s="2947"/>
    </row>
    <row r="176" spans="1:7" s="2781" customFormat="1" ht="14.25" customHeight="1">
      <c r="A176" s="2947" t="s">
        <v>29</v>
      </c>
      <c r="B176" s="2947" t="s">
        <v>3043</v>
      </c>
      <c r="C176" s="2947"/>
      <c r="D176" s="2947"/>
      <c r="E176" s="2947"/>
      <c r="F176" s="2947">
        <v>2780</v>
      </c>
      <c r="G176" s="2947"/>
    </row>
    <row r="177" spans="1:7" s="2781" customFormat="1" ht="14.25" customHeight="1">
      <c r="A177" s="2947" t="s">
        <v>29</v>
      </c>
      <c r="B177" s="2947" t="s">
        <v>3075</v>
      </c>
      <c r="C177" s="2947"/>
      <c r="D177" s="2947"/>
      <c r="E177" s="2947"/>
      <c r="F177" s="2947">
        <v>2780</v>
      </c>
      <c r="G177" s="2947"/>
    </row>
    <row r="178" spans="1:7" s="2781" customFormat="1" ht="14.25" customHeight="1">
      <c r="A178" s="2947" t="s">
        <v>29</v>
      </c>
      <c r="B178" s="2947" t="s">
        <v>3076</v>
      </c>
      <c r="C178" s="2947"/>
      <c r="D178" s="2947"/>
      <c r="E178" s="2947"/>
      <c r="F178" s="2947">
        <v>2060</v>
      </c>
      <c r="G178" s="2947"/>
    </row>
    <row r="179" spans="1:7" s="2781" customFormat="1" ht="14.25" customHeight="1">
      <c r="A179" s="2947" t="s">
        <v>29</v>
      </c>
      <c r="B179" s="2947" t="s">
        <v>3077</v>
      </c>
      <c r="C179" s="2947"/>
      <c r="D179" s="2947"/>
      <c r="E179" s="2947"/>
      <c r="F179" s="2947">
        <v>2120</v>
      </c>
      <c r="G179" s="2947"/>
    </row>
    <row r="180" spans="1:7" s="2781" customFormat="1" ht="14.25" customHeight="1">
      <c r="A180" s="2947" t="s">
        <v>29</v>
      </c>
      <c r="B180" s="2947" t="s">
        <v>3049</v>
      </c>
      <c r="C180" s="2947"/>
      <c r="D180" s="2947"/>
      <c r="E180" s="2947"/>
      <c r="F180" s="2947">
        <v>2340</v>
      </c>
      <c r="G180" s="2947"/>
    </row>
    <row r="181" spans="1:7" s="2781" customFormat="1" ht="14.25" customHeight="1">
      <c r="A181" s="2947" t="s">
        <v>29</v>
      </c>
      <c r="B181" s="2947" t="s">
        <v>3050</v>
      </c>
      <c r="C181" s="2947"/>
      <c r="D181" s="2947"/>
      <c r="E181" s="2947"/>
      <c r="F181" s="2947">
        <v>2340</v>
      </c>
      <c r="G181" s="2947"/>
    </row>
    <row r="182" spans="1:7" s="2781" customFormat="1" ht="14.25" customHeight="1">
      <c r="A182" s="2947" t="s">
        <v>29</v>
      </c>
      <c r="B182" s="2947" t="s">
        <v>3051</v>
      </c>
      <c r="C182" s="2947"/>
      <c r="D182" s="2947"/>
      <c r="E182" s="2947"/>
      <c r="F182" s="2947">
        <v>2340</v>
      </c>
      <c r="G182" s="2947"/>
    </row>
    <row r="183" spans="1:7" s="2781" customFormat="1" ht="14.25" customHeight="1">
      <c r="A183" s="2947" t="s">
        <v>29</v>
      </c>
      <c r="B183" s="2947" t="s">
        <v>3052</v>
      </c>
      <c r="C183" s="2947"/>
      <c r="D183" s="2947"/>
      <c r="E183" s="2947"/>
      <c r="F183" s="2947">
        <v>2340</v>
      </c>
      <c r="G183" s="2947"/>
    </row>
    <row r="184" spans="1:7" s="2781" customFormat="1" ht="14.25" customHeight="1">
      <c r="A184" s="2947" t="s">
        <v>29</v>
      </c>
      <c r="B184" s="2947" t="s">
        <v>3053</v>
      </c>
      <c r="C184" s="2947"/>
      <c r="D184" s="2947"/>
      <c r="E184" s="2947"/>
      <c r="F184" s="2947">
        <v>2340</v>
      </c>
      <c r="G184" s="2947"/>
    </row>
    <row r="185" spans="1:7" s="2781" customFormat="1" ht="14.25" customHeight="1">
      <c r="A185" s="2947" t="s">
        <v>29</v>
      </c>
      <c r="B185" s="2947" t="s">
        <v>3054</v>
      </c>
      <c r="C185" s="2947"/>
      <c r="D185" s="2947"/>
      <c r="E185" s="2947"/>
      <c r="F185" s="2947">
        <v>2530</v>
      </c>
      <c r="G185" s="2947"/>
    </row>
    <row r="186" spans="1:7" s="2781" customFormat="1" ht="14.25" customHeight="1">
      <c r="A186" s="2947" t="s">
        <v>29</v>
      </c>
      <c r="B186" s="2947" t="s">
        <v>3055</v>
      </c>
      <c r="C186" s="2947"/>
      <c r="D186" s="2947"/>
      <c r="E186" s="2947"/>
      <c r="F186" s="2947">
        <v>2550</v>
      </c>
      <c r="G186" s="2947"/>
    </row>
    <row r="187" spans="1:7" s="2781" customFormat="1" ht="14.25" customHeight="1">
      <c r="A187" s="2947" t="s">
        <v>29</v>
      </c>
      <c r="B187" s="2947" t="s">
        <v>3056</v>
      </c>
      <c r="C187" s="2947"/>
      <c r="D187" s="2947"/>
      <c r="E187" s="2947"/>
      <c r="F187" s="2947">
        <v>2070</v>
      </c>
      <c r="G187" s="2947"/>
    </row>
    <row r="188" spans="1:7" s="2781" customFormat="1" ht="14.25" customHeight="1">
      <c r="A188" s="2947" t="s">
        <v>29</v>
      </c>
      <c r="B188" s="2947" t="s">
        <v>3057</v>
      </c>
      <c r="C188" s="2947"/>
      <c r="D188" s="2947"/>
      <c r="E188" s="2947"/>
      <c r="F188" s="2947">
        <v>2340</v>
      </c>
      <c r="G188" s="2947"/>
    </row>
    <row r="189" spans="1:7" s="2781" customFormat="1" ht="14.25" customHeight="1" thickBot="1">
      <c r="A189" s="2955" t="s">
        <v>29</v>
      </c>
      <c r="B189" s="2958" t="s">
        <v>3058</v>
      </c>
      <c r="C189" s="2958"/>
      <c r="D189" s="2958"/>
      <c r="E189" s="2958"/>
      <c r="F189" s="2958">
        <v>2050</v>
      </c>
      <c r="G189" s="2958"/>
    </row>
    <row r="190" spans="1:7" s="2781" customFormat="1" ht="14.25" customHeight="1">
      <c r="A190" s="2952" t="s">
        <v>304</v>
      </c>
      <c r="B190" s="2943" t="s">
        <v>3078</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3079</v>
      </c>
      <c r="C199" s="2947">
        <v>8690</v>
      </c>
      <c r="D199" s="2947">
        <v>8630</v>
      </c>
      <c r="E199" s="2947">
        <v>11350</v>
      </c>
      <c r="F199" s="2947">
        <v>1600</v>
      </c>
      <c r="G199" s="2960">
        <v>5450</v>
      </c>
    </row>
    <row r="200" spans="1:7" s="2781" customFormat="1" ht="14.25" customHeight="1">
      <c r="A200" s="2947" t="s">
        <v>304</v>
      </c>
      <c r="B200" s="2947" t="s">
        <v>2890</v>
      </c>
      <c r="C200" s="2947"/>
      <c r="D200" s="2947"/>
      <c r="E200" s="2947"/>
      <c r="F200" s="2947">
        <v>1510</v>
      </c>
      <c r="G200" s="2960"/>
    </row>
    <row r="201" spans="1:7" s="2781" customFormat="1" ht="14.25" customHeight="1">
      <c r="A201" s="2947" t="s">
        <v>304</v>
      </c>
      <c r="B201" s="2947" t="s">
        <v>3080</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3081</v>
      </c>
      <c r="C203" s="2947">
        <v>8130</v>
      </c>
      <c r="D203" s="2947">
        <v>8070</v>
      </c>
      <c r="E203" s="2947">
        <v>10820</v>
      </c>
      <c r="F203" s="2947">
        <v>1690</v>
      </c>
      <c r="G203" s="2960">
        <v>5100</v>
      </c>
    </row>
    <row r="204" spans="1:7" s="2781" customFormat="1" ht="14.25" customHeight="1">
      <c r="A204" s="2947" t="s">
        <v>304</v>
      </c>
      <c r="B204" s="2947" t="s">
        <v>2901</v>
      </c>
      <c r="C204" s="2947">
        <v>8350</v>
      </c>
      <c r="D204" s="2947">
        <v>8290</v>
      </c>
      <c r="E204" s="2947">
        <v>11080</v>
      </c>
      <c r="F204" s="2947">
        <v>1450</v>
      </c>
      <c r="G204" s="2960">
        <v>5240</v>
      </c>
    </row>
    <row r="205" spans="1:7" s="2781" customFormat="1" ht="14.25" customHeight="1">
      <c r="A205" s="2947" t="s">
        <v>304</v>
      </c>
      <c r="B205" s="2947" t="s">
        <v>2903</v>
      </c>
      <c r="C205" s="2947">
        <v>7190</v>
      </c>
      <c r="D205" s="2947">
        <v>7130</v>
      </c>
      <c r="E205" s="2947">
        <v>9490</v>
      </c>
      <c r="F205" s="2947">
        <v>1470</v>
      </c>
      <c r="G205" s="2960">
        <v>4510</v>
      </c>
    </row>
    <row r="206" spans="1:7" s="2781" customFormat="1" ht="14.25" customHeight="1">
      <c r="A206" s="2947" t="s">
        <v>304</v>
      </c>
      <c r="B206" s="2947" t="s">
        <v>2906</v>
      </c>
      <c r="C206" s="2947">
        <v>7000</v>
      </c>
      <c r="D206" s="2947">
        <v>6950</v>
      </c>
      <c r="E206" s="2947">
        <v>9170</v>
      </c>
      <c r="F206" s="2947">
        <v>1400</v>
      </c>
      <c r="G206" s="2960">
        <v>4380</v>
      </c>
    </row>
    <row r="207" spans="1:7" s="2781" customFormat="1" ht="14.25" customHeight="1">
      <c r="A207" s="2947" t="s">
        <v>304</v>
      </c>
      <c r="B207" s="2947" t="s">
        <v>2908</v>
      </c>
      <c r="C207" s="2947">
        <v>6950</v>
      </c>
      <c r="D207" s="2947">
        <v>6900</v>
      </c>
      <c r="E207" s="2947">
        <v>9110</v>
      </c>
      <c r="F207" s="2947">
        <v>1790</v>
      </c>
      <c r="G207" s="2960">
        <v>4360</v>
      </c>
    </row>
    <row r="208" spans="1:7" s="2781" customFormat="1" ht="14.25" customHeight="1">
      <c r="A208" s="2947" t="s">
        <v>304</v>
      </c>
      <c r="B208" s="2947" t="s">
        <v>3082</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2918</v>
      </c>
      <c r="C210" s="2947">
        <v>8710</v>
      </c>
      <c r="D210" s="2947">
        <v>8660</v>
      </c>
      <c r="E210" s="2947">
        <v>11440</v>
      </c>
      <c r="F210" s="2947">
        <v>1740</v>
      </c>
      <c r="G210" s="2960">
        <v>5470</v>
      </c>
    </row>
    <row r="211" spans="1:7" s="2781" customFormat="1" ht="14.25" customHeight="1">
      <c r="A211" s="2947" t="s">
        <v>304</v>
      </c>
      <c r="B211" s="2947" t="s">
        <v>3083</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3084</v>
      </c>
      <c r="C214" s="2947">
        <v>8090</v>
      </c>
      <c r="D214" s="2947">
        <v>8030</v>
      </c>
      <c r="E214" s="2947">
        <v>10780</v>
      </c>
      <c r="F214" s="2947">
        <v>1570</v>
      </c>
      <c r="G214" s="2960">
        <v>5070</v>
      </c>
    </row>
    <row r="215" spans="1:7" s="2781" customFormat="1" ht="14.25" customHeight="1">
      <c r="A215" s="2947" t="s">
        <v>304</v>
      </c>
      <c r="B215" s="2947" t="s">
        <v>3085</v>
      </c>
      <c r="C215" s="2947">
        <v>7950</v>
      </c>
      <c r="D215" s="2947">
        <v>7900</v>
      </c>
      <c r="E215" s="2947">
        <v>10560</v>
      </c>
      <c r="F215" s="2947">
        <v>1630</v>
      </c>
      <c r="G215" s="2960">
        <v>4990</v>
      </c>
    </row>
    <row r="216" spans="1:7" s="2781" customFormat="1" ht="14.25" customHeight="1">
      <c r="A216" s="2947" t="s">
        <v>304</v>
      </c>
      <c r="B216" s="2947" t="s">
        <v>3086</v>
      </c>
      <c r="C216" s="2947">
        <v>8490</v>
      </c>
      <c r="D216" s="2947">
        <v>8440</v>
      </c>
      <c r="E216" s="2947">
        <v>11260</v>
      </c>
      <c r="F216" s="2947">
        <v>1690</v>
      </c>
      <c r="G216" s="2960">
        <v>5330</v>
      </c>
    </row>
    <row r="217" spans="1:7" s="2781" customFormat="1" ht="14.25" customHeight="1">
      <c r="A217" s="2947" t="s">
        <v>304</v>
      </c>
      <c r="B217" s="2947" t="s">
        <v>2951</v>
      </c>
      <c r="C217" s="2947">
        <v>8200</v>
      </c>
      <c r="D217" s="2947">
        <v>8150</v>
      </c>
      <c r="E217" s="2947">
        <v>10910</v>
      </c>
      <c r="F217" s="2947">
        <v>1670</v>
      </c>
      <c r="G217" s="2960">
        <v>5150</v>
      </c>
    </row>
    <row r="218" spans="1:7" s="2781" customFormat="1" ht="14.25" customHeight="1">
      <c r="A218" s="2947" t="s">
        <v>304</v>
      </c>
      <c r="B218" s="2947" t="s">
        <v>3087</v>
      </c>
      <c r="C218" s="2947"/>
      <c r="D218" s="2947"/>
      <c r="E218" s="2947"/>
      <c r="F218" s="2947">
        <v>2040</v>
      </c>
      <c r="G218" s="2960"/>
    </row>
    <row r="219" spans="1:7" s="2781" customFormat="1" ht="14.25" customHeight="1">
      <c r="A219" s="2947" t="s">
        <v>304</v>
      </c>
      <c r="B219" s="2947" t="s">
        <v>3088</v>
      </c>
      <c r="C219" s="2947"/>
      <c r="D219" s="2947"/>
      <c r="E219" s="2947"/>
      <c r="F219" s="2947">
        <v>2040</v>
      </c>
      <c r="G219" s="2960"/>
    </row>
    <row r="220" spans="1:7" s="2781" customFormat="1" ht="14.25" customHeight="1">
      <c r="A220" s="2947" t="s">
        <v>304</v>
      </c>
      <c r="B220" s="2947" t="s">
        <v>3089</v>
      </c>
      <c r="C220" s="2947"/>
      <c r="D220" s="2947"/>
      <c r="E220" s="2947"/>
      <c r="F220" s="2947">
        <v>2040</v>
      </c>
      <c r="G220" s="2960"/>
    </row>
    <row r="221" spans="1:7" s="2781" customFormat="1" ht="14.25" customHeight="1">
      <c r="A221" s="2947" t="s">
        <v>304</v>
      </c>
      <c r="B221" s="2947" t="s">
        <v>3090</v>
      </c>
      <c r="C221" s="2947"/>
      <c r="D221" s="2947"/>
      <c r="E221" s="2947"/>
      <c r="F221" s="2947">
        <v>2040</v>
      </c>
      <c r="G221" s="2960"/>
    </row>
    <row r="222" spans="1:7" s="2781" customFormat="1" ht="14.25" customHeight="1">
      <c r="A222" s="2947" t="s">
        <v>304</v>
      </c>
      <c r="B222" s="2947" t="s">
        <v>3091</v>
      </c>
      <c r="C222" s="2947"/>
      <c r="D222" s="2947"/>
      <c r="E222" s="2947"/>
      <c r="F222" s="2947">
        <v>2040</v>
      </c>
      <c r="G222" s="2960"/>
    </row>
    <row r="223" spans="1:7" s="2781" customFormat="1" ht="14.25" customHeight="1">
      <c r="A223" s="2947" t="s">
        <v>304</v>
      </c>
      <c r="B223" s="2947" t="s">
        <v>3092</v>
      </c>
      <c r="C223" s="2947"/>
      <c r="D223" s="2947"/>
      <c r="E223" s="2947"/>
      <c r="F223" s="2947">
        <v>1930</v>
      </c>
      <c r="G223" s="2960"/>
    </row>
    <row r="224" spans="1:7" s="2781" customFormat="1" ht="14.25" customHeight="1">
      <c r="A224" s="2947" t="s">
        <v>304</v>
      </c>
      <c r="B224" s="2947" t="s">
        <v>3093</v>
      </c>
      <c r="C224" s="2947"/>
      <c r="D224" s="2947"/>
      <c r="E224" s="2947"/>
      <c r="F224" s="2947">
        <v>1930</v>
      </c>
      <c r="G224" s="2960"/>
    </row>
    <row r="225" spans="1:7" s="2781" customFormat="1" ht="14.25" customHeight="1">
      <c r="A225" s="2947" t="s">
        <v>304</v>
      </c>
      <c r="B225" s="2947" t="s">
        <v>3094</v>
      </c>
      <c r="C225" s="2947"/>
      <c r="D225" s="2947"/>
      <c r="E225" s="2947"/>
      <c r="F225" s="2947">
        <v>1930</v>
      </c>
      <c r="G225" s="2960"/>
    </row>
    <row r="226" spans="1:7" s="2781" customFormat="1" ht="14.25" customHeight="1">
      <c r="A226" s="2947" t="s">
        <v>304</v>
      </c>
      <c r="B226" s="2947" t="s">
        <v>3095</v>
      </c>
      <c r="C226" s="2947"/>
      <c r="D226" s="2947"/>
      <c r="E226" s="2947"/>
      <c r="F226" s="2947">
        <v>1700</v>
      </c>
      <c r="G226" s="2960"/>
    </row>
    <row r="227" spans="1:7" s="2781" customFormat="1" ht="14.25" customHeight="1">
      <c r="A227" s="2947" t="s">
        <v>304</v>
      </c>
      <c r="B227" s="2947" t="s">
        <v>3096</v>
      </c>
      <c r="C227" s="2947"/>
      <c r="D227" s="2947"/>
      <c r="E227" s="2947"/>
      <c r="F227" s="2947">
        <v>1520</v>
      </c>
      <c r="G227" s="2960"/>
    </row>
    <row r="228" spans="1:7" s="2781" customFormat="1" ht="14.25" customHeight="1">
      <c r="A228" s="2947" t="s">
        <v>304</v>
      </c>
      <c r="B228" s="2947" t="s">
        <v>3097</v>
      </c>
      <c r="C228" s="2947"/>
      <c r="D228" s="2947"/>
      <c r="E228" s="2947"/>
      <c r="F228" s="2947">
        <v>1520</v>
      </c>
      <c r="G228" s="2960"/>
    </row>
    <row r="229" spans="1:7" s="2781" customFormat="1" ht="14.25" customHeight="1">
      <c r="A229" s="2947" t="s">
        <v>304</v>
      </c>
      <c r="B229" s="2947" t="s">
        <v>3014</v>
      </c>
      <c r="C229" s="2947"/>
      <c r="D229" s="2947"/>
      <c r="E229" s="2947"/>
      <c r="F229" s="2947">
        <v>1520</v>
      </c>
      <c r="G229" s="2960"/>
    </row>
    <row r="230" spans="1:7" s="2781" customFormat="1" ht="14.25" customHeight="1">
      <c r="A230" s="2947" t="s">
        <v>304</v>
      </c>
      <c r="B230" s="2947" t="s">
        <v>3098</v>
      </c>
      <c r="C230" s="2947"/>
      <c r="D230" s="2947"/>
      <c r="E230" s="2947"/>
      <c r="F230" s="2947">
        <v>1820</v>
      </c>
      <c r="G230" s="2960"/>
    </row>
    <row r="231" spans="1:7" s="2781" customFormat="1" ht="14.25" customHeight="1">
      <c r="A231" s="2947" t="s">
        <v>304</v>
      </c>
      <c r="B231" s="2947" t="s">
        <v>3099</v>
      </c>
      <c r="C231" s="2947"/>
      <c r="D231" s="2947"/>
      <c r="E231" s="2947"/>
      <c r="F231" s="2947">
        <v>1760</v>
      </c>
      <c r="G231" s="2960"/>
    </row>
    <row r="232" spans="1:7" s="2781" customFormat="1" ht="14.25" customHeight="1">
      <c r="A232" s="2947" t="s">
        <v>304</v>
      </c>
      <c r="B232" s="2947" t="s">
        <v>3100</v>
      </c>
      <c r="C232" s="2947"/>
      <c r="D232" s="2947"/>
      <c r="E232" s="2947"/>
      <c r="F232" s="2947">
        <v>1840</v>
      </c>
      <c r="G232" s="2960"/>
    </row>
    <row r="233" spans="1:7" s="2781" customFormat="1" ht="14.25" customHeight="1" thickBot="1">
      <c r="A233" s="2961" t="s">
        <v>304</v>
      </c>
      <c r="B233" s="2954" t="s">
        <v>3031</v>
      </c>
      <c r="C233" s="2954"/>
      <c r="D233" s="2954"/>
      <c r="E233" s="2954"/>
      <c r="F233" s="2954">
        <v>1770</v>
      </c>
      <c r="G233" s="2962"/>
    </row>
    <row r="234" spans="1:7" s="2781" customFormat="1" ht="14.25" customHeight="1">
      <c r="A234" s="2952" t="s">
        <v>305</v>
      </c>
      <c r="B234" s="2943" t="s">
        <v>3101</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2872</v>
      </c>
      <c r="C238" s="2947">
        <v>6920</v>
      </c>
      <c r="D238" s="2947">
        <v>6890</v>
      </c>
      <c r="E238" s="2947">
        <v>8640</v>
      </c>
      <c r="F238" s="2947">
        <v>1310</v>
      </c>
      <c r="G238" s="2947">
        <v>4230</v>
      </c>
    </row>
    <row r="239" spans="1:7" s="2781" customFormat="1" ht="14.25" customHeight="1">
      <c r="A239" s="2947" t="s">
        <v>305</v>
      </c>
      <c r="B239" s="2947" t="s">
        <v>3102</v>
      </c>
      <c r="C239" s="2947">
        <v>6780</v>
      </c>
      <c r="D239" s="2947">
        <v>6750</v>
      </c>
      <c r="E239" s="2947">
        <v>8440</v>
      </c>
      <c r="F239" s="2947">
        <v>1160</v>
      </c>
      <c r="G239" s="2947">
        <v>4140</v>
      </c>
    </row>
    <row r="240" spans="1:7" s="2781" customFormat="1" ht="14.25" customHeight="1">
      <c r="A240" s="2947" t="s">
        <v>305</v>
      </c>
      <c r="B240" s="2947" t="s">
        <v>3103</v>
      </c>
      <c r="C240" s="2947">
        <v>5420</v>
      </c>
      <c r="D240" s="2947">
        <v>5380</v>
      </c>
      <c r="E240" s="2947">
        <v>6640</v>
      </c>
      <c r="F240" s="2947">
        <v>1020</v>
      </c>
      <c r="G240" s="2947">
        <v>3300</v>
      </c>
    </row>
    <row r="241" spans="1:7" s="2781" customFormat="1" ht="14.25" customHeight="1">
      <c r="A241" s="2947" t="s">
        <v>305</v>
      </c>
      <c r="B241" s="2947" t="s">
        <v>3104</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3105</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3106</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3107</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3108</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3109</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2934</v>
      </c>
      <c r="C258" s="2947">
        <v>6190</v>
      </c>
      <c r="D258" s="2947">
        <v>6160</v>
      </c>
      <c r="E258" s="2947">
        <v>7680</v>
      </c>
      <c r="F258" s="2947">
        <v>1170</v>
      </c>
      <c r="G258" s="2947">
        <v>3780</v>
      </c>
    </row>
    <row r="259" spans="1:7" s="2781" customFormat="1" ht="14.25" customHeight="1">
      <c r="A259" s="2947" t="s">
        <v>305</v>
      </c>
      <c r="B259" s="2947" t="s">
        <v>3110</v>
      </c>
      <c r="C259" s="2947">
        <v>7610</v>
      </c>
      <c r="D259" s="2947">
        <v>7570</v>
      </c>
      <c r="E259" s="2947">
        <v>9350</v>
      </c>
      <c r="F259" s="2947">
        <v>1350</v>
      </c>
      <c r="G259" s="2947">
        <v>4650</v>
      </c>
    </row>
    <row r="260" spans="1:7" s="2781" customFormat="1" ht="14.25" customHeight="1">
      <c r="A260" s="2947" t="s">
        <v>305</v>
      </c>
      <c r="B260" s="2947" t="s">
        <v>3111</v>
      </c>
      <c r="C260" s="2947">
        <v>6920</v>
      </c>
      <c r="D260" s="2947">
        <v>6880</v>
      </c>
      <c r="E260" s="2947">
        <v>8380</v>
      </c>
      <c r="F260" s="2947">
        <v>1160</v>
      </c>
      <c r="G260" s="2947">
        <v>4220</v>
      </c>
    </row>
    <row r="261" spans="1:7" s="2781" customFormat="1" ht="14.25" customHeight="1">
      <c r="A261" s="2947" t="s">
        <v>305</v>
      </c>
      <c r="B261" s="2947" t="s">
        <v>3112</v>
      </c>
      <c r="C261" s="2947">
        <v>6850</v>
      </c>
      <c r="D261" s="2947">
        <v>6810</v>
      </c>
      <c r="E261" s="2947">
        <v>8290</v>
      </c>
      <c r="F261" s="2947">
        <v>1130</v>
      </c>
      <c r="G261" s="2947">
        <v>4180</v>
      </c>
    </row>
    <row r="262" spans="1:7" s="2781" customFormat="1" ht="14.25" customHeight="1">
      <c r="A262" s="2947" t="s">
        <v>305</v>
      </c>
      <c r="B262" s="2947" t="s">
        <v>3113</v>
      </c>
      <c r="C262" s="2947">
        <v>5860</v>
      </c>
      <c r="D262" s="2947">
        <v>5820</v>
      </c>
      <c r="E262" s="2947">
        <v>7640</v>
      </c>
      <c r="F262" s="2947">
        <v>1070</v>
      </c>
      <c r="G262" s="2947">
        <v>3570</v>
      </c>
    </row>
    <row r="263" spans="1:7" s="2781" customFormat="1" ht="14.25" customHeight="1">
      <c r="A263" s="2947" t="s">
        <v>305</v>
      </c>
      <c r="B263" s="2947" t="s">
        <v>3114</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3115</v>
      </c>
      <c r="C265" s="2947"/>
      <c r="D265" s="2947"/>
      <c r="E265" s="2947"/>
      <c r="F265" s="2947">
        <v>1500</v>
      </c>
      <c r="G265" s="2947"/>
    </row>
    <row r="266" spans="1:7" s="2781" customFormat="1" ht="14.25" customHeight="1">
      <c r="A266" s="2947" t="s">
        <v>305</v>
      </c>
      <c r="B266" s="2947" t="s">
        <v>3116</v>
      </c>
      <c r="C266" s="2947"/>
      <c r="D266" s="2947"/>
      <c r="E266" s="2947"/>
      <c r="F266" s="2947">
        <v>1500</v>
      </c>
      <c r="G266" s="2947"/>
    </row>
    <row r="267" spans="1:7" s="2781" customFormat="1" ht="14.25" customHeight="1">
      <c r="A267" s="2947" t="s">
        <v>305</v>
      </c>
      <c r="B267" s="2947" t="s">
        <v>3117</v>
      </c>
      <c r="C267" s="2947"/>
      <c r="D267" s="2947"/>
      <c r="E267" s="2947"/>
      <c r="F267" s="2947">
        <v>1500</v>
      </c>
      <c r="G267" s="2947"/>
    </row>
    <row r="268" spans="1:7" s="2781" customFormat="1" ht="14.25" customHeight="1">
      <c r="A268" s="2947" t="s">
        <v>305</v>
      </c>
      <c r="B268" s="2947" t="s">
        <v>3118</v>
      </c>
      <c r="C268" s="2947"/>
      <c r="D268" s="2947"/>
      <c r="E268" s="2947"/>
      <c r="F268" s="2947">
        <v>1290</v>
      </c>
      <c r="G268" s="2947"/>
    </row>
    <row r="269" spans="1:7" s="2781" customFormat="1" ht="14.25" customHeight="1">
      <c r="A269" s="2947" t="s">
        <v>305</v>
      </c>
      <c r="B269" s="2947" t="s">
        <v>3119</v>
      </c>
      <c r="C269" s="2947"/>
      <c r="D269" s="2947"/>
      <c r="E269" s="2947"/>
      <c r="F269" s="2947">
        <v>1150</v>
      </c>
      <c r="G269" s="2947"/>
    </row>
    <row r="270" spans="1:7" s="2781" customFormat="1" ht="14.25" customHeight="1">
      <c r="A270" s="2947" t="s">
        <v>305</v>
      </c>
      <c r="B270" s="2947" t="s">
        <v>3120</v>
      </c>
      <c r="C270" s="2947"/>
      <c r="D270" s="2947"/>
      <c r="E270" s="2947"/>
      <c r="F270" s="2947">
        <v>1380</v>
      </c>
      <c r="G270" s="2947"/>
    </row>
    <row r="271" spans="1:7" s="2781" customFormat="1" ht="14.25" customHeight="1">
      <c r="A271" s="2947" t="s">
        <v>305</v>
      </c>
      <c r="B271" s="2947" t="s">
        <v>3121</v>
      </c>
      <c r="C271" s="2947"/>
      <c r="D271" s="2947"/>
      <c r="E271" s="2947"/>
      <c r="F271" s="2947">
        <v>1460</v>
      </c>
      <c r="G271" s="2947"/>
    </row>
    <row r="272" spans="1:7" s="2781" customFormat="1" ht="14.25" customHeight="1">
      <c r="A272" s="2947" t="s">
        <v>305</v>
      </c>
      <c r="B272" s="2947" t="s">
        <v>3122</v>
      </c>
      <c r="C272" s="2947"/>
      <c r="D272" s="2947"/>
      <c r="E272" s="2947"/>
      <c r="F272" s="2947">
        <v>1460</v>
      </c>
      <c r="G272" s="2947"/>
    </row>
    <row r="273" spans="1:7" s="2781" customFormat="1" ht="14.25" customHeight="1">
      <c r="A273" s="2947" t="s">
        <v>305</v>
      </c>
      <c r="B273" s="2947" t="s">
        <v>3015</v>
      </c>
      <c r="C273" s="2947"/>
      <c r="D273" s="2947"/>
      <c r="E273" s="2947"/>
      <c r="F273" s="2947">
        <v>1490</v>
      </c>
      <c r="G273" s="2947"/>
    </row>
    <row r="274" spans="1:7" s="2781" customFormat="1" ht="14.25" customHeight="1">
      <c r="A274" s="2947" t="s">
        <v>305</v>
      </c>
      <c r="B274" s="2947" t="s">
        <v>3123</v>
      </c>
      <c r="C274" s="2947"/>
      <c r="D274" s="2947"/>
      <c r="E274" s="2947"/>
      <c r="F274" s="2947">
        <v>1490</v>
      </c>
      <c r="G274" s="2947"/>
    </row>
    <row r="275" spans="1:7" s="2781" customFormat="1" ht="14.25" customHeight="1">
      <c r="A275" s="2947" t="s">
        <v>305</v>
      </c>
      <c r="B275" s="2947" t="s">
        <v>3124</v>
      </c>
      <c r="C275" s="2947"/>
      <c r="D275" s="2947"/>
      <c r="E275" s="2947"/>
      <c r="F275" s="2947">
        <v>1220</v>
      </c>
      <c r="G275" s="2947"/>
    </row>
    <row r="276" spans="1:7" s="2781" customFormat="1" ht="14.25" customHeight="1" thickBot="1">
      <c r="A276" s="2955" t="s">
        <v>305</v>
      </c>
      <c r="B276" s="2957" t="s">
        <v>3125</v>
      </c>
      <c r="C276" s="2958"/>
      <c r="D276" s="2958"/>
      <c r="E276" s="2958"/>
      <c r="F276" s="2958">
        <v>1380</v>
      </c>
      <c r="G276" s="2958"/>
    </row>
    <row r="277" spans="1:7" s="2781" customFormat="1" ht="14.25" customHeight="1">
      <c r="A277" s="2952" t="s">
        <v>306</v>
      </c>
      <c r="B277" s="2943" t="s">
        <v>3126</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3127</v>
      </c>
      <c r="C279" s="2947">
        <v>4760</v>
      </c>
      <c r="D279" s="2947">
        <v>4720</v>
      </c>
      <c r="E279" s="2947">
        <v>5540</v>
      </c>
      <c r="F279" s="2947">
        <v>810</v>
      </c>
      <c r="G279" s="2960">
        <v>2850</v>
      </c>
    </row>
    <row r="280" spans="1:7" s="2781" customFormat="1" ht="14.25" customHeight="1">
      <c r="A280" s="2947" t="s">
        <v>306</v>
      </c>
      <c r="B280" s="2947" t="s">
        <v>3128</v>
      </c>
      <c r="C280" s="2947">
        <v>4010</v>
      </c>
      <c r="D280" s="2947">
        <v>3950</v>
      </c>
      <c r="E280" s="2947">
        <v>4710</v>
      </c>
      <c r="F280" s="2947">
        <v>800</v>
      </c>
      <c r="G280" s="2960">
        <v>2390</v>
      </c>
    </row>
    <row r="281" spans="1:7" s="2781" customFormat="1" ht="14.25" customHeight="1">
      <c r="A281" s="2947" t="s">
        <v>306</v>
      </c>
      <c r="B281" s="2947" t="s">
        <v>3129</v>
      </c>
      <c r="C281" s="2947">
        <v>4480</v>
      </c>
      <c r="D281" s="2947">
        <v>4420</v>
      </c>
      <c r="E281" s="2947">
        <v>5230</v>
      </c>
      <c r="F281" s="2947">
        <v>870</v>
      </c>
      <c r="G281" s="2960">
        <v>2660</v>
      </c>
    </row>
    <row r="282" spans="1:7" s="2781" customFormat="1" ht="14.25" customHeight="1">
      <c r="A282" s="2947" t="s">
        <v>306</v>
      </c>
      <c r="B282" s="2947" t="s">
        <v>3130</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3131</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3132</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2907</v>
      </c>
      <c r="C293" s="2947">
        <v>5320</v>
      </c>
      <c r="D293" s="2947">
        <v>5270</v>
      </c>
      <c r="E293" s="2947">
        <v>6160</v>
      </c>
      <c r="F293" s="2947">
        <v>990</v>
      </c>
      <c r="G293" s="2960">
        <v>3170</v>
      </c>
    </row>
    <row r="294" spans="1:7" s="2781" customFormat="1" ht="14.25" customHeight="1">
      <c r="A294" s="2947" t="s">
        <v>306</v>
      </c>
      <c r="B294" s="2947" t="s">
        <v>3133</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2926</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3134</v>
      </c>
      <c r="C302" s="2947">
        <v>5520</v>
      </c>
      <c r="D302" s="2947">
        <v>5470</v>
      </c>
      <c r="E302" s="2947">
        <v>6410</v>
      </c>
      <c r="F302" s="2947">
        <v>950</v>
      </c>
      <c r="G302" s="2960">
        <v>3300</v>
      </c>
    </row>
    <row r="303" spans="1:7" s="2781" customFormat="1" ht="14.25" customHeight="1">
      <c r="A303" s="2947" t="s">
        <v>306</v>
      </c>
      <c r="B303" s="2947" t="s">
        <v>2946</v>
      </c>
      <c r="C303" s="2947">
        <v>5630</v>
      </c>
      <c r="D303" s="2947">
        <v>5590</v>
      </c>
      <c r="E303" s="2947">
        <v>6550</v>
      </c>
      <c r="F303" s="2947">
        <v>1010</v>
      </c>
      <c r="G303" s="2960">
        <v>3370</v>
      </c>
    </row>
    <row r="304" spans="1:7" s="2781" customFormat="1" ht="14.25" customHeight="1">
      <c r="A304" s="2947" t="s">
        <v>306</v>
      </c>
      <c r="B304" s="2947" t="s">
        <v>2953</v>
      </c>
      <c r="C304" s="2947">
        <v>5680</v>
      </c>
      <c r="D304" s="2947">
        <v>5620</v>
      </c>
      <c r="E304" s="2947">
        <v>6620</v>
      </c>
      <c r="F304" s="2947">
        <v>1050</v>
      </c>
      <c r="G304" s="2960">
        <v>3390</v>
      </c>
    </row>
    <row r="305" spans="1:7" s="2781" customFormat="1" ht="14.25" customHeight="1">
      <c r="A305" s="2947" t="s">
        <v>306</v>
      </c>
      <c r="B305" s="2947" t="s">
        <v>2959</v>
      </c>
      <c r="C305" s="2947">
        <v>5590</v>
      </c>
      <c r="D305" s="2947">
        <v>5530</v>
      </c>
      <c r="E305" s="2947">
        <v>6460</v>
      </c>
      <c r="F305" s="2947">
        <v>900</v>
      </c>
      <c r="G305" s="2960">
        <v>3340</v>
      </c>
    </row>
    <row r="306" spans="1:7" s="2781" customFormat="1" ht="14.25" customHeight="1">
      <c r="A306" s="2947" t="s">
        <v>306</v>
      </c>
      <c r="B306" s="2947" t="s">
        <v>3135</v>
      </c>
      <c r="C306" s="2947">
        <v>5560</v>
      </c>
      <c r="D306" s="2947">
        <v>5510</v>
      </c>
      <c r="E306" s="2947">
        <v>6440</v>
      </c>
      <c r="F306" s="2947">
        <v>900</v>
      </c>
      <c r="G306" s="2960">
        <v>3320</v>
      </c>
    </row>
    <row r="307" spans="1:7" s="2781" customFormat="1" ht="14.25" customHeight="1">
      <c r="A307" s="2947" t="s">
        <v>306</v>
      </c>
      <c r="B307" s="2947" t="s">
        <v>2971</v>
      </c>
      <c r="C307" s="2947">
        <v>5650</v>
      </c>
      <c r="D307" s="2947">
        <v>5600</v>
      </c>
      <c r="E307" s="2947">
        <v>6590</v>
      </c>
      <c r="F307" s="2947">
        <v>930</v>
      </c>
      <c r="G307" s="2960">
        <v>3380</v>
      </c>
    </row>
    <row r="308" spans="1:7" s="2781" customFormat="1" ht="14.25" customHeight="1">
      <c r="A308" s="2947" t="s">
        <v>306</v>
      </c>
      <c r="B308" s="2947" t="s">
        <v>3136</v>
      </c>
      <c r="C308" s="2947">
        <v>5620</v>
      </c>
      <c r="D308" s="2947">
        <v>5580</v>
      </c>
      <c r="E308" s="2947">
        <v>6540</v>
      </c>
      <c r="F308" s="2947">
        <v>910</v>
      </c>
      <c r="G308" s="2960">
        <v>3370</v>
      </c>
    </row>
    <row r="309" spans="1:7" s="2781" customFormat="1" ht="14.25" customHeight="1">
      <c r="A309" s="2947" t="s">
        <v>306</v>
      </c>
      <c r="B309" s="2947" t="s">
        <v>3137</v>
      </c>
      <c r="C309" s="2947">
        <v>5060</v>
      </c>
      <c r="D309" s="2947">
        <v>5020</v>
      </c>
      <c r="E309" s="2947">
        <v>6370</v>
      </c>
      <c r="F309" s="2947">
        <v>800</v>
      </c>
      <c r="G309" s="2960">
        <v>3020</v>
      </c>
    </row>
    <row r="310" spans="1:7" s="2781" customFormat="1" ht="14.25" customHeight="1">
      <c r="A310" s="2947" t="s">
        <v>306</v>
      </c>
      <c r="B310" s="2947" t="s">
        <v>2986</v>
      </c>
      <c r="C310" s="2947">
        <v>5150</v>
      </c>
      <c r="D310" s="2947">
        <v>5110</v>
      </c>
      <c r="E310" s="2947">
        <v>6500</v>
      </c>
      <c r="F310" s="2947">
        <v>880</v>
      </c>
      <c r="G310" s="2960">
        <v>3080</v>
      </c>
    </row>
    <row r="311" spans="1:7" s="2781" customFormat="1" ht="14.25" customHeight="1">
      <c r="A311" s="2947" t="s">
        <v>306</v>
      </c>
      <c r="B311" s="2947" t="s">
        <v>3138</v>
      </c>
      <c r="C311" s="2947">
        <v>4750</v>
      </c>
      <c r="D311" s="2947">
        <v>4710</v>
      </c>
      <c r="E311" s="2947">
        <v>5510</v>
      </c>
      <c r="F311" s="2947">
        <v>880</v>
      </c>
      <c r="G311" s="2960">
        <v>2840</v>
      </c>
    </row>
    <row r="312" spans="1:7" s="2781" customFormat="1" ht="14.25" customHeight="1">
      <c r="A312" s="2947" t="s">
        <v>306</v>
      </c>
      <c r="B312" s="2947" t="s">
        <v>2996</v>
      </c>
      <c r="C312" s="2947">
        <v>4690</v>
      </c>
      <c r="D312" s="2947">
        <v>4640</v>
      </c>
      <c r="E312" s="2947">
        <v>5420</v>
      </c>
      <c r="F312" s="2947">
        <v>800</v>
      </c>
      <c r="G312" s="2960">
        <v>2800</v>
      </c>
    </row>
    <row r="313" spans="1:7" s="2781" customFormat="1" ht="14.25" customHeight="1">
      <c r="A313" s="2947" t="s">
        <v>306</v>
      </c>
      <c r="B313" s="2947" t="s">
        <v>3001</v>
      </c>
      <c r="C313" s="2947">
        <v>4810</v>
      </c>
      <c r="D313" s="2947">
        <v>4760</v>
      </c>
      <c r="E313" s="2947">
        <v>5550</v>
      </c>
      <c r="F313" s="2947">
        <v>920</v>
      </c>
      <c r="G313" s="2960">
        <v>2870</v>
      </c>
    </row>
    <row r="314" spans="1:7" s="2781" customFormat="1" ht="14.25" customHeight="1">
      <c r="A314" s="2947" t="s">
        <v>306</v>
      </c>
      <c r="B314" s="2947" t="s">
        <v>3139</v>
      </c>
      <c r="C314" s="2947"/>
      <c r="D314" s="2947"/>
      <c r="E314" s="2947"/>
      <c r="F314" s="2947">
        <v>1020</v>
      </c>
      <c r="G314" s="2960"/>
    </row>
    <row r="315" spans="1:7" s="2781" customFormat="1" ht="14.25" customHeight="1">
      <c r="A315" s="2947" t="s">
        <v>306</v>
      </c>
      <c r="B315" s="2947" t="s">
        <v>3140</v>
      </c>
      <c r="C315" s="2947"/>
      <c r="D315" s="2947"/>
      <c r="E315" s="2947"/>
      <c r="F315" s="2947">
        <v>1050</v>
      </c>
      <c r="G315" s="2960"/>
    </row>
    <row r="316" spans="1:7" s="2781" customFormat="1" ht="14.25" customHeight="1">
      <c r="A316" s="2947" t="s">
        <v>306</v>
      </c>
      <c r="B316" s="2947" t="s">
        <v>3016</v>
      </c>
      <c r="C316" s="2947"/>
      <c r="D316" s="2947"/>
      <c r="E316" s="2947"/>
      <c r="F316" s="2947">
        <v>900</v>
      </c>
      <c r="G316" s="2960"/>
    </row>
    <row r="317" spans="1:7" s="2781" customFormat="1" ht="14.25" customHeight="1">
      <c r="A317" s="2947" t="s">
        <v>306</v>
      </c>
      <c r="B317" s="2947" t="s">
        <v>3141</v>
      </c>
      <c r="C317" s="2947"/>
      <c r="D317" s="2947"/>
      <c r="E317" s="2947"/>
      <c r="F317" s="2947">
        <v>920</v>
      </c>
      <c r="G317" s="2960"/>
    </row>
    <row r="318" spans="1:7" s="2781" customFormat="1" ht="14.25" customHeight="1">
      <c r="A318" s="2947" t="s">
        <v>306</v>
      </c>
      <c r="B318" s="2947" t="s">
        <v>3142</v>
      </c>
      <c r="C318" s="2947"/>
      <c r="D318" s="2947"/>
      <c r="E318" s="2947"/>
      <c r="F318" s="2947">
        <v>1080</v>
      </c>
      <c r="G318" s="2960"/>
    </row>
    <row r="319" spans="1:7" s="2781" customFormat="1" ht="14.25" customHeight="1">
      <c r="A319" s="2947" t="s">
        <v>306</v>
      </c>
      <c r="B319" s="2947" t="s">
        <v>3029</v>
      </c>
      <c r="C319" s="2947"/>
      <c r="D319" s="2947"/>
      <c r="E319" s="2947"/>
      <c r="F319" s="2947">
        <v>1020</v>
      </c>
      <c r="G319" s="2960"/>
    </row>
    <row r="320" spans="1:7" s="2781" customFormat="1" ht="14.25" customHeight="1">
      <c r="A320" s="2947" t="s">
        <v>306</v>
      </c>
      <c r="B320" s="2947" t="s">
        <v>3032</v>
      </c>
      <c r="C320" s="2947"/>
      <c r="D320" s="2947"/>
      <c r="E320" s="2947"/>
      <c r="F320" s="2947">
        <v>1050</v>
      </c>
      <c r="G320" s="2960"/>
    </row>
    <row r="321" spans="1:7" s="2781" customFormat="1" ht="14.25" customHeight="1">
      <c r="A321" s="2947" t="s">
        <v>306</v>
      </c>
      <c r="B321" s="2947" t="s">
        <v>3034</v>
      </c>
      <c r="C321" s="2947"/>
      <c r="D321" s="2947"/>
      <c r="E321" s="2947"/>
      <c r="F321" s="2947">
        <v>960</v>
      </c>
      <c r="G321" s="2960"/>
    </row>
    <row r="322" spans="1:7" s="2781" customFormat="1" ht="14.25" customHeight="1">
      <c r="A322" s="2947" t="s">
        <v>306</v>
      </c>
      <c r="B322" s="2947" t="s">
        <v>3036</v>
      </c>
      <c r="C322" s="2947"/>
      <c r="D322" s="2947"/>
      <c r="E322" s="2947"/>
      <c r="F322" s="2947">
        <v>960</v>
      </c>
      <c r="G322" s="2960"/>
    </row>
    <row r="323" spans="1:7" s="2781" customFormat="1" ht="14.25" customHeight="1">
      <c r="A323" s="2947" t="s">
        <v>306</v>
      </c>
      <c r="B323" s="2947" t="s">
        <v>3038</v>
      </c>
      <c r="C323" s="2947"/>
      <c r="D323" s="2947"/>
      <c r="E323" s="2947"/>
      <c r="F323" s="2947">
        <v>880</v>
      </c>
      <c r="G323" s="2960"/>
    </row>
    <row r="324" spans="1:7" s="2781" customFormat="1" ht="14.25" customHeight="1">
      <c r="A324" s="2947" t="s">
        <v>306</v>
      </c>
      <c r="B324" s="2947" t="s">
        <v>3040</v>
      </c>
      <c r="C324" s="2947"/>
      <c r="D324" s="2947"/>
      <c r="E324" s="2947"/>
      <c r="F324" s="2947">
        <v>930</v>
      </c>
      <c r="G324" s="2960"/>
    </row>
    <row r="325" spans="1:7" s="2781" customFormat="1" ht="14.25" customHeight="1">
      <c r="A325" s="2947" t="s">
        <v>306</v>
      </c>
      <c r="B325" s="2948" t="s">
        <v>3042</v>
      </c>
      <c r="C325" s="2947"/>
      <c r="D325" s="2947"/>
      <c r="E325" s="2947"/>
      <c r="F325" s="2947">
        <v>900</v>
      </c>
      <c r="G325" s="2960"/>
    </row>
    <row r="326" spans="1:7" s="2781" customFormat="1" ht="14.25" customHeight="1" thickBot="1">
      <c r="A326" s="2961" t="s">
        <v>306</v>
      </c>
      <c r="B326" s="2954" t="s">
        <v>3044</v>
      </c>
      <c r="C326" s="2954"/>
      <c r="D326" s="2954"/>
      <c r="E326" s="2954"/>
      <c r="F326" s="2954">
        <v>790</v>
      </c>
      <c r="G326" s="2962"/>
    </row>
    <row r="327" spans="1:7" s="2781" customFormat="1" ht="14.25" customHeight="1">
      <c r="A327" s="2952" t="s">
        <v>307</v>
      </c>
      <c r="B327" s="2943" t="s">
        <v>3143</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3144</v>
      </c>
      <c r="C329" s="2947">
        <v>2730</v>
      </c>
      <c r="D329" s="2947">
        <v>2690</v>
      </c>
      <c r="E329" s="2947">
        <v>3100</v>
      </c>
      <c r="F329" s="2947">
        <v>660</v>
      </c>
      <c r="G329" s="2947">
        <v>1610</v>
      </c>
    </row>
    <row r="330" spans="1:7" s="2781" customFormat="1" ht="14.25" customHeight="1">
      <c r="A330" s="2947" t="s">
        <v>307</v>
      </c>
      <c r="B330" s="2947" t="s">
        <v>3145</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2878</v>
      </c>
      <c r="C332" s="2947">
        <v>3520</v>
      </c>
      <c r="D332" s="2947">
        <v>3480</v>
      </c>
      <c r="E332" s="2947">
        <v>3830</v>
      </c>
      <c r="F332" s="2947">
        <v>720</v>
      </c>
      <c r="G332" s="2947">
        <v>2090</v>
      </c>
    </row>
    <row r="333" spans="1:7" s="2781" customFormat="1" ht="14.25" customHeight="1">
      <c r="A333" s="2947" t="s">
        <v>307</v>
      </c>
      <c r="B333" s="2947" t="s">
        <v>3146</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2888</v>
      </c>
      <c r="C336" s="2947">
        <v>3570</v>
      </c>
      <c r="D336" s="2947">
        <v>3530</v>
      </c>
      <c r="E336" s="2947">
        <v>3880</v>
      </c>
      <c r="F336" s="2947">
        <v>770</v>
      </c>
      <c r="G336" s="2947">
        <v>2110</v>
      </c>
    </row>
    <row r="337" spans="1:10" s="2781" customFormat="1" ht="14.25" customHeight="1">
      <c r="A337" s="2947" t="s">
        <v>307</v>
      </c>
      <c r="B337" s="2947" t="s">
        <v>3147</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3148</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3149</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2913</v>
      </c>
      <c r="C345" s="2947">
        <v>3190</v>
      </c>
      <c r="D345" s="2947">
        <v>3140</v>
      </c>
      <c r="E345" s="2947">
        <v>3450</v>
      </c>
      <c r="F345" s="2947">
        <v>720</v>
      </c>
      <c r="G345" s="2947">
        <v>1880</v>
      </c>
      <c r="J345" s="2781"/>
    </row>
    <row r="346" spans="1:10">
      <c r="A346" s="2947" t="s">
        <v>307</v>
      </c>
      <c r="B346" s="2947" t="s">
        <v>3150</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2922</v>
      </c>
      <c r="C348" s="2947">
        <v>4000</v>
      </c>
      <c r="D348" s="2947">
        <v>3950</v>
      </c>
      <c r="E348" s="2947">
        <v>4430</v>
      </c>
      <c r="F348" s="2947">
        <v>760</v>
      </c>
      <c r="G348" s="2947">
        <v>2360</v>
      </c>
      <c r="J348" s="2781"/>
    </row>
    <row r="349" spans="1:10">
      <c r="A349" s="2947" t="s">
        <v>307</v>
      </c>
      <c r="B349" s="2947" t="s">
        <v>2927</v>
      </c>
      <c r="C349" s="2947">
        <v>3820</v>
      </c>
      <c r="D349" s="2947">
        <v>3780</v>
      </c>
      <c r="E349" s="2947">
        <v>4170</v>
      </c>
      <c r="F349" s="2947">
        <v>710</v>
      </c>
      <c r="G349" s="2947">
        <v>2260</v>
      </c>
      <c r="J349" s="2781"/>
    </row>
    <row r="350" spans="1:10">
      <c r="A350" s="2947" t="s">
        <v>307</v>
      </c>
      <c r="B350" s="2947" t="s">
        <v>3151</v>
      </c>
      <c r="C350" s="2947">
        <v>3760</v>
      </c>
      <c r="D350" s="2947">
        <v>3730</v>
      </c>
      <c r="E350" s="2947">
        <v>4100</v>
      </c>
      <c r="F350" s="2947">
        <v>800</v>
      </c>
      <c r="G350" s="2947">
        <v>2230</v>
      </c>
      <c r="J350" s="2781"/>
    </row>
    <row r="351" spans="1:10">
      <c r="A351" s="2947" t="s">
        <v>307</v>
      </c>
      <c r="B351" s="2947" t="s">
        <v>2935</v>
      </c>
      <c r="C351" s="2947">
        <v>3610</v>
      </c>
      <c r="D351" s="2947">
        <v>3580</v>
      </c>
      <c r="E351" s="2947">
        <v>3930</v>
      </c>
      <c r="F351" s="2947">
        <v>700</v>
      </c>
      <c r="G351" s="2947">
        <v>2140</v>
      </c>
      <c r="J351" s="2781"/>
    </row>
    <row r="352" spans="1:10">
      <c r="A352" s="2947" t="s">
        <v>307</v>
      </c>
      <c r="B352" s="2947" t="s">
        <v>2940</v>
      </c>
      <c r="C352" s="2947">
        <v>3670</v>
      </c>
      <c r="D352" s="2947">
        <v>3630</v>
      </c>
      <c r="E352" s="2947">
        <v>4000</v>
      </c>
      <c r="F352" s="2947">
        <v>750</v>
      </c>
      <c r="G352" s="2947">
        <v>2180</v>
      </c>
    </row>
    <row r="353" spans="1:7" s="2782" customFormat="1">
      <c r="A353" s="2947" t="s">
        <v>307</v>
      </c>
      <c r="B353" s="2947" t="s">
        <v>3152</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2960</v>
      </c>
      <c r="C355" s="2947">
        <v>3650</v>
      </c>
      <c r="D355" s="2947">
        <v>3610</v>
      </c>
      <c r="E355" s="2947">
        <v>4200</v>
      </c>
      <c r="F355" s="2947">
        <v>640</v>
      </c>
      <c r="G355" s="2947">
        <v>2160</v>
      </c>
    </row>
    <row r="356" spans="1:7" s="2782" customFormat="1">
      <c r="A356" s="2947" t="s">
        <v>307</v>
      </c>
      <c r="B356" s="2947" t="s">
        <v>2967</v>
      </c>
      <c r="C356" s="2947">
        <v>3260</v>
      </c>
      <c r="D356" s="2947">
        <v>3230</v>
      </c>
      <c r="E356" s="2947">
        <v>3740</v>
      </c>
      <c r="F356" s="2947">
        <v>600</v>
      </c>
      <c r="G356" s="2947">
        <v>1930</v>
      </c>
    </row>
    <row r="357" spans="1:7" s="2782" customFormat="1" ht="12" thickBot="1">
      <c r="A357" s="2955" t="s">
        <v>307</v>
      </c>
      <c r="B357" s="2958" t="s">
        <v>3153</v>
      </c>
      <c r="C357" s="2958">
        <v>3690</v>
      </c>
      <c r="D357" s="2958">
        <v>3650</v>
      </c>
      <c r="E357" s="2958">
        <v>4020</v>
      </c>
      <c r="F357" s="2958">
        <v>700</v>
      </c>
      <c r="G357" s="2958">
        <v>2190</v>
      </c>
    </row>
    <row r="358" spans="1:7" s="2782" customFormat="1">
      <c r="A358" s="2952" t="s">
        <v>3154</v>
      </c>
      <c r="B358" s="2943" t="s">
        <v>3155</v>
      </c>
      <c r="C358" s="2943">
        <v>2080</v>
      </c>
      <c r="D358" s="2943">
        <v>2040</v>
      </c>
      <c r="E358" s="2943">
        <v>2010</v>
      </c>
      <c r="F358" s="2943">
        <v>530</v>
      </c>
      <c r="G358" s="2959">
        <v>1230</v>
      </c>
    </row>
    <row r="359" spans="1:7" s="2782" customFormat="1">
      <c r="A359" s="2947" t="s">
        <v>3154</v>
      </c>
      <c r="B359" s="2947" t="s">
        <v>3156</v>
      </c>
      <c r="C359" s="2947">
        <v>1850</v>
      </c>
      <c r="D359" s="2947">
        <v>1820</v>
      </c>
      <c r="E359" s="2947">
        <v>1780</v>
      </c>
      <c r="F359" s="2947">
        <v>520</v>
      </c>
      <c r="G359" s="2960">
        <v>1100</v>
      </c>
    </row>
    <row r="360" spans="1:7" s="2782" customFormat="1">
      <c r="A360" s="2947" t="s">
        <v>3154</v>
      </c>
      <c r="B360" s="2947" t="s">
        <v>3157</v>
      </c>
      <c r="C360" s="2947">
        <v>2020</v>
      </c>
      <c r="D360" s="2947">
        <v>1990</v>
      </c>
      <c r="E360" s="2947">
        <v>1950</v>
      </c>
      <c r="F360" s="2947">
        <v>500</v>
      </c>
      <c r="G360" s="2960">
        <v>1200</v>
      </c>
    </row>
    <row r="361" spans="1:7" s="2782" customFormat="1">
      <c r="A361" s="2947" t="s">
        <v>3154</v>
      </c>
      <c r="B361" s="2947" t="s">
        <v>153</v>
      </c>
      <c r="C361" s="2947">
        <v>2260</v>
      </c>
      <c r="D361" s="2947">
        <v>2220</v>
      </c>
      <c r="E361" s="2947">
        <v>2180</v>
      </c>
      <c r="F361" s="2947">
        <v>580</v>
      </c>
      <c r="G361" s="2960">
        <v>1340</v>
      </c>
    </row>
    <row r="362" spans="1:7" s="2782" customFormat="1">
      <c r="A362" s="2947" t="s">
        <v>3154</v>
      </c>
      <c r="B362" s="2947" t="s">
        <v>3158</v>
      </c>
      <c r="C362" s="2947">
        <v>2650</v>
      </c>
      <c r="D362" s="2947">
        <v>2610</v>
      </c>
      <c r="E362" s="2947">
        <v>2570</v>
      </c>
      <c r="F362" s="2947">
        <v>630</v>
      </c>
      <c r="G362" s="2960">
        <v>1570</v>
      </c>
    </row>
    <row r="363" spans="1:7" s="2782" customFormat="1">
      <c r="A363" s="2947" t="s">
        <v>3154</v>
      </c>
      <c r="B363" s="2947" t="s">
        <v>2879</v>
      </c>
      <c r="C363" s="2947">
        <v>2390</v>
      </c>
      <c r="D363" s="2947">
        <v>2360</v>
      </c>
      <c r="E363" s="2947">
        <v>2320</v>
      </c>
      <c r="F363" s="2947">
        <v>600</v>
      </c>
      <c r="G363" s="2960">
        <v>1420</v>
      </c>
    </row>
    <row r="364" spans="1:7" s="2782" customFormat="1">
      <c r="A364" s="2947" t="s">
        <v>3154</v>
      </c>
      <c r="B364" s="2947" t="s">
        <v>3159</v>
      </c>
      <c r="C364" s="2947">
        <v>2050</v>
      </c>
      <c r="D364" s="2947">
        <v>2030</v>
      </c>
      <c r="E364" s="2947">
        <v>1990</v>
      </c>
      <c r="F364" s="2947">
        <v>550</v>
      </c>
      <c r="G364" s="2960">
        <v>1220</v>
      </c>
    </row>
    <row r="365" spans="1:7" s="2782" customFormat="1">
      <c r="A365" s="2947" t="s">
        <v>3154</v>
      </c>
      <c r="B365" s="2947" t="s">
        <v>200</v>
      </c>
      <c r="C365" s="2947">
        <v>2140</v>
      </c>
      <c r="D365" s="2947">
        <v>2100</v>
      </c>
      <c r="E365" s="2947">
        <v>2060</v>
      </c>
      <c r="F365" s="2947">
        <v>540</v>
      </c>
      <c r="G365" s="2960">
        <v>1270</v>
      </c>
    </row>
    <row r="366" spans="1:7" s="2782" customFormat="1">
      <c r="A366" s="2947" t="s">
        <v>3154</v>
      </c>
      <c r="B366" s="2947" t="s">
        <v>2886</v>
      </c>
      <c r="C366" s="2947">
        <v>2410</v>
      </c>
      <c r="D366" s="2947">
        <v>2370</v>
      </c>
      <c r="E366" s="2947">
        <v>2330</v>
      </c>
      <c r="F366" s="2947">
        <v>570</v>
      </c>
      <c r="G366" s="2960">
        <v>1440</v>
      </c>
    </row>
    <row r="367" spans="1:7" s="2782" customFormat="1">
      <c r="A367" s="2947" t="s">
        <v>3154</v>
      </c>
      <c r="B367" s="2947" t="s">
        <v>3160</v>
      </c>
      <c r="C367" s="2947">
        <v>2300</v>
      </c>
      <c r="D367" s="2947">
        <v>2260</v>
      </c>
      <c r="E367" s="2947">
        <v>2220</v>
      </c>
      <c r="F367" s="2947">
        <v>560</v>
      </c>
      <c r="G367" s="2960">
        <v>1370</v>
      </c>
    </row>
    <row r="368" spans="1:7" s="2782" customFormat="1">
      <c r="A368" s="2947" t="s">
        <v>3154</v>
      </c>
      <c r="B368" s="2947" t="s">
        <v>3161</v>
      </c>
      <c r="C368" s="2947">
        <v>2430</v>
      </c>
      <c r="D368" s="2947">
        <v>2390</v>
      </c>
      <c r="E368" s="2947">
        <v>2350</v>
      </c>
      <c r="F368" s="2947">
        <v>570</v>
      </c>
      <c r="G368" s="2960">
        <v>1450</v>
      </c>
    </row>
    <row r="369" spans="1:7" s="2782" customFormat="1">
      <c r="A369" s="2947" t="s">
        <v>3154</v>
      </c>
      <c r="B369" s="2947" t="s">
        <v>214</v>
      </c>
      <c r="C369" s="2947">
        <v>2320</v>
      </c>
      <c r="D369" s="2947">
        <v>2290</v>
      </c>
      <c r="E369" s="2947">
        <v>2250</v>
      </c>
      <c r="F369" s="2947">
        <v>550</v>
      </c>
      <c r="G369" s="2960">
        <v>1380</v>
      </c>
    </row>
    <row r="370" spans="1:7" s="2782" customFormat="1">
      <c r="A370" s="2947" t="s">
        <v>3154</v>
      </c>
      <c r="B370" s="2947" t="s">
        <v>221</v>
      </c>
      <c r="C370" s="2947">
        <v>2190</v>
      </c>
      <c r="D370" s="2947">
        <v>2170</v>
      </c>
      <c r="E370" s="2947">
        <v>2130</v>
      </c>
      <c r="F370" s="2947">
        <v>530</v>
      </c>
      <c r="G370" s="2960">
        <v>1310</v>
      </c>
    </row>
    <row r="371" spans="1:7" s="2782" customFormat="1">
      <c r="A371" s="2947" t="s">
        <v>3154</v>
      </c>
      <c r="B371" s="2947" t="s">
        <v>229</v>
      </c>
      <c r="C371" s="2947">
        <v>2460</v>
      </c>
      <c r="D371" s="2947">
        <v>2420</v>
      </c>
      <c r="E371" s="2947">
        <v>2370</v>
      </c>
      <c r="F371" s="2947">
        <v>560</v>
      </c>
      <c r="G371" s="2960">
        <v>1470</v>
      </c>
    </row>
    <row r="372" spans="1:7" s="2782" customFormat="1">
      <c r="A372" s="2947" t="s">
        <v>3154</v>
      </c>
      <c r="B372" s="2947" t="s">
        <v>3162</v>
      </c>
      <c r="C372" s="2947">
        <v>2250</v>
      </c>
      <c r="D372" s="2947">
        <v>2210</v>
      </c>
      <c r="E372" s="2947">
        <v>2180</v>
      </c>
      <c r="F372" s="2947">
        <v>550</v>
      </c>
      <c r="G372" s="2960">
        <v>1340</v>
      </c>
    </row>
    <row r="373" spans="1:7" s="2782" customFormat="1">
      <c r="A373" s="2947" t="s">
        <v>3154</v>
      </c>
      <c r="B373" s="2947" t="s">
        <v>258</v>
      </c>
      <c r="C373" s="2947">
        <v>2210</v>
      </c>
      <c r="D373" s="2947">
        <v>2190</v>
      </c>
      <c r="E373" s="2947">
        <v>2150</v>
      </c>
      <c r="F373" s="2947">
        <v>530</v>
      </c>
      <c r="G373" s="2960">
        <v>1320</v>
      </c>
    </row>
    <row r="374" spans="1:7" s="2782" customFormat="1">
      <c r="A374" s="2947" t="s">
        <v>3154</v>
      </c>
      <c r="B374" s="2947" t="s">
        <v>266</v>
      </c>
      <c r="C374" s="2947">
        <v>2320</v>
      </c>
      <c r="D374" s="2947">
        <v>2280</v>
      </c>
      <c r="E374" s="2947">
        <v>2230</v>
      </c>
      <c r="F374" s="2947">
        <v>580</v>
      </c>
      <c r="G374" s="2960">
        <v>1380</v>
      </c>
    </row>
    <row r="375" spans="1:7" s="2782" customFormat="1">
      <c r="A375" s="2947" t="s">
        <v>3154</v>
      </c>
      <c r="B375" s="2947" t="s">
        <v>3163</v>
      </c>
      <c r="C375" s="2947">
        <v>2090</v>
      </c>
      <c r="D375" s="2947">
        <v>2050</v>
      </c>
      <c r="E375" s="2947">
        <v>2020</v>
      </c>
      <c r="F375" s="2947">
        <v>520</v>
      </c>
      <c r="G375" s="2960">
        <v>1240</v>
      </c>
    </row>
    <row r="376" spans="1:7" s="2782" customFormat="1">
      <c r="A376" s="2947" t="s">
        <v>3154</v>
      </c>
      <c r="B376" s="2947" t="s">
        <v>277</v>
      </c>
      <c r="C376" s="2947">
        <v>2010</v>
      </c>
      <c r="D376" s="2947">
        <v>1980</v>
      </c>
      <c r="E376" s="2947">
        <v>1940</v>
      </c>
      <c r="F376" s="2947">
        <v>540</v>
      </c>
      <c r="G376" s="2960">
        <v>1190</v>
      </c>
    </row>
    <row r="377" spans="1:7" s="2782" customFormat="1" ht="12" thickBot="1">
      <c r="A377" s="2955" t="s">
        <v>3154</v>
      </c>
      <c r="B377" s="2958" t="s">
        <v>2916</v>
      </c>
      <c r="C377" s="2958">
        <v>1930</v>
      </c>
      <c r="D377" s="2958">
        <v>1890</v>
      </c>
      <c r="E377" s="2958">
        <v>1860</v>
      </c>
      <c r="F377" s="2958">
        <v>530</v>
      </c>
      <c r="G377" s="2963">
        <v>1150</v>
      </c>
    </row>
    <row r="378" spans="1:7" s="2782" customFormat="1">
      <c r="A378" s="2964" t="s">
        <v>3164</v>
      </c>
      <c r="B378" s="2943" t="s">
        <v>3165</v>
      </c>
      <c r="C378" s="2943">
        <v>1520</v>
      </c>
      <c r="D378" s="2943">
        <v>1490</v>
      </c>
      <c r="E378" s="2943">
        <v>1460</v>
      </c>
      <c r="F378" s="2943">
        <v>460</v>
      </c>
      <c r="G378" s="2959">
        <v>940</v>
      </c>
    </row>
    <row r="379" spans="1:7" s="2782" customFormat="1">
      <c r="A379" s="2965" t="s">
        <v>3164</v>
      </c>
      <c r="B379" s="2947" t="s">
        <v>3166</v>
      </c>
      <c r="C379" s="2947">
        <v>1500</v>
      </c>
      <c r="D379" s="2947">
        <v>1470</v>
      </c>
      <c r="E379" s="2947">
        <v>1430</v>
      </c>
      <c r="F379" s="2947">
        <v>460</v>
      </c>
      <c r="G379" s="2960">
        <v>920</v>
      </c>
    </row>
    <row r="380" spans="1:7" s="2782" customFormat="1">
      <c r="A380" s="2965" t="s">
        <v>3164</v>
      </c>
      <c r="B380" s="2947" t="s">
        <v>3167</v>
      </c>
      <c r="C380" s="2947">
        <v>1620</v>
      </c>
      <c r="D380" s="2947">
        <v>1590</v>
      </c>
      <c r="E380" s="2947">
        <v>1560</v>
      </c>
      <c r="F380" s="2947">
        <v>480</v>
      </c>
      <c r="G380" s="2960">
        <v>1000</v>
      </c>
    </row>
    <row r="381" spans="1:7" s="2782" customFormat="1">
      <c r="A381" s="2965" t="s">
        <v>3164</v>
      </c>
      <c r="B381" s="2947" t="s">
        <v>3168</v>
      </c>
      <c r="C381" s="2947">
        <v>1460</v>
      </c>
      <c r="D381" s="2947">
        <v>1430</v>
      </c>
      <c r="E381" s="2947">
        <v>1390</v>
      </c>
      <c r="F381" s="2947">
        <v>450</v>
      </c>
      <c r="G381" s="2960">
        <v>900</v>
      </c>
    </row>
    <row r="382" spans="1:7" s="2782" customFormat="1">
      <c r="A382" s="2965" t="s">
        <v>3164</v>
      </c>
      <c r="B382" s="2947" t="s">
        <v>3169</v>
      </c>
      <c r="C382" s="2947">
        <v>1310</v>
      </c>
      <c r="D382" s="2947">
        <v>1280</v>
      </c>
      <c r="E382" s="2947">
        <v>1250</v>
      </c>
      <c r="F382" s="2947">
        <v>440</v>
      </c>
      <c r="G382" s="2960">
        <v>800</v>
      </c>
    </row>
    <row r="383" spans="1:7" s="2782" customFormat="1">
      <c r="A383" s="2965" t="s">
        <v>3164</v>
      </c>
      <c r="B383" s="2947" t="s">
        <v>3170</v>
      </c>
      <c r="C383" s="2947">
        <v>1260</v>
      </c>
      <c r="D383" s="2947">
        <v>1230</v>
      </c>
      <c r="E383" s="2947">
        <v>1200</v>
      </c>
      <c r="F383" s="2947">
        <v>420</v>
      </c>
      <c r="G383" s="2960">
        <v>770</v>
      </c>
    </row>
    <row r="384" spans="1:7" s="2782" customFormat="1" ht="12" thickBot="1">
      <c r="A384" s="2966" t="s">
        <v>3164</v>
      </c>
      <c r="B384" s="2954" t="s">
        <v>3171</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25" t="str">
        <f>IF(项目基本情况!B9="房地产市场价值","估价结果一览表","结果表-2")</f>
        <v>结果表-2</v>
      </c>
      <c r="B1" s="3225"/>
      <c r="C1" s="3225"/>
      <c r="D1" s="3225"/>
      <c r="E1" s="3225"/>
      <c r="F1" s="3225"/>
      <c r="G1" s="3225"/>
      <c r="H1" s="3225"/>
      <c r="I1" s="3225"/>
    </row>
    <row r="2" spans="1:9" ht="30" customHeight="1" thickTop="1">
      <c r="A2" s="3226" t="s">
        <v>928</v>
      </c>
      <c r="B2" s="3226" t="s">
        <v>929</v>
      </c>
      <c r="C2" s="3226" t="s">
        <v>930</v>
      </c>
      <c r="D2" s="3226" t="str">
        <f>结果表!D116</f>
        <v>出让国有建设用地使用权价值</v>
      </c>
      <c r="E2" s="3226"/>
      <c r="F2" s="3226" t="str">
        <f>结果表!F116</f>
        <v>在建建筑物价值</v>
      </c>
      <c r="G2" s="3226"/>
      <c r="H2" s="3226" t="str">
        <f>IF(项目基本情况!B9="房地产市场价值","房地产市场价值","房地产价值")</f>
        <v>房地产价值</v>
      </c>
      <c r="I2" s="3226"/>
    </row>
    <row r="3" spans="1:9" ht="15">
      <c r="A3" s="3221"/>
      <c r="B3" s="3221"/>
      <c r="C3" s="3221"/>
      <c r="D3" s="801" t="s">
        <v>925</v>
      </c>
      <c r="E3" s="801" t="s">
        <v>931</v>
      </c>
      <c r="F3" s="801" t="s">
        <v>925</v>
      </c>
      <c r="G3" s="801" t="s">
        <v>926</v>
      </c>
      <c r="H3" s="801" t="s">
        <v>925</v>
      </c>
      <c r="I3" s="801" t="s">
        <v>926</v>
      </c>
    </row>
    <row r="4" spans="1:9" ht="15">
      <c r="A4" s="1403" t="str">
        <f>项目基本情况!S2</f>
        <v>北京市房地产</v>
      </c>
      <c r="B4" s="801">
        <f>项目基本情况!C17</f>
        <v>103889.93000000002</v>
      </c>
      <c r="C4" s="801">
        <f>项目基本情况!C18</f>
        <v>0</v>
      </c>
      <c r="D4" s="801">
        <f ca="1">结果表!D118</f>
        <v>186527</v>
      </c>
      <c r="E4" s="801">
        <f ca="1">结果表!E118</f>
        <v>17954</v>
      </c>
      <c r="F4" s="801">
        <f ca="1">结果表!F118</f>
        <v>65877</v>
      </c>
      <c r="G4" s="801">
        <f ca="1">结果表!G118</f>
        <v>6341</v>
      </c>
      <c r="H4" s="801">
        <f ca="1">结果表!H118</f>
        <v>252404</v>
      </c>
      <c r="I4" s="801">
        <f ca="1">结果表!I118</f>
        <v>24295</v>
      </c>
    </row>
    <row r="5" spans="1:9" ht="30" customHeight="1">
      <c r="A5" s="3221" t="s">
        <v>927</v>
      </c>
      <c r="B5" s="3221"/>
      <c r="C5" s="3221"/>
      <c r="D5" s="3221" t="str">
        <f ca="1">结果表!D119</f>
        <v>壹拾捌亿陆仟伍佰贰拾柒万元整</v>
      </c>
      <c r="E5" s="3221"/>
      <c r="F5" s="3221" t="str">
        <f ca="1">结果表!F119</f>
        <v>陆亿伍仟捌佰柒拾柒万元整</v>
      </c>
      <c r="G5" s="3221"/>
      <c r="H5" s="3221" t="str">
        <f ca="1">结果表!H119</f>
        <v>贰拾伍亿贰仟肆佰零肆万元整</v>
      </c>
      <c r="I5" s="3221"/>
    </row>
    <row r="6" spans="1:9" ht="15.75">
      <c r="A6" s="3220" t="str">
        <f>结果表!A120</f>
        <v>估价师知悉的法定优先受偿款</v>
      </c>
      <c r="B6" s="3220"/>
      <c r="C6" s="3220"/>
      <c r="D6" s="3220">
        <f>结果表!D120</f>
        <v>0</v>
      </c>
      <c r="E6" s="3220"/>
      <c r="F6" s="3220"/>
      <c r="G6" s="3220"/>
      <c r="H6" s="3220"/>
      <c r="I6" s="3220"/>
    </row>
    <row r="7" spans="1:9" ht="15">
      <c r="A7" s="3221" t="s">
        <v>927</v>
      </c>
      <c r="B7" s="3221"/>
      <c r="C7" s="3221"/>
      <c r="D7" s="3222" t="str">
        <f>结果表!D121</f>
        <v>零元整</v>
      </c>
      <c r="E7" s="3223"/>
      <c r="F7" s="3223"/>
      <c r="G7" s="3223"/>
      <c r="H7" s="3223"/>
      <c r="I7" s="3224"/>
    </row>
    <row r="8" spans="1:9" ht="15.75">
      <c r="A8" s="3220" t="str">
        <f>结果表!A122</f>
        <v>房地产抵押价值</v>
      </c>
      <c r="B8" s="3220"/>
      <c r="C8" s="3220"/>
      <c r="D8" s="3220">
        <f ca="1">结果表!D122</f>
        <v>252404</v>
      </c>
      <c r="E8" s="3220"/>
      <c r="F8" s="3220"/>
      <c r="G8" s="3220"/>
      <c r="H8" s="3220"/>
      <c r="I8" s="3220"/>
    </row>
    <row r="9" spans="1:9" ht="15">
      <c r="A9" s="3221" t="s">
        <v>927</v>
      </c>
      <c r="B9" s="3221"/>
      <c r="C9" s="3221"/>
      <c r="D9" s="3221" t="str">
        <f ca="1">结果表!D123</f>
        <v>贰拾伍亿贰仟肆佰零肆万元整</v>
      </c>
      <c r="E9" s="3221"/>
      <c r="F9" s="3221"/>
      <c r="G9" s="3221"/>
      <c r="H9" s="3221"/>
      <c r="I9" s="3221"/>
    </row>
    <row r="10" spans="1:9" ht="15.75">
      <c r="A10" s="3220" t="str">
        <f>结果表!A124</f>
        <v/>
      </c>
      <c r="B10" s="3220"/>
      <c r="C10" s="3220"/>
      <c r="D10" s="3220" t="str">
        <f>结果表!D124</f>
        <v>——</v>
      </c>
      <c r="E10" s="3220"/>
      <c r="F10" s="3220"/>
      <c r="G10" s="3220"/>
      <c r="H10" s="3220"/>
      <c r="I10" s="3220"/>
    </row>
    <row r="11" spans="1:9" ht="15">
      <c r="A11" s="3221" t="s">
        <v>927</v>
      </c>
      <c r="B11" s="3221"/>
      <c r="C11" s="3221"/>
      <c r="D11" s="3221" t="e">
        <f>结果表!D125</f>
        <v>#VALUE!</v>
      </c>
      <c r="E11" s="3221"/>
      <c r="F11" s="3221"/>
      <c r="G11" s="3221"/>
      <c r="H11" s="3221"/>
      <c r="I11" s="3221"/>
    </row>
    <row r="12" spans="1:9" ht="15.75">
      <c r="A12" s="3220" t="str">
        <f>结果表!A126</f>
        <v/>
      </c>
      <c r="B12" s="3220"/>
      <c r="C12" s="3220"/>
      <c r="D12" s="3220" t="str">
        <f>结果表!D126</f>
        <v>——</v>
      </c>
      <c r="E12" s="3220"/>
      <c r="F12" s="3220"/>
      <c r="G12" s="3220"/>
      <c r="H12" s="3220"/>
      <c r="I12" s="3220"/>
    </row>
    <row r="13" spans="1:9" ht="15.75" thickBot="1">
      <c r="A13" s="3218" t="s">
        <v>927</v>
      </c>
      <c r="B13" s="3218"/>
      <c r="C13" s="3218"/>
      <c r="D13" s="3218" t="e">
        <f>结果表!D127</f>
        <v>#VALUE!</v>
      </c>
      <c r="E13" s="3218"/>
      <c r="F13" s="3218"/>
      <c r="G13" s="3218"/>
      <c r="H13" s="3218"/>
      <c r="I13" s="3218"/>
    </row>
    <row r="14" spans="1:9" ht="15" thickTop="1">
      <c r="A14" s="3219" t="s">
        <v>932</v>
      </c>
      <c r="B14" s="3219"/>
      <c r="C14" s="3219"/>
      <c r="D14" s="3219"/>
      <c r="E14" s="3219"/>
      <c r="F14" s="3219"/>
      <c r="G14" s="3219"/>
      <c r="H14" s="3219"/>
      <c r="I14" s="3219"/>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7"/>
  <sheetViews>
    <sheetView workbookViewId="0">
      <selection activeCell="A36" sqref="A36:XFD36"/>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45785</v>
      </c>
      <c r="D1" s="1217" t="s">
        <v>603</v>
      </c>
      <c r="E1" s="1212">
        <f>'数据-取费表'!B22</f>
        <v>3</v>
      </c>
      <c r="F1" s="1217" t="s">
        <v>604</v>
      </c>
      <c r="G1" s="1213">
        <f ca="1">INDIRECT("d"&amp;$K$1)/100</f>
        <v>3.1E-2</v>
      </c>
      <c r="H1" s="1217" t="s">
        <v>634</v>
      </c>
      <c r="I1" s="1213">
        <f ca="1">F4/100</f>
        <v>1.4999999999999999E-2</v>
      </c>
      <c r="J1" s="1218">
        <f>IF(C1&gt;C13,0,MATCH(C1,C$13:C$114,-1))+IF(SUMIF(C13:C114,C1,D13:D114)=0,13,12)</f>
        <v>13</v>
      </c>
      <c r="K1" s="1218">
        <f ca="1">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2300</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33" t="s">
        <v>949</v>
      </c>
      <c r="B1" s="3233"/>
      <c r="C1" s="3233"/>
      <c r="D1" s="3233"/>
    </row>
    <row r="2" spans="1:4" ht="18">
      <c r="A2" s="3234" t="s">
        <v>933</v>
      </c>
      <c r="B2" s="3234"/>
      <c r="C2" s="3234"/>
      <c r="D2" s="3234"/>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34" t="s">
        <v>939</v>
      </c>
      <c r="B6" s="3234"/>
      <c r="C6" s="3234"/>
      <c r="D6" s="323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35" t="s">
        <v>942</v>
      </c>
      <c r="B11" s="3227"/>
      <c r="C11" s="3227"/>
      <c r="D11" s="3227"/>
    </row>
    <row r="12" spans="1:4" ht="15.75">
      <c r="A12" s="32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32"/>
      <c r="C12" s="3232"/>
      <c r="D12" s="3232"/>
    </row>
    <row r="13" spans="1:4" ht="30" customHeight="1">
      <c r="A13" s="322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32"/>
      <c r="C13" s="3232"/>
      <c r="D13" s="3232"/>
    </row>
    <row r="14" spans="1:4" ht="15.75" customHeight="1">
      <c r="A14" s="3227" t="str">
        <f>IF(项目基本情况!B8="抵押","4.本次评估估价师所知悉的法定优先受偿款情况说明如下：","——")</f>
        <v>4.本次评估估价师所知悉的法定优先受偿款情况说明如下：</v>
      </c>
      <c r="B14" s="3232"/>
      <c r="C14" s="3232"/>
      <c r="D14" s="3232"/>
    </row>
    <row r="15" spans="1:4" ht="42" customHeight="1">
      <c r="A15" s="322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27"/>
      <c r="C15" s="3227"/>
      <c r="D15" s="3227"/>
    </row>
    <row r="16" spans="1:4" ht="30" customHeight="1">
      <c r="A16" s="3229" t="s">
        <v>943</v>
      </c>
      <c r="B16" s="3229"/>
      <c r="C16" s="3229"/>
      <c r="D16" s="3229"/>
    </row>
    <row r="17" spans="1:4" ht="144" customHeight="1">
      <c r="A17" s="3229" t="s">
        <v>944</v>
      </c>
      <c r="B17" s="3229"/>
      <c r="C17" s="3229"/>
      <c r="D17" s="3229"/>
    </row>
    <row r="18" spans="1:4" ht="15.75" customHeight="1">
      <c r="A18" s="3227" t="str">
        <f>IF(项目基本情况!B8="抵押",结果表!K120,"——")</f>
        <v>故，本次评估不存在估价师知悉的法定优先受偿款</v>
      </c>
      <c r="B18" s="3227"/>
      <c r="C18" s="3227"/>
      <c r="D18" s="3227"/>
    </row>
    <row r="19" spans="1:4" ht="46.5" customHeight="1">
      <c r="A19" s="32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27"/>
      <c r="C19" s="3227"/>
      <c r="D19" s="3227"/>
    </row>
    <row r="20" spans="1:4" ht="57.75" customHeight="1">
      <c r="A20" s="32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27"/>
      <c r="C20" s="3227"/>
      <c r="D20" s="3227"/>
    </row>
    <row r="21" spans="1:4" ht="57.75" customHeight="1">
      <c r="A21" s="32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30"/>
      <c r="C21" s="3230"/>
      <c r="D21" s="3230"/>
    </row>
    <row r="22" spans="1:4" ht="18.75" customHeight="1">
      <c r="A22" s="3231" t="s">
        <v>945</v>
      </c>
      <c r="B22" s="3231"/>
      <c r="C22" s="3231"/>
      <c r="D22" s="323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28">
        <v>42551</v>
      </c>
      <c r="D31" s="32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41" t="s">
        <v>956</v>
      </c>
      <c r="B15" s="3236" t="s">
        <v>109</v>
      </c>
      <c r="C15" s="3237"/>
    </row>
    <row r="16" spans="1:7" ht="13.5">
      <c r="A16" s="3242"/>
      <c r="B16" s="3236" t="s">
        <v>42</v>
      </c>
      <c r="C16" s="3237"/>
    </row>
    <row r="17" spans="1:3" ht="13.5">
      <c r="A17" s="3242"/>
      <c r="B17" s="3239" t="s">
        <v>957</v>
      </c>
      <c r="C17" s="1429" t="s">
        <v>956</v>
      </c>
    </row>
    <row r="18" spans="1:3" ht="13.5">
      <c r="A18" s="3242"/>
      <c r="B18" s="3239"/>
      <c r="C18" s="1429" t="s">
        <v>958</v>
      </c>
    </row>
    <row r="19" spans="1:3" ht="13.5">
      <c r="A19" s="3242"/>
      <c r="B19" s="3239"/>
      <c r="C19" s="1429" t="s">
        <v>959</v>
      </c>
    </row>
    <row r="20" spans="1:3" ht="13.5">
      <c r="A20" s="3243"/>
      <c r="B20" s="3238" t="s">
        <v>960</v>
      </c>
      <c r="C20" s="3237"/>
    </row>
    <row r="21" spans="1:3" ht="13.5">
      <c r="A21" s="1430" t="s">
        <v>961</v>
      </c>
      <c r="B21" s="1431"/>
      <c r="C21" s="1432"/>
    </row>
    <row r="22" spans="1:3" ht="13.5">
      <c r="A22" s="3240" t="s">
        <v>962</v>
      </c>
      <c r="B22" s="3238" t="s">
        <v>963</v>
      </c>
      <c r="C22" s="3237"/>
    </row>
    <row r="23" spans="1:3" ht="13.5">
      <c r="A23" s="3240"/>
      <c r="B23" s="3238" t="s">
        <v>964</v>
      </c>
      <c r="C23" s="3237"/>
    </row>
    <row r="24" spans="1:3" ht="13.5">
      <c r="A24" s="3240"/>
      <c r="B24" s="3238" t="s">
        <v>965</v>
      </c>
      <c r="C24" s="3237"/>
    </row>
    <row r="25" spans="1:3" ht="13.5">
      <c r="A25" s="3240"/>
      <c r="B25" s="3239" t="s">
        <v>966</v>
      </c>
      <c r="C25" s="1429" t="s">
        <v>967</v>
      </c>
    </row>
    <row r="26" spans="1:3" ht="13.5">
      <c r="A26" s="3240"/>
      <c r="B26" s="3239"/>
      <c r="C26" s="1429" t="s">
        <v>968</v>
      </c>
    </row>
    <row r="27" spans="1:3" ht="13.5">
      <c r="A27" s="3240"/>
      <c r="B27" s="3239"/>
      <c r="C27" s="1429" t="s">
        <v>969</v>
      </c>
    </row>
    <row r="28" spans="1:3" ht="13.5">
      <c r="A28" s="3240"/>
      <c r="B28" s="3239"/>
      <c r="C28" s="1429" t="s">
        <v>970</v>
      </c>
    </row>
    <row r="29" spans="1:3" ht="13.5">
      <c r="A29" s="3240"/>
      <c r="B29" s="3239"/>
      <c r="C29" s="1429" t="s">
        <v>971</v>
      </c>
    </row>
    <row r="30" spans="1:3" ht="13.5">
      <c r="A30" s="3240"/>
      <c r="B30" s="3239"/>
      <c r="C30" s="1429" t="s">
        <v>972</v>
      </c>
    </row>
    <row r="31" spans="1:3" ht="13.5">
      <c r="A31" s="3240"/>
      <c r="B31" s="3239"/>
      <c r="C31" s="1429" t="s">
        <v>973</v>
      </c>
    </row>
    <row r="32" spans="1:3" ht="13.5">
      <c r="A32" s="3240"/>
      <c r="B32" s="3239"/>
      <c r="C32" s="1429" t="s">
        <v>974</v>
      </c>
    </row>
    <row r="33" spans="1:3" ht="13.5">
      <c r="A33" s="3240"/>
      <c r="B33" s="3239"/>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45789</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2428</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44" t="s">
        <v>2160</v>
      </c>
      <c r="B17" s="3244"/>
      <c r="C17" s="3244"/>
      <c r="D17" s="3244"/>
      <c r="E17" s="3244"/>
      <c r="F17" s="3244"/>
      <c r="G17" s="3244"/>
      <c r="H17" s="3244"/>
    </row>
    <row r="18" spans="1:8" ht="24" customHeight="1">
      <c r="A18" s="3245" t="s">
        <v>2161</v>
      </c>
      <c r="B18" s="3245"/>
      <c r="C18" s="3245"/>
      <c r="D18" s="2160"/>
      <c r="E18" s="3246" t="s">
        <v>2162</v>
      </c>
      <c r="F18" s="3245"/>
      <c r="G18" s="3245"/>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2429</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5" priority="32" stopIfTrue="1" operator="equal">
      <formula>"已过期"</formula>
    </cfRule>
  </conditionalFormatting>
  <conditionalFormatting sqref="B4:B15">
    <cfRule type="cellIs" dxfId="164" priority="4" stopIfTrue="1" operator="equal">
      <formula>"已过期"</formula>
    </cfRule>
  </conditionalFormatting>
  <conditionalFormatting sqref="C7:C12">
    <cfRule type="expression" dxfId="163" priority="22">
      <formula>AND($C7-TODAY()&lt;30,TODAY()&lt;$C7)</formula>
    </cfRule>
    <cfRule type="cellIs" dxfId="162" priority="23" stopIfTrue="1" operator="lessThan">
      <formula>$B$2</formula>
    </cfRule>
  </conditionalFormatting>
  <conditionalFormatting sqref="C14:C15">
    <cfRule type="expression" dxfId="161" priority="7">
      <formula>AND($C14-TODAY()&lt;30,TODAY()&lt;$C14)</formula>
    </cfRule>
    <cfRule type="cellIs" dxfId="160" priority="8" stopIfTrue="1" operator="lessThan">
      <formula>$B$2</formula>
    </cfRule>
  </conditionalFormatting>
  <conditionalFormatting sqref="C4:D6 D14">
    <cfRule type="cellIs" dxfId="159" priority="50" stopIfTrue="1" operator="lessThan">
      <formula>$B$2</formula>
    </cfRule>
  </conditionalFormatting>
  <conditionalFormatting sqref="C12:D13">
    <cfRule type="expression" dxfId="158" priority="47">
      <formula>AND($C12-TODAY()&lt;30,TODAY()&lt;$C12)</formula>
    </cfRule>
  </conditionalFormatting>
  <conditionalFormatting sqref="C13:D14">
    <cfRule type="expression" dxfId="157" priority="18">
      <formula>AND($C13-TODAY()&lt;30,TODAY()&lt;$C13)</formula>
    </cfRule>
    <cfRule type="cellIs" dxfId="156" priority="19" stopIfTrue="1" operator="lessThan">
      <formula>$B$2</formula>
    </cfRule>
  </conditionalFormatting>
  <conditionalFormatting sqref="C15:D15">
    <cfRule type="expression" dxfId="155" priority="5">
      <formula>AND($C15-TODAY()&lt;30,TODAY()&lt;$C15)</formula>
    </cfRule>
    <cfRule type="cellIs" dxfId="154" priority="6" stopIfTrue="1" operator="lessThan">
      <formula>$B$2</formula>
    </cfRule>
  </conditionalFormatting>
  <conditionalFormatting sqref="C20:D20 C13:D13">
    <cfRule type="cellIs" dxfId="153" priority="54" stopIfTrue="1" operator="lessThan">
      <formula>$B$2</formula>
    </cfRule>
  </conditionalFormatting>
  <conditionalFormatting sqref="C20:D20">
    <cfRule type="expression" dxfId="152" priority="52">
      <formula>AND($C20-TODAY()&lt;30,TODAY()&lt;$C20)</formula>
    </cfRule>
  </conditionalFormatting>
  <conditionalFormatting sqref="D7:D12 D16">
    <cfRule type="expression" dxfId="151" priority="53">
      <formula>AND($C7-TODAY()&lt;30,TODAY()&lt;$C7)</formula>
    </cfRule>
  </conditionalFormatting>
  <conditionalFormatting sqref="D7:D12">
    <cfRule type="cellIs" dxfId="150" priority="48" stopIfTrue="1" operator="lessThan">
      <formula>$B$2</formula>
    </cfRule>
  </conditionalFormatting>
  <conditionalFormatting sqref="D14 C4:D6">
    <cfRule type="expression" dxfId="149" priority="49">
      <formula>AND($C4-TODAY()&lt;30,TODAY()&lt;$C4)</formula>
    </cfRule>
  </conditionalFormatting>
  <conditionalFormatting sqref="D15:D16">
    <cfRule type="expression" dxfId="148" priority="12">
      <formula>AND($C15-TODAY()&lt;30,TODAY()&lt;$C15)</formula>
    </cfRule>
    <cfRule type="cellIs" dxfId="147" priority="13" stopIfTrue="1" operator="lessThan">
      <formula>$B$2</formula>
    </cfRule>
  </conditionalFormatting>
  <conditionalFormatting sqref="E16:G16">
    <cfRule type="cellIs" dxfId="146" priority="31" stopIfTrue="1" operator="equal">
      <formula>"已过期"</formula>
    </cfRule>
  </conditionalFormatting>
  <conditionalFormatting sqref="F4:F15">
    <cfRule type="cellIs" dxfId="145" priority="9" stopIfTrue="1" operator="equal">
      <formula>"已过期"</formula>
    </cfRule>
  </conditionalFormatting>
  <conditionalFormatting sqref="G4:G15">
    <cfRule type="cellIs" dxfId="144" priority="3" stopIfTrue="1" operator="lessThan">
      <formula>$B$2</formula>
    </cfRule>
  </conditionalFormatting>
  <conditionalFormatting sqref="G20:G21">
    <cfRule type="expression" dxfId="143" priority="1" stopIfTrue="1">
      <formula>AND(#REF!-TODAY()&lt;30,TODAY()&lt;#REF!)</formula>
    </cfRule>
    <cfRule type="cellIs" dxfId="142"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面积位置</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比较法-办公</vt:lpstr>
      <vt:lpstr>比较法-工业</vt:lpstr>
      <vt:lpstr>比较法-车位</vt:lpstr>
      <vt:lpstr>比较法-仓储</vt:lpstr>
      <vt:lpstr>土地比较法-住宅、综合</vt:lpstr>
      <vt:lpstr>比较法-商业</vt:lpstr>
      <vt:lpstr>年报</vt:lpstr>
      <vt:lpstr>2024年出租率+营业额</vt:lpstr>
      <vt:lpstr>品牌清单</vt:lpstr>
      <vt:lpstr>收入台账</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2025-05-12T08:27:12Z</dcterms:modified>
</cp:coreProperties>
</file>